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yodea\Desktop\"/>
    </mc:Choice>
  </mc:AlternateContent>
  <bookViews>
    <workbookView xWindow="0" yWindow="0" windowWidth="14370" windowHeight="11685" activeTab="1"/>
  </bookViews>
  <sheets>
    <sheet name="Relay" sheetId="2" r:id="rId1"/>
    <sheet name="July" sheetId="31" r:id="rId2"/>
    <sheet name="Aug" sheetId="68" r:id="rId3"/>
    <sheet name="Sept" sheetId="77" r:id="rId4"/>
    <sheet name="Oct" sheetId="76" r:id="rId5"/>
    <sheet name="Nov" sheetId="75" r:id="rId6"/>
    <sheet name="Dec" sheetId="74" r:id="rId7"/>
    <sheet name="Jan" sheetId="73" r:id="rId8"/>
    <sheet name="Feb" sheetId="72" r:id="rId9"/>
    <sheet name="March" sheetId="71" r:id="rId10"/>
    <sheet name="April" sheetId="70" r:id="rId11"/>
    <sheet name="May" sheetId="69" r:id="rId12"/>
    <sheet name="June" sheetId="79" r:id="rId13"/>
    <sheet name="Codebook" sheetId="67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73" l="1"/>
  <c r="S4" i="73"/>
  <c r="S5" i="73"/>
  <c r="S6" i="73"/>
  <c r="S7" i="73"/>
  <c r="S8" i="73"/>
  <c r="S9" i="73"/>
  <c r="S10" i="73"/>
  <c r="S11" i="73"/>
  <c r="S12" i="73"/>
  <c r="S13" i="73"/>
  <c r="S14" i="73"/>
  <c r="S15" i="73"/>
  <c r="S16" i="73"/>
  <c r="S17" i="73"/>
  <c r="S18" i="73"/>
  <c r="S19" i="73"/>
  <c r="S20" i="73"/>
  <c r="S21" i="73"/>
  <c r="S22" i="73"/>
  <c r="S23" i="73"/>
  <c r="S24" i="73"/>
  <c r="S25" i="73"/>
  <c r="S26" i="73"/>
  <c r="S27" i="73"/>
  <c r="S28" i="73"/>
  <c r="S29" i="73"/>
  <c r="S30" i="73"/>
  <c r="S31" i="73"/>
  <c r="S32" i="73"/>
  <c r="S33" i="73"/>
  <c r="S34" i="73"/>
  <c r="S35" i="73"/>
  <c r="S36" i="73"/>
  <c r="S37" i="73"/>
  <c r="S38" i="73"/>
  <c r="S39" i="73"/>
  <c r="S40" i="73"/>
  <c r="S41" i="73"/>
  <c r="S42" i="73"/>
  <c r="S43" i="73"/>
  <c r="S44" i="73"/>
  <c r="S45" i="73"/>
  <c r="S46" i="73"/>
  <c r="S47" i="73"/>
  <c r="S48" i="73"/>
  <c r="S49" i="73"/>
  <c r="S50" i="73"/>
  <c r="S51" i="73"/>
  <c r="S52" i="73"/>
  <c r="S53" i="73"/>
  <c r="S54" i="73"/>
  <c r="S55" i="73"/>
  <c r="S56" i="73"/>
  <c r="S57" i="73"/>
  <c r="S58" i="73"/>
  <c r="S59" i="73"/>
  <c r="S60" i="73"/>
  <c r="S61" i="73"/>
  <c r="S62" i="73"/>
  <c r="S63" i="73"/>
  <c r="S64" i="73"/>
  <c r="S65" i="73"/>
  <c r="S66" i="73"/>
  <c r="S67" i="73"/>
  <c r="S68" i="73"/>
  <c r="S69" i="73"/>
  <c r="S70" i="73"/>
  <c r="S71" i="73"/>
  <c r="S72" i="73"/>
  <c r="S73" i="73"/>
  <c r="S74" i="73"/>
  <c r="S75" i="73"/>
  <c r="S76" i="73"/>
  <c r="S77" i="73"/>
  <c r="S78" i="73"/>
  <c r="S79" i="73"/>
  <c r="S80" i="73"/>
  <c r="S81" i="73"/>
  <c r="S82" i="73"/>
  <c r="S83" i="73"/>
  <c r="S84" i="73"/>
  <c r="S85" i="73"/>
  <c r="S86" i="73"/>
  <c r="S87" i="73"/>
  <c r="S88" i="73"/>
  <c r="S89" i="73"/>
  <c r="S90" i="73"/>
  <c r="S91" i="73"/>
  <c r="S92" i="73"/>
  <c r="S93" i="73"/>
  <c r="S94" i="73"/>
  <c r="S95" i="73"/>
  <c r="S96" i="73"/>
  <c r="S97" i="73"/>
  <c r="S98" i="73"/>
  <c r="S99" i="73"/>
  <c r="S100" i="73"/>
  <c r="S101" i="73"/>
  <c r="S102" i="73"/>
  <c r="S103" i="73"/>
  <c r="S3" i="72"/>
  <c r="S4" i="72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54" i="72"/>
  <c r="S55" i="72"/>
  <c r="S56" i="72"/>
  <c r="S57" i="72"/>
  <c r="S58" i="72"/>
  <c r="S59" i="72"/>
  <c r="S60" i="72"/>
  <c r="S61" i="72"/>
  <c r="S62" i="72"/>
  <c r="S63" i="72"/>
  <c r="S64" i="72"/>
  <c r="S65" i="72"/>
  <c r="S66" i="72"/>
  <c r="S67" i="72"/>
  <c r="S68" i="72"/>
  <c r="S69" i="72"/>
  <c r="S70" i="72"/>
  <c r="S71" i="72"/>
  <c r="S72" i="72"/>
  <c r="S73" i="72"/>
  <c r="S74" i="72"/>
  <c r="S75" i="72"/>
  <c r="S76" i="72"/>
  <c r="S77" i="72"/>
  <c r="S78" i="72"/>
  <c r="S79" i="72"/>
  <c r="S80" i="72"/>
  <c r="S81" i="72"/>
  <c r="S82" i="72"/>
  <c r="S83" i="72"/>
  <c r="S84" i="72"/>
  <c r="S85" i="72"/>
  <c r="S86" i="72"/>
  <c r="S87" i="72"/>
  <c r="S88" i="72"/>
  <c r="S89" i="72"/>
  <c r="S90" i="72"/>
  <c r="S91" i="72"/>
  <c r="S92" i="72"/>
  <c r="S93" i="72"/>
  <c r="S94" i="72"/>
  <c r="S95" i="72"/>
  <c r="S96" i="72"/>
  <c r="S97" i="72"/>
  <c r="S98" i="72"/>
  <c r="S99" i="72"/>
  <c r="S100" i="72"/>
  <c r="S101" i="72"/>
  <c r="S102" i="72"/>
  <c r="S103" i="72"/>
  <c r="S3" i="71"/>
  <c r="S4" i="71"/>
  <c r="S5" i="71"/>
  <c r="S6" i="71"/>
  <c r="S7" i="71"/>
  <c r="S8" i="71"/>
  <c r="S9" i="71"/>
  <c r="U9" i="71" s="1"/>
  <c r="S10" i="71"/>
  <c r="U10" i="71" s="1"/>
  <c r="S11" i="71"/>
  <c r="S12" i="71"/>
  <c r="S13" i="71"/>
  <c r="S14" i="71"/>
  <c r="S15" i="71"/>
  <c r="S16" i="71"/>
  <c r="S17" i="71"/>
  <c r="S18" i="71"/>
  <c r="S19" i="71"/>
  <c r="S20" i="71"/>
  <c r="S21" i="71"/>
  <c r="S22" i="71"/>
  <c r="S23" i="71"/>
  <c r="S24" i="71"/>
  <c r="S25" i="71"/>
  <c r="S26" i="71"/>
  <c r="S27" i="71"/>
  <c r="S28" i="71"/>
  <c r="S29" i="71"/>
  <c r="S30" i="71"/>
  <c r="S31" i="71"/>
  <c r="S32" i="71"/>
  <c r="S33" i="71"/>
  <c r="S34" i="71"/>
  <c r="S35" i="71"/>
  <c r="S36" i="71"/>
  <c r="S37" i="71"/>
  <c r="S38" i="71"/>
  <c r="S39" i="71"/>
  <c r="S40" i="71"/>
  <c r="S41" i="71"/>
  <c r="S42" i="71"/>
  <c r="S43" i="71"/>
  <c r="S44" i="71"/>
  <c r="S45" i="71"/>
  <c r="S46" i="71"/>
  <c r="S47" i="71"/>
  <c r="S48" i="71"/>
  <c r="S49" i="71"/>
  <c r="U49" i="71" s="1"/>
  <c r="S50" i="71"/>
  <c r="U50" i="71" s="1"/>
  <c r="S51" i="71"/>
  <c r="S52" i="71"/>
  <c r="S53" i="71"/>
  <c r="U53" i="71" s="1"/>
  <c r="S54" i="71"/>
  <c r="U54" i="71" s="1"/>
  <c r="S55" i="71"/>
  <c r="S56" i="71"/>
  <c r="S57" i="71"/>
  <c r="S58" i="71"/>
  <c r="U58" i="71" s="1"/>
  <c r="S59" i="71"/>
  <c r="S60" i="71"/>
  <c r="S61" i="71"/>
  <c r="S62" i="71"/>
  <c r="S63" i="71"/>
  <c r="S64" i="71"/>
  <c r="S65" i="71"/>
  <c r="S66" i="71"/>
  <c r="S67" i="71"/>
  <c r="S68" i="71"/>
  <c r="S69" i="71"/>
  <c r="S70" i="71"/>
  <c r="S71" i="71"/>
  <c r="S72" i="71"/>
  <c r="S73" i="71"/>
  <c r="S74" i="71"/>
  <c r="S75" i="71"/>
  <c r="S76" i="71"/>
  <c r="S77" i="71"/>
  <c r="S78" i="71"/>
  <c r="S79" i="71"/>
  <c r="S80" i="71"/>
  <c r="S81" i="71"/>
  <c r="S82" i="71"/>
  <c r="S83" i="71"/>
  <c r="S84" i="71"/>
  <c r="S85" i="71"/>
  <c r="S86" i="71"/>
  <c r="S87" i="71"/>
  <c r="S88" i="71"/>
  <c r="S89" i="71"/>
  <c r="S90" i="71"/>
  <c r="S91" i="71"/>
  <c r="S92" i="71"/>
  <c r="S93" i="71"/>
  <c r="S94" i="71"/>
  <c r="S95" i="71"/>
  <c r="S96" i="71"/>
  <c r="S97" i="71"/>
  <c r="S98" i="71"/>
  <c r="S99" i="71"/>
  <c r="S100" i="71"/>
  <c r="S101" i="71"/>
  <c r="S102" i="71"/>
  <c r="S103" i="71"/>
  <c r="S3" i="70"/>
  <c r="S4" i="70"/>
  <c r="S5" i="70"/>
  <c r="S6" i="70"/>
  <c r="S7" i="70"/>
  <c r="S8" i="70"/>
  <c r="S9" i="70"/>
  <c r="S10" i="70"/>
  <c r="S11" i="70"/>
  <c r="S12" i="70"/>
  <c r="S13" i="70"/>
  <c r="S14" i="70"/>
  <c r="S15" i="70"/>
  <c r="S16" i="70"/>
  <c r="S17" i="70"/>
  <c r="S18" i="70"/>
  <c r="S19" i="70"/>
  <c r="S20" i="70"/>
  <c r="S21" i="70"/>
  <c r="S22" i="70"/>
  <c r="S23" i="70"/>
  <c r="S24" i="70"/>
  <c r="S25" i="70"/>
  <c r="S26" i="70"/>
  <c r="S27" i="70"/>
  <c r="S28" i="70"/>
  <c r="S29" i="70"/>
  <c r="S30" i="70"/>
  <c r="S31" i="70"/>
  <c r="S32" i="70"/>
  <c r="S33" i="70"/>
  <c r="S34" i="70"/>
  <c r="S35" i="70"/>
  <c r="S36" i="70"/>
  <c r="S37" i="70"/>
  <c r="S38" i="70"/>
  <c r="S39" i="70"/>
  <c r="S40" i="70"/>
  <c r="S41" i="70"/>
  <c r="S42" i="70"/>
  <c r="S43" i="70"/>
  <c r="S44" i="70"/>
  <c r="S45" i="70"/>
  <c r="S46" i="70"/>
  <c r="S47" i="70"/>
  <c r="S48" i="70"/>
  <c r="S49" i="70"/>
  <c r="S50" i="70"/>
  <c r="S51" i="70"/>
  <c r="S52" i="70"/>
  <c r="S53" i="70"/>
  <c r="S54" i="70"/>
  <c r="S55" i="70"/>
  <c r="S56" i="70"/>
  <c r="S57" i="70"/>
  <c r="S58" i="70"/>
  <c r="S59" i="70"/>
  <c r="S60" i="70"/>
  <c r="S61" i="70"/>
  <c r="S62" i="70"/>
  <c r="S63" i="70"/>
  <c r="S64" i="70"/>
  <c r="S65" i="70"/>
  <c r="S66" i="70"/>
  <c r="S67" i="70"/>
  <c r="S68" i="70"/>
  <c r="S69" i="70"/>
  <c r="S70" i="70"/>
  <c r="S71" i="70"/>
  <c r="S72" i="70"/>
  <c r="S73" i="70"/>
  <c r="S74" i="70"/>
  <c r="S75" i="70"/>
  <c r="S76" i="70"/>
  <c r="S77" i="70"/>
  <c r="S78" i="70"/>
  <c r="S79" i="70"/>
  <c r="S80" i="70"/>
  <c r="S81" i="70"/>
  <c r="S82" i="70"/>
  <c r="S83" i="70"/>
  <c r="S84" i="70"/>
  <c r="S85" i="70"/>
  <c r="S86" i="70"/>
  <c r="S87" i="70"/>
  <c r="S88" i="70"/>
  <c r="S89" i="70"/>
  <c r="S90" i="70"/>
  <c r="S91" i="70"/>
  <c r="S92" i="70"/>
  <c r="S93" i="70"/>
  <c r="S94" i="70"/>
  <c r="S95" i="70"/>
  <c r="S96" i="70"/>
  <c r="S97" i="70"/>
  <c r="S98" i="70"/>
  <c r="S99" i="70"/>
  <c r="S100" i="70"/>
  <c r="S101" i="70"/>
  <c r="S102" i="70"/>
  <c r="S103" i="70"/>
  <c r="S3" i="69"/>
  <c r="S4" i="69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37" i="69"/>
  <c r="S38" i="69"/>
  <c r="U38" i="69" s="1"/>
  <c r="S39" i="69"/>
  <c r="S40" i="69"/>
  <c r="S41" i="69"/>
  <c r="S42" i="69"/>
  <c r="S43" i="69"/>
  <c r="S44" i="69"/>
  <c r="S45" i="69"/>
  <c r="S46" i="69"/>
  <c r="U46" i="69" s="1"/>
  <c r="S47" i="69"/>
  <c r="S48" i="69"/>
  <c r="S49" i="69"/>
  <c r="S50" i="69"/>
  <c r="U50" i="69" s="1"/>
  <c r="S51" i="69"/>
  <c r="S52" i="69"/>
  <c r="S53" i="69"/>
  <c r="S54" i="69"/>
  <c r="U54" i="69" s="1"/>
  <c r="S55" i="69"/>
  <c r="S56" i="69"/>
  <c r="S57" i="69"/>
  <c r="S58" i="69"/>
  <c r="S59" i="69"/>
  <c r="S60" i="69"/>
  <c r="S61" i="69"/>
  <c r="S62" i="69"/>
  <c r="S63" i="69"/>
  <c r="S64" i="69"/>
  <c r="S65" i="69"/>
  <c r="S66" i="69"/>
  <c r="S67" i="69"/>
  <c r="S68" i="69"/>
  <c r="S69" i="69"/>
  <c r="S70" i="69"/>
  <c r="U70" i="69" s="1"/>
  <c r="S71" i="69"/>
  <c r="S72" i="69"/>
  <c r="S73" i="69"/>
  <c r="S74" i="69"/>
  <c r="S75" i="69"/>
  <c r="S76" i="69"/>
  <c r="S77" i="69"/>
  <c r="S78" i="69"/>
  <c r="S79" i="69"/>
  <c r="S80" i="69"/>
  <c r="S81" i="69"/>
  <c r="S82" i="69"/>
  <c r="S83" i="69"/>
  <c r="S84" i="69"/>
  <c r="S85" i="69"/>
  <c r="S86" i="69"/>
  <c r="S87" i="69"/>
  <c r="S88" i="69"/>
  <c r="S89" i="69"/>
  <c r="S90" i="69"/>
  <c r="S91" i="69"/>
  <c r="S92" i="69"/>
  <c r="S93" i="69"/>
  <c r="S94" i="69"/>
  <c r="S95" i="69"/>
  <c r="S96" i="69"/>
  <c r="S97" i="69"/>
  <c r="S98" i="69"/>
  <c r="S99" i="69"/>
  <c r="S100" i="69"/>
  <c r="S101" i="69"/>
  <c r="S102" i="69"/>
  <c r="S103" i="69"/>
  <c r="S3" i="79"/>
  <c r="S4" i="79"/>
  <c r="S5" i="79"/>
  <c r="S6" i="79"/>
  <c r="S7" i="79"/>
  <c r="S8" i="79"/>
  <c r="S9" i="79"/>
  <c r="S10" i="79"/>
  <c r="S11" i="79"/>
  <c r="S12" i="79"/>
  <c r="S13" i="79"/>
  <c r="S14" i="79"/>
  <c r="S15" i="79"/>
  <c r="S16" i="79"/>
  <c r="S17" i="79"/>
  <c r="S18" i="79"/>
  <c r="S19" i="79"/>
  <c r="S20" i="79"/>
  <c r="S21" i="79"/>
  <c r="S22" i="79"/>
  <c r="S23" i="79"/>
  <c r="S24" i="79"/>
  <c r="S25" i="79"/>
  <c r="S26" i="79"/>
  <c r="S27" i="79"/>
  <c r="S28" i="79"/>
  <c r="S29" i="79"/>
  <c r="S30" i="79"/>
  <c r="S31" i="79"/>
  <c r="S32" i="79"/>
  <c r="S33" i="79"/>
  <c r="S34" i="79"/>
  <c r="S35" i="79"/>
  <c r="S36" i="79"/>
  <c r="S37" i="79"/>
  <c r="S38" i="79"/>
  <c r="S39" i="79"/>
  <c r="S40" i="79"/>
  <c r="S41" i="79"/>
  <c r="S42" i="79"/>
  <c r="S43" i="79"/>
  <c r="S44" i="79"/>
  <c r="S45" i="79"/>
  <c r="S46" i="79"/>
  <c r="S47" i="79"/>
  <c r="S48" i="79"/>
  <c r="S49" i="79"/>
  <c r="S50" i="79"/>
  <c r="S51" i="79"/>
  <c r="S52" i="79"/>
  <c r="S53" i="79"/>
  <c r="S54" i="79"/>
  <c r="S55" i="79"/>
  <c r="S56" i="79"/>
  <c r="S57" i="79"/>
  <c r="S58" i="79"/>
  <c r="S59" i="79"/>
  <c r="S60" i="79"/>
  <c r="S61" i="79"/>
  <c r="S62" i="79"/>
  <c r="S63" i="79"/>
  <c r="S64" i="79"/>
  <c r="S65" i="79"/>
  <c r="S66" i="79"/>
  <c r="S67" i="79"/>
  <c r="S68" i="79"/>
  <c r="S69" i="79"/>
  <c r="S70" i="79"/>
  <c r="S71" i="79"/>
  <c r="S72" i="79"/>
  <c r="S73" i="79"/>
  <c r="S74" i="79"/>
  <c r="S75" i="79"/>
  <c r="S76" i="79"/>
  <c r="S77" i="79"/>
  <c r="S78" i="79"/>
  <c r="S79" i="79"/>
  <c r="S80" i="79"/>
  <c r="S81" i="79"/>
  <c r="S82" i="79"/>
  <c r="S83" i="79"/>
  <c r="S84" i="79"/>
  <c r="S85" i="79"/>
  <c r="S86" i="79"/>
  <c r="S87" i="79"/>
  <c r="S88" i="79"/>
  <c r="S89" i="79"/>
  <c r="S90" i="79"/>
  <c r="S91" i="79"/>
  <c r="S92" i="79"/>
  <c r="S93" i="79"/>
  <c r="S94" i="79"/>
  <c r="S95" i="79"/>
  <c r="S96" i="79"/>
  <c r="S97" i="79"/>
  <c r="S98" i="79"/>
  <c r="S99" i="79"/>
  <c r="S100" i="79"/>
  <c r="S101" i="79"/>
  <c r="S102" i="79"/>
  <c r="S103" i="79"/>
  <c r="U42" i="69"/>
  <c r="U58" i="69"/>
  <c r="U51" i="71"/>
  <c r="U55" i="71"/>
  <c r="U59" i="71"/>
  <c r="U3" i="72"/>
  <c r="U7" i="72"/>
  <c r="U15" i="72"/>
  <c r="U19" i="72"/>
  <c r="U23" i="72"/>
  <c r="U27" i="72"/>
  <c r="U31" i="72"/>
  <c r="S3" i="74"/>
  <c r="U3" i="74" s="1"/>
  <c r="S4" i="74"/>
  <c r="S5" i="74"/>
  <c r="S6" i="74"/>
  <c r="S7" i="74"/>
  <c r="S8" i="74"/>
  <c r="S9" i="74"/>
  <c r="S10" i="74"/>
  <c r="S11" i="74"/>
  <c r="U11" i="74" s="1"/>
  <c r="S12" i="74"/>
  <c r="S13" i="74"/>
  <c r="S14" i="74"/>
  <c r="S15" i="74"/>
  <c r="S16" i="74"/>
  <c r="S17" i="74"/>
  <c r="S18" i="74"/>
  <c r="S19" i="74"/>
  <c r="S20" i="74"/>
  <c r="S21" i="74"/>
  <c r="S22" i="74"/>
  <c r="S23" i="74"/>
  <c r="S24" i="74"/>
  <c r="S25" i="74"/>
  <c r="S26" i="74"/>
  <c r="S27" i="74"/>
  <c r="S28" i="74"/>
  <c r="S29" i="74"/>
  <c r="S30" i="74"/>
  <c r="S31" i="74"/>
  <c r="S32" i="74"/>
  <c r="S33" i="74"/>
  <c r="S34" i="74"/>
  <c r="S35" i="74"/>
  <c r="S36" i="74"/>
  <c r="S37" i="74"/>
  <c r="S38" i="74"/>
  <c r="S39" i="74"/>
  <c r="S40" i="74"/>
  <c r="S41" i="74"/>
  <c r="S42" i="74"/>
  <c r="S43" i="74"/>
  <c r="S44" i="74"/>
  <c r="S45" i="74"/>
  <c r="S46" i="74"/>
  <c r="S47" i="74"/>
  <c r="S48" i="74"/>
  <c r="S49" i="74"/>
  <c r="S50" i="74"/>
  <c r="S51" i="74"/>
  <c r="U51" i="74" s="1"/>
  <c r="S52" i="74"/>
  <c r="S53" i="74"/>
  <c r="S54" i="74"/>
  <c r="S55" i="74"/>
  <c r="U55" i="74" s="1"/>
  <c r="S56" i="74"/>
  <c r="S57" i="74"/>
  <c r="S58" i="74"/>
  <c r="S59" i="74"/>
  <c r="U59" i="74" s="1"/>
  <c r="S60" i="74"/>
  <c r="S61" i="74"/>
  <c r="S62" i="74"/>
  <c r="S63" i="74"/>
  <c r="S64" i="74"/>
  <c r="S65" i="74"/>
  <c r="S66" i="74"/>
  <c r="S67" i="74"/>
  <c r="S68" i="74"/>
  <c r="S69" i="74"/>
  <c r="S70" i="74"/>
  <c r="S71" i="74"/>
  <c r="S72" i="74"/>
  <c r="S73" i="74"/>
  <c r="S74" i="74"/>
  <c r="S75" i="74"/>
  <c r="S76" i="74"/>
  <c r="S77" i="74"/>
  <c r="S78" i="74"/>
  <c r="S79" i="74"/>
  <c r="S80" i="74"/>
  <c r="S81" i="74"/>
  <c r="S82" i="74"/>
  <c r="S83" i="74"/>
  <c r="S84" i="74"/>
  <c r="S85" i="74"/>
  <c r="S86" i="74"/>
  <c r="S87" i="74"/>
  <c r="S88" i="74"/>
  <c r="S89" i="74"/>
  <c r="S90" i="74"/>
  <c r="S91" i="74"/>
  <c r="S92" i="74"/>
  <c r="S93" i="74"/>
  <c r="S94" i="74"/>
  <c r="S95" i="74"/>
  <c r="S96" i="74"/>
  <c r="S97" i="74"/>
  <c r="S98" i="74"/>
  <c r="S99" i="74"/>
  <c r="S100" i="74"/>
  <c r="S101" i="74"/>
  <c r="S102" i="74"/>
  <c r="S103" i="74"/>
  <c r="S3" i="75"/>
  <c r="S4" i="75"/>
  <c r="S5" i="75"/>
  <c r="S6" i="75"/>
  <c r="S7" i="75"/>
  <c r="S8" i="75"/>
  <c r="S9" i="75"/>
  <c r="S10" i="75"/>
  <c r="S11" i="75"/>
  <c r="S12" i="75"/>
  <c r="S13" i="75"/>
  <c r="S14" i="75"/>
  <c r="S15" i="75"/>
  <c r="S16" i="75"/>
  <c r="S17" i="75"/>
  <c r="S18" i="75"/>
  <c r="S19" i="75"/>
  <c r="S20" i="75"/>
  <c r="S21" i="75"/>
  <c r="S22" i="75"/>
  <c r="S23" i="75"/>
  <c r="S24" i="75"/>
  <c r="S25" i="75"/>
  <c r="S26" i="75"/>
  <c r="S27" i="75"/>
  <c r="S28" i="75"/>
  <c r="S29" i="75"/>
  <c r="S30" i="75"/>
  <c r="S31" i="75"/>
  <c r="S32" i="75"/>
  <c r="S33" i="75"/>
  <c r="S34" i="75"/>
  <c r="S35" i="75"/>
  <c r="S36" i="75"/>
  <c r="S37" i="75"/>
  <c r="S38" i="75"/>
  <c r="S39" i="75"/>
  <c r="S40" i="75"/>
  <c r="S41" i="75"/>
  <c r="S42" i="75"/>
  <c r="S43" i="75"/>
  <c r="S44" i="75"/>
  <c r="S45" i="75"/>
  <c r="S46" i="75"/>
  <c r="S47" i="75"/>
  <c r="S48" i="75"/>
  <c r="S49" i="75"/>
  <c r="S50" i="75"/>
  <c r="S51" i="75"/>
  <c r="S52" i="75"/>
  <c r="S53" i="75"/>
  <c r="S54" i="75"/>
  <c r="S55" i="75"/>
  <c r="S56" i="75"/>
  <c r="S57" i="75"/>
  <c r="S58" i="75"/>
  <c r="S59" i="75"/>
  <c r="S60" i="75"/>
  <c r="S61" i="75"/>
  <c r="S62" i="75"/>
  <c r="U62" i="75" s="1"/>
  <c r="S63" i="75"/>
  <c r="S64" i="75"/>
  <c r="U64" i="75" s="1"/>
  <c r="S65" i="75"/>
  <c r="U65" i="75" s="1"/>
  <c r="S66" i="75"/>
  <c r="U66" i="75" s="1"/>
  <c r="S67" i="75"/>
  <c r="S68" i="75"/>
  <c r="U68" i="75" s="1"/>
  <c r="S69" i="75"/>
  <c r="U69" i="75" s="1"/>
  <c r="S70" i="75"/>
  <c r="U70" i="75" s="1"/>
  <c r="S71" i="75"/>
  <c r="S72" i="75"/>
  <c r="S73" i="75"/>
  <c r="S74" i="75"/>
  <c r="S75" i="75"/>
  <c r="S76" i="75"/>
  <c r="S77" i="75"/>
  <c r="S78" i="75"/>
  <c r="S79" i="75"/>
  <c r="S80" i="75"/>
  <c r="S81" i="75"/>
  <c r="S82" i="75"/>
  <c r="U82" i="75" s="1"/>
  <c r="S83" i="75"/>
  <c r="S84" i="75"/>
  <c r="S85" i="75"/>
  <c r="S86" i="75"/>
  <c r="U86" i="75" s="1"/>
  <c r="S87" i="75"/>
  <c r="S88" i="75"/>
  <c r="S89" i="75"/>
  <c r="S90" i="75"/>
  <c r="U90" i="75" s="1"/>
  <c r="S91" i="75"/>
  <c r="S92" i="75"/>
  <c r="S93" i="75"/>
  <c r="S94" i="75"/>
  <c r="U94" i="75" s="1"/>
  <c r="S95" i="75"/>
  <c r="S96" i="75"/>
  <c r="S97" i="75"/>
  <c r="S98" i="75"/>
  <c r="U98" i="75" s="1"/>
  <c r="S99" i="75"/>
  <c r="S100" i="75"/>
  <c r="S101" i="75"/>
  <c r="S102" i="75"/>
  <c r="U102" i="75" s="1"/>
  <c r="S103" i="75"/>
  <c r="S3" i="76"/>
  <c r="S4" i="76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4" i="76"/>
  <c r="S45" i="76"/>
  <c r="S46" i="76"/>
  <c r="S47" i="76"/>
  <c r="S48" i="76"/>
  <c r="S49" i="76"/>
  <c r="S50" i="76"/>
  <c r="S51" i="76"/>
  <c r="S52" i="76"/>
  <c r="S53" i="76"/>
  <c r="S54" i="76"/>
  <c r="S55" i="76"/>
  <c r="S56" i="76"/>
  <c r="S57" i="76"/>
  <c r="S58" i="76"/>
  <c r="S59" i="76"/>
  <c r="S60" i="76"/>
  <c r="S61" i="76"/>
  <c r="S62" i="76"/>
  <c r="S63" i="76"/>
  <c r="S64" i="76"/>
  <c r="S65" i="76"/>
  <c r="S66" i="76"/>
  <c r="S67" i="76"/>
  <c r="S68" i="76"/>
  <c r="S69" i="76"/>
  <c r="S70" i="76"/>
  <c r="S71" i="76"/>
  <c r="S72" i="76"/>
  <c r="S73" i="76"/>
  <c r="S74" i="76"/>
  <c r="S75" i="76"/>
  <c r="S76" i="76"/>
  <c r="S77" i="76"/>
  <c r="S78" i="76"/>
  <c r="S79" i="76"/>
  <c r="S80" i="76"/>
  <c r="S81" i="76"/>
  <c r="S82" i="76"/>
  <c r="S83" i="76"/>
  <c r="S84" i="76"/>
  <c r="S85" i="76"/>
  <c r="S86" i="76"/>
  <c r="S87" i="76"/>
  <c r="S88" i="76"/>
  <c r="S89" i="76"/>
  <c r="S90" i="76"/>
  <c r="S91" i="76"/>
  <c r="S92" i="76"/>
  <c r="S93" i="76"/>
  <c r="S94" i="76"/>
  <c r="S95" i="76"/>
  <c r="S96" i="76"/>
  <c r="S97" i="76"/>
  <c r="S98" i="76"/>
  <c r="S99" i="76"/>
  <c r="S100" i="76"/>
  <c r="S101" i="76"/>
  <c r="S102" i="76"/>
  <c r="S103" i="76"/>
  <c r="S3" i="77"/>
  <c r="S4" i="77"/>
  <c r="S5" i="77"/>
  <c r="S6" i="77"/>
  <c r="U6" i="77" s="1"/>
  <c r="S7" i="77"/>
  <c r="S8" i="77"/>
  <c r="S9" i="77"/>
  <c r="S10" i="77"/>
  <c r="U10" i="77" s="1"/>
  <c r="S11" i="77"/>
  <c r="S12" i="77"/>
  <c r="S13" i="77"/>
  <c r="S14" i="77"/>
  <c r="U14" i="77" s="1"/>
  <c r="S15" i="77"/>
  <c r="S16" i="77"/>
  <c r="S17" i="77"/>
  <c r="S18" i="77"/>
  <c r="U18" i="77" s="1"/>
  <c r="S19" i="77"/>
  <c r="S20" i="77"/>
  <c r="S21" i="77"/>
  <c r="S22" i="77"/>
  <c r="U22" i="77" s="1"/>
  <c r="S23" i="77"/>
  <c r="S24" i="77"/>
  <c r="S25" i="77"/>
  <c r="S26" i="77"/>
  <c r="U26" i="77" s="1"/>
  <c r="S27" i="77"/>
  <c r="S28" i="77"/>
  <c r="S29" i="77"/>
  <c r="S30" i="77"/>
  <c r="U30" i="77" s="1"/>
  <c r="S31" i="77"/>
  <c r="S32" i="77"/>
  <c r="S33" i="77"/>
  <c r="S34" i="77"/>
  <c r="S35" i="77"/>
  <c r="S36" i="77"/>
  <c r="S37" i="77"/>
  <c r="S38" i="77"/>
  <c r="U38" i="77" s="1"/>
  <c r="S39" i="77"/>
  <c r="S40" i="77"/>
  <c r="S41" i="77"/>
  <c r="S42" i="77"/>
  <c r="U42" i="77" s="1"/>
  <c r="S43" i="77"/>
  <c r="S44" i="77"/>
  <c r="S45" i="77"/>
  <c r="S46" i="77"/>
  <c r="S47" i="77"/>
  <c r="S48" i="77"/>
  <c r="S49" i="77"/>
  <c r="S50" i="77"/>
  <c r="U50" i="77" s="1"/>
  <c r="S51" i="77"/>
  <c r="S52" i="77"/>
  <c r="S53" i="77"/>
  <c r="S54" i="77"/>
  <c r="U54" i="77" s="1"/>
  <c r="S55" i="77"/>
  <c r="S56" i="77"/>
  <c r="S57" i="77"/>
  <c r="S58" i="77"/>
  <c r="U58" i="77" s="1"/>
  <c r="S59" i="77"/>
  <c r="S60" i="77"/>
  <c r="S61" i="77"/>
  <c r="S62" i="77"/>
  <c r="S63" i="77"/>
  <c r="S64" i="77"/>
  <c r="S65" i="77"/>
  <c r="S66" i="77"/>
  <c r="S67" i="77"/>
  <c r="S68" i="77"/>
  <c r="S69" i="77"/>
  <c r="S70" i="77"/>
  <c r="S71" i="77"/>
  <c r="S72" i="77"/>
  <c r="S73" i="77"/>
  <c r="S74" i="77"/>
  <c r="S75" i="77"/>
  <c r="S76" i="77"/>
  <c r="S77" i="77"/>
  <c r="S78" i="77"/>
  <c r="S79" i="77"/>
  <c r="S80" i="77"/>
  <c r="S81" i="77"/>
  <c r="S82" i="77"/>
  <c r="S83" i="77"/>
  <c r="S84" i="77"/>
  <c r="S85" i="77"/>
  <c r="S86" i="77"/>
  <c r="S87" i="77"/>
  <c r="S88" i="77"/>
  <c r="S89" i="77"/>
  <c r="S90" i="77"/>
  <c r="S91" i="77"/>
  <c r="S92" i="77"/>
  <c r="S93" i="77"/>
  <c r="S94" i="77"/>
  <c r="S95" i="77"/>
  <c r="S96" i="77"/>
  <c r="S97" i="77"/>
  <c r="S98" i="77"/>
  <c r="S99" i="77"/>
  <c r="S100" i="77"/>
  <c r="S101" i="77"/>
  <c r="S102" i="77"/>
  <c r="S103" i="77"/>
  <c r="S4" i="68"/>
  <c r="S5" i="68"/>
  <c r="S6" i="68"/>
  <c r="U6" i="68" s="1"/>
  <c r="S7" i="68"/>
  <c r="S8" i="68"/>
  <c r="S9" i="68"/>
  <c r="S10" i="68"/>
  <c r="U10" i="68" s="1"/>
  <c r="S11" i="68"/>
  <c r="S12" i="68"/>
  <c r="S13" i="68"/>
  <c r="S14" i="68"/>
  <c r="U14" i="68" s="1"/>
  <c r="S15" i="68"/>
  <c r="S16" i="68"/>
  <c r="S17" i="68"/>
  <c r="S18" i="68"/>
  <c r="U18" i="68" s="1"/>
  <c r="S19" i="68"/>
  <c r="S20" i="68"/>
  <c r="S21" i="68"/>
  <c r="S22" i="68"/>
  <c r="S23" i="68"/>
  <c r="S24" i="68"/>
  <c r="S25" i="68"/>
  <c r="S26" i="68"/>
  <c r="S27" i="68"/>
  <c r="S28" i="68"/>
  <c r="S29" i="68"/>
  <c r="S30" i="68"/>
  <c r="S31" i="68"/>
  <c r="S32" i="68"/>
  <c r="S33" i="68"/>
  <c r="S34" i="68"/>
  <c r="S35" i="68"/>
  <c r="S36" i="68"/>
  <c r="S37" i="68"/>
  <c r="S38" i="68"/>
  <c r="S39" i="68"/>
  <c r="S40" i="68"/>
  <c r="S41" i="68"/>
  <c r="S42" i="68"/>
  <c r="S43" i="68"/>
  <c r="S44" i="68"/>
  <c r="S45" i="68"/>
  <c r="S46" i="68"/>
  <c r="S47" i="68"/>
  <c r="S48" i="68"/>
  <c r="S49" i="68"/>
  <c r="S50" i="68"/>
  <c r="S51" i="68"/>
  <c r="S52" i="68"/>
  <c r="S53" i="68"/>
  <c r="S54" i="68"/>
  <c r="S55" i="68"/>
  <c r="U55" i="68" s="1"/>
  <c r="S56" i="68"/>
  <c r="S57" i="68"/>
  <c r="U57" i="68" s="1"/>
  <c r="S58" i="68"/>
  <c r="U58" i="68" s="1"/>
  <c r="S59" i="68"/>
  <c r="U59" i="68" s="1"/>
  <c r="S60" i="68"/>
  <c r="S61" i="68"/>
  <c r="U61" i="68" s="1"/>
  <c r="S62" i="68"/>
  <c r="U62" i="68" s="1"/>
  <c r="S63" i="68"/>
  <c r="U63" i="68" s="1"/>
  <c r="S64" i="68"/>
  <c r="S65" i="68"/>
  <c r="U65" i="68" s="1"/>
  <c r="S66" i="68"/>
  <c r="U66" i="68" s="1"/>
  <c r="S67" i="68"/>
  <c r="U67" i="68" s="1"/>
  <c r="S68" i="68"/>
  <c r="S69" i="68"/>
  <c r="U69" i="68" s="1"/>
  <c r="S70" i="68"/>
  <c r="U70" i="68" s="1"/>
  <c r="S71" i="68"/>
  <c r="U71" i="68" s="1"/>
  <c r="S72" i="68"/>
  <c r="S73" i="68"/>
  <c r="U73" i="68" s="1"/>
  <c r="S74" i="68"/>
  <c r="U74" i="68" s="1"/>
  <c r="S75" i="68"/>
  <c r="U75" i="68" s="1"/>
  <c r="S76" i="68"/>
  <c r="S77" i="68"/>
  <c r="U77" i="68" s="1"/>
  <c r="S78" i="68"/>
  <c r="U78" i="68" s="1"/>
  <c r="S79" i="68"/>
  <c r="U79" i="68" s="1"/>
  <c r="S80" i="68"/>
  <c r="S81" i="68"/>
  <c r="U81" i="68" s="1"/>
  <c r="S82" i="68"/>
  <c r="U82" i="68" s="1"/>
  <c r="S83" i="68"/>
  <c r="U83" i="68" s="1"/>
  <c r="S84" i="68"/>
  <c r="S85" i="68"/>
  <c r="U85" i="68" s="1"/>
  <c r="S86" i="68"/>
  <c r="U86" i="68" s="1"/>
  <c r="S87" i="68"/>
  <c r="U87" i="68" s="1"/>
  <c r="S88" i="68"/>
  <c r="S89" i="68"/>
  <c r="S90" i="68"/>
  <c r="S91" i="68"/>
  <c r="S92" i="68"/>
  <c r="S93" i="68"/>
  <c r="S94" i="68"/>
  <c r="S95" i="68"/>
  <c r="S96" i="68"/>
  <c r="S97" i="68"/>
  <c r="S98" i="68"/>
  <c r="S99" i="68"/>
  <c r="S100" i="68"/>
  <c r="S101" i="68"/>
  <c r="S102" i="68"/>
  <c r="S103" i="68"/>
  <c r="H6" i="2"/>
  <c r="H8" i="2"/>
  <c r="H7" i="2"/>
  <c r="H5" i="2"/>
  <c r="H4" i="2"/>
  <c r="H3" i="2"/>
  <c r="R103" i="79"/>
  <c r="Q103" i="79"/>
  <c r="O103" i="79"/>
  <c r="U103" i="79" s="1"/>
  <c r="I103" i="79"/>
  <c r="F103" i="79"/>
  <c r="C103" i="79"/>
  <c r="H103" i="79" s="1"/>
  <c r="N103" i="79" s="1"/>
  <c r="B103" i="79"/>
  <c r="G103" i="79" s="1"/>
  <c r="R102" i="79"/>
  <c r="Q102" i="79"/>
  <c r="O102" i="79"/>
  <c r="U102" i="79" s="1"/>
  <c r="I102" i="79"/>
  <c r="F102" i="79"/>
  <c r="C102" i="79"/>
  <c r="H102" i="79" s="1"/>
  <c r="N102" i="79" s="1"/>
  <c r="B102" i="79"/>
  <c r="G102" i="79" s="1"/>
  <c r="R101" i="79"/>
  <c r="Q101" i="79"/>
  <c r="O101" i="79"/>
  <c r="U101" i="79" s="1"/>
  <c r="I101" i="79"/>
  <c r="F101" i="79"/>
  <c r="C101" i="79"/>
  <c r="H101" i="79" s="1"/>
  <c r="N101" i="79" s="1"/>
  <c r="B101" i="79"/>
  <c r="G101" i="79" s="1"/>
  <c r="R100" i="79"/>
  <c r="Q100" i="79"/>
  <c r="O100" i="79"/>
  <c r="U100" i="79" s="1"/>
  <c r="I100" i="79"/>
  <c r="F100" i="79"/>
  <c r="C100" i="79"/>
  <c r="H100" i="79" s="1"/>
  <c r="N100" i="79" s="1"/>
  <c r="B100" i="79"/>
  <c r="G100" i="79" s="1"/>
  <c r="R99" i="79"/>
  <c r="Q99" i="79"/>
  <c r="O99" i="79"/>
  <c r="U99" i="79" s="1"/>
  <c r="I99" i="79"/>
  <c r="F99" i="79"/>
  <c r="C99" i="79"/>
  <c r="H99" i="79" s="1"/>
  <c r="N99" i="79" s="1"/>
  <c r="B99" i="79"/>
  <c r="G99" i="79" s="1"/>
  <c r="R98" i="79"/>
  <c r="Q98" i="79"/>
  <c r="O98" i="79"/>
  <c r="U98" i="79" s="1"/>
  <c r="I98" i="79"/>
  <c r="F98" i="79"/>
  <c r="C98" i="79"/>
  <c r="H98" i="79" s="1"/>
  <c r="N98" i="79" s="1"/>
  <c r="B98" i="79"/>
  <c r="G98" i="79" s="1"/>
  <c r="R97" i="79"/>
  <c r="Q97" i="79"/>
  <c r="O97" i="79"/>
  <c r="U97" i="79" s="1"/>
  <c r="I97" i="79"/>
  <c r="F97" i="79"/>
  <c r="C97" i="79"/>
  <c r="H97" i="79" s="1"/>
  <c r="N97" i="79" s="1"/>
  <c r="B97" i="79"/>
  <c r="G97" i="79" s="1"/>
  <c r="R96" i="79"/>
  <c r="Q96" i="79"/>
  <c r="O96" i="79"/>
  <c r="U96" i="79" s="1"/>
  <c r="I96" i="79"/>
  <c r="F96" i="79"/>
  <c r="C96" i="79"/>
  <c r="H96" i="79" s="1"/>
  <c r="N96" i="79" s="1"/>
  <c r="B96" i="79"/>
  <c r="G96" i="79" s="1"/>
  <c r="R95" i="79"/>
  <c r="Q95" i="79"/>
  <c r="O95" i="79"/>
  <c r="U95" i="79" s="1"/>
  <c r="I95" i="79"/>
  <c r="F95" i="79"/>
  <c r="C95" i="79"/>
  <c r="H95" i="79" s="1"/>
  <c r="N95" i="79" s="1"/>
  <c r="B95" i="79"/>
  <c r="G95" i="79" s="1"/>
  <c r="R94" i="79"/>
  <c r="Q94" i="79"/>
  <c r="O94" i="79"/>
  <c r="U94" i="79" s="1"/>
  <c r="I94" i="79"/>
  <c r="F94" i="79"/>
  <c r="C94" i="79"/>
  <c r="H94" i="79" s="1"/>
  <c r="N94" i="79" s="1"/>
  <c r="B94" i="79"/>
  <c r="G94" i="79" s="1"/>
  <c r="R93" i="79"/>
  <c r="Q93" i="79"/>
  <c r="O93" i="79"/>
  <c r="U93" i="79" s="1"/>
  <c r="I93" i="79"/>
  <c r="F93" i="79"/>
  <c r="C93" i="79"/>
  <c r="H93" i="79" s="1"/>
  <c r="N93" i="79" s="1"/>
  <c r="B93" i="79"/>
  <c r="G93" i="79" s="1"/>
  <c r="R92" i="79"/>
  <c r="Q92" i="79"/>
  <c r="O92" i="79"/>
  <c r="U92" i="79" s="1"/>
  <c r="I92" i="79"/>
  <c r="F92" i="79"/>
  <c r="C92" i="79"/>
  <c r="H92" i="79" s="1"/>
  <c r="N92" i="79" s="1"/>
  <c r="B92" i="79"/>
  <c r="G92" i="79" s="1"/>
  <c r="R91" i="79"/>
  <c r="Q91" i="79"/>
  <c r="O91" i="79"/>
  <c r="U91" i="79" s="1"/>
  <c r="I91" i="79"/>
  <c r="F91" i="79"/>
  <c r="C91" i="79"/>
  <c r="H91" i="79" s="1"/>
  <c r="N91" i="79" s="1"/>
  <c r="B91" i="79"/>
  <c r="G91" i="79" s="1"/>
  <c r="R90" i="79"/>
  <c r="Q90" i="79"/>
  <c r="O90" i="79"/>
  <c r="U90" i="79" s="1"/>
  <c r="I90" i="79"/>
  <c r="F90" i="79"/>
  <c r="C90" i="79"/>
  <c r="H90" i="79" s="1"/>
  <c r="N90" i="79" s="1"/>
  <c r="B90" i="79"/>
  <c r="G90" i="79" s="1"/>
  <c r="R89" i="79"/>
  <c r="Q89" i="79"/>
  <c r="O89" i="79"/>
  <c r="U89" i="79" s="1"/>
  <c r="I89" i="79"/>
  <c r="F89" i="79"/>
  <c r="C89" i="79"/>
  <c r="H89" i="79" s="1"/>
  <c r="N89" i="79" s="1"/>
  <c r="B89" i="79"/>
  <c r="G89" i="79" s="1"/>
  <c r="R88" i="79"/>
  <c r="Q88" i="79"/>
  <c r="O88" i="79"/>
  <c r="U88" i="79" s="1"/>
  <c r="I88" i="79"/>
  <c r="F88" i="79"/>
  <c r="C88" i="79"/>
  <c r="H88" i="79" s="1"/>
  <c r="N88" i="79" s="1"/>
  <c r="B88" i="79"/>
  <c r="G88" i="79" s="1"/>
  <c r="R87" i="79"/>
  <c r="Q87" i="79"/>
  <c r="O87" i="79"/>
  <c r="U87" i="79" s="1"/>
  <c r="I87" i="79"/>
  <c r="F87" i="79"/>
  <c r="C87" i="79"/>
  <c r="H87" i="79" s="1"/>
  <c r="N87" i="79" s="1"/>
  <c r="B87" i="79"/>
  <c r="G87" i="79" s="1"/>
  <c r="R86" i="79"/>
  <c r="Q86" i="79"/>
  <c r="O86" i="79"/>
  <c r="U86" i="79" s="1"/>
  <c r="I86" i="79"/>
  <c r="F86" i="79"/>
  <c r="C86" i="79"/>
  <c r="H86" i="79" s="1"/>
  <c r="N86" i="79" s="1"/>
  <c r="B86" i="79"/>
  <c r="G86" i="79" s="1"/>
  <c r="R85" i="79"/>
  <c r="Q85" i="79"/>
  <c r="O85" i="79"/>
  <c r="U85" i="79" s="1"/>
  <c r="I85" i="79"/>
  <c r="F85" i="79"/>
  <c r="C85" i="79"/>
  <c r="H85" i="79" s="1"/>
  <c r="N85" i="79" s="1"/>
  <c r="B85" i="79"/>
  <c r="G85" i="79" s="1"/>
  <c r="R84" i="79"/>
  <c r="Q84" i="79"/>
  <c r="O84" i="79"/>
  <c r="U84" i="79" s="1"/>
  <c r="I84" i="79"/>
  <c r="F84" i="79"/>
  <c r="C84" i="79"/>
  <c r="H84" i="79" s="1"/>
  <c r="N84" i="79" s="1"/>
  <c r="B84" i="79"/>
  <c r="G84" i="79" s="1"/>
  <c r="R83" i="79"/>
  <c r="Q83" i="79"/>
  <c r="O83" i="79"/>
  <c r="U83" i="79" s="1"/>
  <c r="I83" i="79"/>
  <c r="F83" i="79"/>
  <c r="C83" i="79"/>
  <c r="H83" i="79" s="1"/>
  <c r="N83" i="79" s="1"/>
  <c r="B83" i="79"/>
  <c r="G83" i="79" s="1"/>
  <c r="R82" i="79"/>
  <c r="Q82" i="79"/>
  <c r="O82" i="79"/>
  <c r="U82" i="79" s="1"/>
  <c r="I82" i="79"/>
  <c r="F82" i="79"/>
  <c r="C82" i="79"/>
  <c r="H82" i="79" s="1"/>
  <c r="N82" i="79" s="1"/>
  <c r="B82" i="79"/>
  <c r="G82" i="79" s="1"/>
  <c r="R81" i="79"/>
  <c r="Q81" i="79"/>
  <c r="O81" i="79"/>
  <c r="U81" i="79" s="1"/>
  <c r="I81" i="79"/>
  <c r="F81" i="79"/>
  <c r="C81" i="79"/>
  <c r="H81" i="79" s="1"/>
  <c r="N81" i="79" s="1"/>
  <c r="B81" i="79"/>
  <c r="G81" i="79" s="1"/>
  <c r="R80" i="79"/>
  <c r="Q80" i="79"/>
  <c r="O80" i="79"/>
  <c r="U80" i="79" s="1"/>
  <c r="I80" i="79"/>
  <c r="F80" i="79"/>
  <c r="C80" i="79"/>
  <c r="H80" i="79" s="1"/>
  <c r="N80" i="79" s="1"/>
  <c r="B80" i="79"/>
  <c r="G80" i="79" s="1"/>
  <c r="R79" i="79"/>
  <c r="Q79" i="79"/>
  <c r="O79" i="79"/>
  <c r="U79" i="79" s="1"/>
  <c r="I79" i="79"/>
  <c r="F79" i="79"/>
  <c r="C79" i="79"/>
  <c r="H79" i="79" s="1"/>
  <c r="N79" i="79" s="1"/>
  <c r="B79" i="79"/>
  <c r="G79" i="79" s="1"/>
  <c r="R78" i="79"/>
  <c r="Q78" i="79"/>
  <c r="O78" i="79"/>
  <c r="U78" i="79" s="1"/>
  <c r="I78" i="79"/>
  <c r="F78" i="79"/>
  <c r="C78" i="79"/>
  <c r="H78" i="79" s="1"/>
  <c r="N78" i="79" s="1"/>
  <c r="B78" i="79"/>
  <c r="G78" i="79" s="1"/>
  <c r="R77" i="79"/>
  <c r="Q77" i="79"/>
  <c r="O77" i="79"/>
  <c r="U77" i="79" s="1"/>
  <c r="I77" i="79"/>
  <c r="G77" i="79"/>
  <c r="F77" i="79"/>
  <c r="C77" i="79"/>
  <c r="H77" i="79" s="1"/>
  <c r="N77" i="79" s="1"/>
  <c r="B77" i="79"/>
  <c r="R76" i="79"/>
  <c r="Q76" i="79"/>
  <c r="O76" i="79"/>
  <c r="U76" i="79" s="1"/>
  <c r="I76" i="79"/>
  <c r="F76" i="79"/>
  <c r="C76" i="79"/>
  <c r="H76" i="79" s="1"/>
  <c r="N76" i="79" s="1"/>
  <c r="B76" i="79"/>
  <c r="G76" i="79" s="1"/>
  <c r="R75" i="79"/>
  <c r="Q75" i="79"/>
  <c r="O75" i="79"/>
  <c r="U75" i="79" s="1"/>
  <c r="I75" i="79"/>
  <c r="F75" i="79"/>
  <c r="C75" i="79"/>
  <c r="H75" i="79" s="1"/>
  <c r="N75" i="79" s="1"/>
  <c r="B75" i="79"/>
  <c r="G75" i="79" s="1"/>
  <c r="R74" i="79"/>
  <c r="Q74" i="79"/>
  <c r="O74" i="79"/>
  <c r="U74" i="79" s="1"/>
  <c r="I74" i="79"/>
  <c r="F74" i="79"/>
  <c r="C74" i="79"/>
  <c r="H74" i="79" s="1"/>
  <c r="N74" i="79" s="1"/>
  <c r="B74" i="79"/>
  <c r="G74" i="79" s="1"/>
  <c r="R73" i="79"/>
  <c r="Q73" i="79"/>
  <c r="O73" i="79"/>
  <c r="U73" i="79" s="1"/>
  <c r="I73" i="79"/>
  <c r="G73" i="79"/>
  <c r="F73" i="79"/>
  <c r="C73" i="79"/>
  <c r="H73" i="79" s="1"/>
  <c r="N73" i="79" s="1"/>
  <c r="B73" i="79"/>
  <c r="U72" i="79"/>
  <c r="R72" i="79"/>
  <c r="Q72" i="79"/>
  <c r="O72" i="79"/>
  <c r="I72" i="79"/>
  <c r="F72" i="79"/>
  <c r="C72" i="79"/>
  <c r="H72" i="79" s="1"/>
  <c r="N72" i="79" s="1"/>
  <c r="B72" i="79"/>
  <c r="G72" i="79" s="1"/>
  <c r="R71" i="79"/>
  <c r="Q71" i="79"/>
  <c r="O71" i="79"/>
  <c r="U71" i="79" s="1"/>
  <c r="I71" i="79"/>
  <c r="F71" i="79"/>
  <c r="C71" i="79"/>
  <c r="H71" i="79" s="1"/>
  <c r="N71" i="79" s="1"/>
  <c r="B71" i="79"/>
  <c r="G71" i="79" s="1"/>
  <c r="R70" i="79"/>
  <c r="Q70" i="79"/>
  <c r="O70" i="79"/>
  <c r="U70" i="79" s="1"/>
  <c r="I70" i="79"/>
  <c r="F70" i="79"/>
  <c r="C70" i="79"/>
  <c r="H70" i="79" s="1"/>
  <c r="N70" i="79" s="1"/>
  <c r="B70" i="79"/>
  <c r="G70" i="79" s="1"/>
  <c r="R69" i="79"/>
  <c r="Q69" i="79"/>
  <c r="O69" i="79"/>
  <c r="U69" i="79" s="1"/>
  <c r="I69" i="79"/>
  <c r="G69" i="79"/>
  <c r="F69" i="79"/>
  <c r="C69" i="79"/>
  <c r="H69" i="79" s="1"/>
  <c r="N69" i="79" s="1"/>
  <c r="B69" i="79"/>
  <c r="U68" i="79"/>
  <c r="R68" i="79"/>
  <c r="Q68" i="79"/>
  <c r="O68" i="79"/>
  <c r="I68" i="79"/>
  <c r="F68" i="79"/>
  <c r="C68" i="79"/>
  <c r="H68" i="79" s="1"/>
  <c r="N68" i="79" s="1"/>
  <c r="B68" i="79"/>
  <c r="G68" i="79" s="1"/>
  <c r="R67" i="79"/>
  <c r="Q67" i="79"/>
  <c r="O67" i="79"/>
  <c r="U67" i="79" s="1"/>
  <c r="I67" i="79"/>
  <c r="F67" i="79"/>
  <c r="C67" i="79"/>
  <c r="H67" i="79" s="1"/>
  <c r="N67" i="79" s="1"/>
  <c r="B67" i="79"/>
  <c r="G67" i="79" s="1"/>
  <c r="R66" i="79"/>
  <c r="Q66" i="79"/>
  <c r="O66" i="79"/>
  <c r="U66" i="79" s="1"/>
  <c r="I66" i="79"/>
  <c r="F66" i="79"/>
  <c r="C66" i="79"/>
  <c r="H66" i="79" s="1"/>
  <c r="N66" i="79" s="1"/>
  <c r="B66" i="79"/>
  <c r="G66" i="79" s="1"/>
  <c r="R65" i="79"/>
  <c r="Q65" i="79"/>
  <c r="O65" i="79"/>
  <c r="U65" i="79" s="1"/>
  <c r="I65" i="79"/>
  <c r="F65" i="79"/>
  <c r="C65" i="79"/>
  <c r="H65" i="79" s="1"/>
  <c r="N65" i="79" s="1"/>
  <c r="B65" i="79"/>
  <c r="G65" i="79" s="1"/>
  <c r="R64" i="79"/>
  <c r="Q64" i="79"/>
  <c r="O64" i="79"/>
  <c r="U64" i="79" s="1"/>
  <c r="I64" i="79"/>
  <c r="F64" i="79"/>
  <c r="C64" i="79"/>
  <c r="H64" i="79" s="1"/>
  <c r="N64" i="79" s="1"/>
  <c r="B64" i="79"/>
  <c r="G64" i="79" s="1"/>
  <c r="R63" i="79"/>
  <c r="Q63" i="79"/>
  <c r="O63" i="79"/>
  <c r="U63" i="79" s="1"/>
  <c r="I63" i="79"/>
  <c r="F63" i="79"/>
  <c r="C63" i="79"/>
  <c r="H63" i="79" s="1"/>
  <c r="N63" i="79" s="1"/>
  <c r="B63" i="79"/>
  <c r="G63" i="79" s="1"/>
  <c r="R62" i="79"/>
  <c r="Q62" i="79"/>
  <c r="O62" i="79"/>
  <c r="U62" i="79" s="1"/>
  <c r="I62" i="79"/>
  <c r="F62" i="79"/>
  <c r="C62" i="79"/>
  <c r="H62" i="79" s="1"/>
  <c r="N62" i="79" s="1"/>
  <c r="B62" i="79"/>
  <c r="G62" i="79" s="1"/>
  <c r="R61" i="79"/>
  <c r="Q61" i="79"/>
  <c r="O61" i="79"/>
  <c r="U61" i="79" s="1"/>
  <c r="I61" i="79"/>
  <c r="F61" i="79"/>
  <c r="C61" i="79"/>
  <c r="H61" i="79" s="1"/>
  <c r="N61" i="79" s="1"/>
  <c r="B61" i="79"/>
  <c r="G61" i="79" s="1"/>
  <c r="R60" i="79"/>
  <c r="Q60" i="79"/>
  <c r="O60" i="79"/>
  <c r="U60" i="79" s="1"/>
  <c r="I60" i="79"/>
  <c r="F60" i="79"/>
  <c r="C60" i="79"/>
  <c r="H60" i="79" s="1"/>
  <c r="N60" i="79" s="1"/>
  <c r="B60" i="79"/>
  <c r="G60" i="79" s="1"/>
  <c r="R59" i="79"/>
  <c r="Q59" i="79"/>
  <c r="O59" i="79"/>
  <c r="U59" i="79" s="1"/>
  <c r="I59" i="79"/>
  <c r="F59" i="79"/>
  <c r="C59" i="79"/>
  <c r="H59" i="79" s="1"/>
  <c r="N59" i="79" s="1"/>
  <c r="B59" i="79"/>
  <c r="G59" i="79" s="1"/>
  <c r="R58" i="79"/>
  <c r="Q58" i="79"/>
  <c r="O58" i="79"/>
  <c r="U58" i="79" s="1"/>
  <c r="I58" i="79"/>
  <c r="F58" i="79"/>
  <c r="C58" i="79"/>
  <c r="H58" i="79" s="1"/>
  <c r="N58" i="79" s="1"/>
  <c r="B58" i="79"/>
  <c r="G58" i="79" s="1"/>
  <c r="R57" i="79"/>
  <c r="Q57" i="79"/>
  <c r="O57" i="79"/>
  <c r="U57" i="79" s="1"/>
  <c r="I57" i="79"/>
  <c r="F57" i="79"/>
  <c r="C57" i="79"/>
  <c r="H57" i="79" s="1"/>
  <c r="N57" i="79" s="1"/>
  <c r="B57" i="79"/>
  <c r="G57" i="79" s="1"/>
  <c r="R56" i="79"/>
  <c r="Q56" i="79"/>
  <c r="O56" i="79"/>
  <c r="U56" i="79" s="1"/>
  <c r="I56" i="79"/>
  <c r="F56" i="79"/>
  <c r="C56" i="79"/>
  <c r="H56" i="79" s="1"/>
  <c r="N56" i="79" s="1"/>
  <c r="B56" i="79"/>
  <c r="G56" i="79" s="1"/>
  <c r="R55" i="79"/>
  <c r="Q55" i="79"/>
  <c r="O55" i="79"/>
  <c r="U55" i="79" s="1"/>
  <c r="I55" i="79"/>
  <c r="F55" i="79"/>
  <c r="C55" i="79"/>
  <c r="H55" i="79" s="1"/>
  <c r="N55" i="79" s="1"/>
  <c r="B55" i="79"/>
  <c r="G55" i="79" s="1"/>
  <c r="R54" i="79"/>
  <c r="Q54" i="79"/>
  <c r="O54" i="79"/>
  <c r="U54" i="79" s="1"/>
  <c r="I54" i="79"/>
  <c r="F54" i="79"/>
  <c r="C54" i="79"/>
  <c r="H54" i="79" s="1"/>
  <c r="N54" i="79" s="1"/>
  <c r="B54" i="79"/>
  <c r="G54" i="79" s="1"/>
  <c r="R53" i="79"/>
  <c r="Q53" i="79"/>
  <c r="O53" i="79"/>
  <c r="U53" i="79" s="1"/>
  <c r="I53" i="79"/>
  <c r="F53" i="79"/>
  <c r="C53" i="79"/>
  <c r="H53" i="79" s="1"/>
  <c r="N53" i="79" s="1"/>
  <c r="B53" i="79"/>
  <c r="G53" i="79" s="1"/>
  <c r="R52" i="79"/>
  <c r="Q52" i="79"/>
  <c r="O52" i="79"/>
  <c r="U52" i="79" s="1"/>
  <c r="I52" i="79"/>
  <c r="F52" i="79"/>
  <c r="C52" i="79"/>
  <c r="H52" i="79" s="1"/>
  <c r="N52" i="79" s="1"/>
  <c r="B52" i="79"/>
  <c r="G52" i="79" s="1"/>
  <c r="R51" i="79"/>
  <c r="Q51" i="79"/>
  <c r="O51" i="79"/>
  <c r="U51" i="79" s="1"/>
  <c r="I51" i="79"/>
  <c r="F51" i="79"/>
  <c r="C51" i="79"/>
  <c r="H51" i="79" s="1"/>
  <c r="N51" i="79" s="1"/>
  <c r="B51" i="79"/>
  <c r="G51" i="79" s="1"/>
  <c r="R50" i="79"/>
  <c r="Q50" i="79"/>
  <c r="O50" i="79"/>
  <c r="U50" i="79" s="1"/>
  <c r="I50" i="79"/>
  <c r="F50" i="79"/>
  <c r="C50" i="79"/>
  <c r="H50" i="79" s="1"/>
  <c r="N50" i="79" s="1"/>
  <c r="B50" i="79"/>
  <c r="G50" i="79" s="1"/>
  <c r="R49" i="79"/>
  <c r="Q49" i="79"/>
  <c r="O49" i="79"/>
  <c r="U49" i="79" s="1"/>
  <c r="I49" i="79"/>
  <c r="F49" i="79"/>
  <c r="C49" i="79"/>
  <c r="H49" i="79" s="1"/>
  <c r="N49" i="79" s="1"/>
  <c r="B49" i="79"/>
  <c r="G49" i="79" s="1"/>
  <c r="R48" i="79"/>
  <c r="Q48" i="79"/>
  <c r="O48" i="79"/>
  <c r="U48" i="79" s="1"/>
  <c r="I48" i="79"/>
  <c r="F48" i="79"/>
  <c r="C48" i="79"/>
  <c r="H48" i="79" s="1"/>
  <c r="N48" i="79" s="1"/>
  <c r="B48" i="79"/>
  <c r="G48" i="79" s="1"/>
  <c r="R47" i="79"/>
  <c r="Q47" i="79"/>
  <c r="O47" i="79"/>
  <c r="U47" i="79" s="1"/>
  <c r="I47" i="79"/>
  <c r="F47" i="79"/>
  <c r="C47" i="79"/>
  <c r="H47" i="79" s="1"/>
  <c r="N47" i="79" s="1"/>
  <c r="B47" i="79"/>
  <c r="G47" i="79" s="1"/>
  <c r="R46" i="79"/>
  <c r="Q46" i="79"/>
  <c r="O46" i="79"/>
  <c r="U46" i="79" s="1"/>
  <c r="I46" i="79"/>
  <c r="F46" i="79"/>
  <c r="C46" i="79"/>
  <c r="H46" i="79" s="1"/>
  <c r="N46" i="79" s="1"/>
  <c r="B46" i="79"/>
  <c r="G46" i="79" s="1"/>
  <c r="R45" i="79"/>
  <c r="Q45" i="79"/>
  <c r="O45" i="79"/>
  <c r="U45" i="79" s="1"/>
  <c r="I45" i="79"/>
  <c r="F45" i="79"/>
  <c r="C45" i="79"/>
  <c r="H45" i="79" s="1"/>
  <c r="N45" i="79" s="1"/>
  <c r="B45" i="79"/>
  <c r="G45" i="79" s="1"/>
  <c r="R44" i="79"/>
  <c r="Q44" i="79"/>
  <c r="O44" i="79"/>
  <c r="U44" i="79" s="1"/>
  <c r="I44" i="79"/>
  <c r="F44" i="79"/>
  <c r="C44" i="79"/>
  <c r="H44" i="79" s="1"/>
  <c r="N44" i="79" s="1"/>
  <c r="B44" i="79"/>
  <c r="G44" i="79" s="1"/>
  <c r="R43" i="79"/>
  <c r="Q43" i="79"/>
  <c r="O43" i="79"/>
  <c r="U43" i="79" s="1"/>
  <c r="I43" i="79"/>
  <c r="F43" i="79"/>
  <c r="C43" i="79"/>
  <c r="H43" i="79" s="1"/>
  <c r="N43" i="79" s="1"/>
  <c r="B43" i="79"/>
  <c r="G43" i="79" s="1"/>
  <c r="R42" i="79"/>
  <c r="Q42" i="79"/>
  <c r="O42" i="79"/>
  <c r="U42" i="79" s="1"/>
  <c r="I42" i="79"/>
  <c r="F42" i="79"/>
  <c r="C42" i="79"/>
  <c r="H42" i="79" s="1"/>
  <c r="N42" i="79" s="1"/>
  <c r="B42" i="79"/>
  <c r="G42" i="79" s="1"/>
  <c r="R41" i="79"/>
  <c r="Q41" i="79"/>
  <c r="O41" i="79"/>
  <c r="U41" i="79" s="1"/>
  <c r="I41" i="79"/>
  <c r="F41" i="79"/>
  <c r="C41" i="79"/>
  <c r="H41" i="79" s="1"/>
  <c r="N41" i="79" s="1"/>
  <c r="B41" i="79"/>
  <c r="G41" i="79" s="1"/>
  <c r="R40" i="79"/>
  <c r="Q40" i="79"/>
  <c r="O40" i="79"/>
  <c r="U40" i="79" s="1"/>
  <c r="I40" i="79"/>
  <c r="F40" i="79"/>
  <c r="C40" i="79"/>
  <c r="H40" i="79" s="1"/>
  <c r="N40" i="79" s="1"/>
  <c r="B40" i="79"/>
  <c r="G40" i="79" s="1"/>
  <c r="R39" i="79"/>
  <c r="Q39" i="79"/>
  <c r="O39" i="79"/>
  <c r="U39" i="79" s="1"/>
  <c r="I39" i="79"/>
  <c r="F39" i="79"/>
  <c r="C39" i="79"/>
  <c r="H39" i="79" s="1"/>
  <c r="N39" i="79" s="1"/>
  <c r="B39" i="79"/>
  <c r="G39" i="79" s="1"/>
  <c r="R38" i="79"/>
  <c r="Q38" i="79"/>
  <c r="O38" i="79"/>
  <c r="U38" i="79" s="1"/>
  <c r="I38" i="79"/>
  <c r="F38" i="79"/>
  <c r="C38" i="79"/>
  <c r="H38" i="79" s="1"/>
  <c r="N38" i="79" s="1"/>
  <c r="B38" i="79"/>
  <c r="G38" i="79" s="1"/>
  <c r="R37" i="79"/>
  <c r="Q37" i="79"/>
  <c r="O37" i="79"/>
  <c r="U37" i="79" s="1"/>
  <c r="I37" i="79"/>
  <c r="F37" i="79"/>
  <c r="C37" i="79"/>
  <c r="H37" i="79" s="1"/>
  <c r="N37" i="79" s="1"/>
  <c r="B37" i="79"/>
  <c r="G37" i="79" s="1"/>
  <c r="R36" i="79"/>
  <c r="Q36" i="79"/>
  <c r="O36" i="79"/>
  <c r="U36" i="79" s="1"/>
  <c r="I36" i="79"/>
  <c r="F36" i="79"/>
  <c r="C36" i="79"/>
  <c r="H36" i="79" s="1"/>
  <c r="N36" i="79" s="1"/>
  <c r="B36" i="79"/>
  <c r="G36" i="79" s="1"/>
  <c r="R35" i="79"/>
  <c r="Q35" i="79"/>
  <c r="O35" i="79"/>
  <c r="U35" i="79" s="1"/>
  <c r="I35" i="79"/>
  <c r="F35" i="79"/>
  <c r="C35" i="79"/>
  <c r="H35" i="79" s="1"/>
  <c r="N35" i="79" s="1"/>
  <c r="B35" i="79"/>
  <c r="G35" i="79" s="1"/>
  <c r="R34" i="79"/>
  <c r="Q34" i="79"/>
  <c r="O34" i="79"/>
  <c r="U34" i="79" s="1"/>
  <c r="I34" i="79"/>
  <c r="F34" i="79"/>
  <c r="C34" i="79"/>
  <c r="H34" i="79" s="1"/>
  <c r="N34" i="79" s="1"/>
  <c r="B34" i="79"/>
  <c r="G34" i="79" s="1"/>
  <c r="R33" i="79"/>
  <c r="Q33" i="79"/>
  <c r="O33" i="79"/>
  <c r="U33" i="79" s="1"/>
  <c r="I33" i="79"/>
  <c r="F33" i="79"/>
  <c r="C33" i="79"/>
  <c r="H33" i="79" s="1"/>
  <c r="N33" i="79" s="1"/>
  <c r="B33" i="79"/>
  <c r="G33" i="79" s="1"/>
  <c r="R32" i="79"/>
  <c r="Q32" i="79"/>
  <c r="O32" i="79"/>
  <c r="U32" i="79" s="1"/>
  <c r="I32" i="79"/>
  <c r="F32" i="79"/>
  <c r="C32" i="79"/>
  <c r="H32" i="79" s="1"/>
  <c r="N32" i="79" s="1"/>
  <c r="B32" i="79"/>
  <c r="G32" i="79" s="1"/>
  <c r="R31" i="79"/>
  <c r="Q31" i="79"/>
  <c r="O31" i="79"/>
  <c r="U31" i="79" s="1"/>
  <c r="I31" i="79"/>
  <c r="F31" i="79"/>
  <c r="C31" i="79"/>
  <c r="H31" i="79" s="1"/>
  <c r="N31" i="79" s="1"/>
  <c r="B31" i="79"/>
  <c r="G31" i="79" s="1"/>
  <c r="R30" i="79"/>
  <c r="Q30" i="79"/>
  <c r="O30" i="79"/>
  <c r="U30" i="79" s="1"/>
  <c r="I30" i="79"/>
  <c r="F30" i="79"/>
  <c r="C30" i="79"/>
  <c r="H30" i="79" s="1"/>
  <c r="N30" i="79" s="1"/>
  <c r="B30" i="79"/>
  <c r="G30" i="79" s="1"/>
  <c r="R29" i="79"/>
  <c r="Q29" i="79"/>
  <c r="O29" i="79"/>
  <c r="U29" i="79" s="1"/>
  <c r="I29" i="79"/>
  <c r="F29" i="79"/>
  <c r="C29" i="79"/>
  <c r="H29" i="79" s="1"/>
  <c r="N29" i="79" s="1"/>
  <c r="B29" i="79"/>
  <c r="G29" i="79" s="1"/>
  <c r="R28" i="79"/>
  <c r="Q28" i="79"/>
  <c r="O28" i="79"/>
  <c r="U28" i="79" s="1"/>
  <c r="I28" i="79"/>
  <c r="F28" i="79"/>
  <c r="C28" i="79"/>
  <c r="H28" i="79" s="1"/>
  <c r="N28" i="79" s="1"/>
  <c r="B28" i="79"/>
  <c r="G28" i="79" s="1"/>
  <c r="R27" i="79"/>
  <c r="Q27" i="79"/>
  <c r="O27" i="79"/>
  <c r="U27" i="79" s="1"/>
  <c r="I27" i="79"/>
  <c r="F27" i="79"/>
  <c r="C27" i="79"/>
  <c r="H27" i="79" s="1"/>
  <c r="N27" i="79" s="1"/>
  <c r="B27" i="79"/>
  <c r="G27" i="79" s="1"/>
  <c r="R26" i="79"/>
  <c r="Q26" i="79"/>
  <c r="O26" i="79"/>
  <c r="U26" i="79" s="1"/>
  <c r="I26" i="79"/>
  <c r="F26" i="79"/>
  <c r="C26" i="79"/>
  <c r="H26" i="79" s="1"/>
  <c r="N26" i="79" s="1"/>
  <c r="B26" i="79"/>
  <c r="G26" i="79" s="1"/>
  <c r="R25" i="79"/>
  <c r="Q25" i="79"/>
  <c r="O25" i="79"/>
  <c r="U25" i="79" s="1"/>
  <c r="I25" i="79"/>
  <c r="F25" i="79"/>
  <c r="C25" i="79"/>
  <c r="H25" i="79" s="1"/>
  <c r="N25" i="79" s="1"/>
  <c r="B25" i="79"/>
  <c r="G25" i="79" s="1"/>
  <c r="R24" i="79"/>
  <c r="Q24" i="79"/>
  <c r="O24" i="79"/>
  <c r="U24" i="79" s="1"/>
  <c r="I24" i="79"/>
  <c r="F24" i="79"/>
  <c r="C24" i="79"/>
  <c r="H24" i="79" s="1"/>
  <c r="N24" i="79" s="1"/>
  <c r="B24" i="79"/>
  <c r="G24" i="79" s="1"/>
  <c r="R23" i="79"/>
  <c r="Q23" i="79"/>
  <c r="O23" i="79"/>
  <c r="U23" i="79" s="1"/>
  <c r="I23" i="79"/>
  <c r="F23" i="79"/>
  <c r="C23" i="79"/>
  <c r="H23" i="79" s="1"/>
  <c r="N23" i="79" s="1"/>
  <c r="B23" i="79"/>
  <c r="G23" i="79" s="1"/>
  <c r="R22" i="79"/>
  <c r="Q22" i="79"/>
  <c r="O22" i="79"/>
  <c r="U22" i="79" s="1"/>
  <c r="I22" i="79"/>
  <c r="F22" i="79"/>
  <c r="C22" i="79"/>
  <c r="H22" i="79" s="1"/>
  <c r="N22" i="79" s="1"/>
  <c r="B22" i="79"/>
  <c r="G22" i="79" s="1"/>
  <c r="R21" i="79"/>
  <c r="Q21" i="79"/>
  <c r="O21" i="79"/>
  <c r="U21" i="79" s="1"/>
  <c r="I21" i="79"/>
  <c r="F21" i="79"/>
  <c r="C21" i="79"/>
  <c r="H21" i="79" s="1"/>
  <c r="N21" i="79" s="1"/>
  <c r="B21" i="79"/>
  <c r="G21" i="79" s="1"/>
  <c r="R20" i="79"/>
  <c r="Q20" i="79"/>
  <c r="O20" i="79"/>
  <c r="U20" i="79" s="1"/>
  <c r="I20" i="79"/>
  <c r="H20" i="79"/>
  <c r="N20" i="79" s="1"/>
  <c r="F20" i="79"/>
  <c r="C20" i="79"/>
  <c r="B20" i="79"/>
  <c r="G20" i="79" s="1"/>
  <c r="R19" i="79"/>
  <c r="Q19" i="79"/>
  <c r="O19" i="79"/>
  <c r="U19" i="79" s="1"/>
  <c r="I19" i="79"/>
  <c r="F19" i="79"/>
  <c r="C19" i="79"/>
  <c r="H19" i="79" s="1"/>
  <c r="N19" i="79" s="1"/>
  <c r="B19" i="79"/>
  <c r="G19" i="79" s="1"/>
  <c r="R18" i="79"/>
  <c r="Q18" i="79"/>
  <c r="O18" i="79"/>
  <c r="U18" i="79" s="1"/>
  <c r="I18" i="79"/>
  <c r="F18" i="79"/>
  <c r="C18" i="79"/>
  <c r="H18" i="79" s="1"/>
  <c r="N18" i="79" s="1"/>
  <c r="B18" i="79"/>
  <c r="G18" i="79" s="1"/>
  <c r="R17" i="79"/>
  <c r="Q17" i="79"/>
  <c r="O17" i="79"/>
  <c r="U17" i="79" s="1"/>
  <c r="I17" i="79"/>
  <c r="F17" i="79"/>
  <c r="C17" i="79"/>
  <c r="H17" i="79" s="1"/>
  <c r="N17" i="79" s="1"/>
  <c r="B17" i="79"/>
  <c r="G17" i="79" s="1"/>
  <c r="R16" i="79"/>
  <c r="Q16" i="79"/>
  <c r="O16" i="79"/>
  <c r="U16" i="79" s="1"/>
  <c r="I16" i="79"/>
  <c r="F16" i="79"/>
  <c r="C16" i="79"/>
  <c r="H16" i="79" s="1"/>
  <c r="N16" i="79" s="1"/>
  <c r="B16" i="79"/>
  <c r="G16" i="79" s="1"/>
  <c r="R15" i="79"/>
  <c r="Q15" i="79"/>
  <c r="O15" i="79"/>
  <c r="U15" i="79" s="1"/>
  <c r="I15" i="79"/>
  <c r="F15" i="79"/>
  <c r="C15" i="79"/>
  <c r="H15" i="79" s="1"/>
  <c r="N15" i="79" s="1"/>
  <c r="B15" i="79"/>
  <c r="G15" i="79" s="1"/>
  <c r="R14" i="79"/>
  <c r="Q14" i="79"/>
  <c r="O14" i="79"/>
  <c r="U14" i="79" s="1"/>
  <c r="I14" i="79"/>
  <c r="F14" i="79"/>
  <c r="C14" i="79"/>
  <c r="H14" i="79" s="1"/>
  <c r="N14" i="79" s="1"/>
  <c r="B14" i="79"/>
  <c r="G14" i="79" s="1"/>
  <c r="R13" i="79"/>
  <c r="Q13" i="79"/>
  <c r="O13" i="79"/>
  <c r="U13" i="79" s="1"/>
  <c r="I13" i="79"/>
  <c r="F13" i="79"/>
  <c r="C13" i="79"/>
  <c r="H13" i="79" s="1"/>
  <c r="N13" i="79" s="1"/>
  <c r="B13" i="79"/>
  <c r="G13" i="79" s="1"/>
  <c r="R12" i="79"/>
  <c r="Q12" i="79"/>
  <c r="O12" i="79"/>
  <c r="U12" i="79" s="1"/>
  <c r="I12" i="79"/>
  <c r="F12" i="79"/>
  <c r="C12" i="79"/>
  <c r="H12" i="79" s="1"/>
  <c r="N12" i="79" s="1"/>
  <c r="B12" i="79"/>
  <c r="G12" i="79" s="1"/>
  <c r="R11" i="79"/>
  <c r="Q11" i="79"/>
  <c r="O11" i="79"/>
  <c r="U11" i="79" s="1"/>
  <c r="I11" i="79"/>
  <c r="F11" i="79"/>
  <c r="C11" i="79"/>
  <c r="H11" i="79" s="1"/>
  <c r="N11" i="79" s="1"/>
  <c r="B11" i="79"/>
  <c r="G11" i="79" s="1"/>
  <c r="R10" i="79"/>
  <c r="Q10" i="79"/>
  <c r="O10" i="79"/>
  <c r="U10" i="79" s="1"/>
  <c r="I10" i="79"/>
  <c r="F10" i="79"/>
  <c r="C10" i="79"/>
  <c r="H10" i="79" s="1"/>
  <c r="N10" i="79" s="1"/>
  <c r="B10" i="79"/>
  <c r="G10" i="79" s="1"/>
  <c r="R9" i="79"/>
  <c r="Q9" i="79"/>
  <c r="O9" i="79"/>
  <c r="U9" i="79" s="1"/>
  <c r="I9" i="79"/>
  <c r="F9" i="79"/>
  <c r="C9" i="79"/>
  <c r="H9" i="79" s="1"/>
  <c r="N9" i="79" s="1"/>
  <c r="B9" i="79"/>
  <c r="G9" i="79" s="1"/>
  <c r="R8" i="79"/>
  <c r="Q8" i="79"/>
  <c r="O8" i="79"/>
  <c r="U8" i="79" s="1"/>
  <c r="I8" i="79"/>
  <c r="F8" i="79"/>
  <c r="C8" i="79"/>
  <c r="H8" i="79" s="1"/>
  <c r="N8" i="79" s="1"/>
  <c r="B8" i="79"/>
  <c r="G8" i="79" s="1"/>
  <c r="R7" i="79"/>
  <c r="Q7" i="79"/>
  <c r="O7" i="79"/>
  <c r="U7" i="79" s="1"/>
  <c r="I7" i="79"/>
  <c r="F7" i="79"/>
  <c r="C7" i="79"/>
  <c r="H7" i="79" s="1"/>
  <c r="N7" i="79" s="1"/>
  <c r="B7" i="79"/>
  <c r="G7" i="79" s="1"/>
  <c r="R6" i="79"/>
  <c r="Q6" i="79"/>
  <c r="O6" i="79"/>
  <c r="U6" i="79" s="1"/>
  <c r="I6" i="79"/>
  <c r="F6" i="79"/>
  <c r="C6" i="79"/>
  <c r="H6" i="79" s="1"/>
  <c r="N6" i="79" s="1"/>
  <c r="B6" i="79"/>
  <c r="G6" i="79" s="1"/>
  <c r="R5" i="79"/>
  <c r="Q5" i="79"/>
  <c r="O5" i="79"/>
  <c r="U5" i="79" s="1"/>
  <c r="I5" i="79"/>
  <c r="F5" i="79"/>
  <c r="C5" i="79"/>
  <c r="H5" i="79" s="1"/>
  <c r="N5" i="79" s="1"/>
  <c r="B5" i="79"/>
  <c r="G5" i="79" s="1"/>
  <c r="R4" i="79"/>
  <c r="Q4" i="79"/>
  <c r="O4" i="79"/>
  <c r="U4" i="79" s="1"/>
  <c r="I4" i="79"/>
  <c r="F4" i="79"/>
  <c r="C4" i="79"/>
  <c r="H4" i="79" s="1"/>
  <c r="N4" i="79" s="1"/>
  <c r="B4" i="79"/>
  <c r="G4" i="79" s="1"/>
  <c r="R3" i="79"/>
  <c r="Q3" i="79"/>
  <c r="O3" i="79"/>
  <c r="U3" i="79" s="1"/>
  <c r="I3" i="79"/>
  <c r="F3" i="79"/>
  <c r="C3" i="79"/>
  <c r="H3" i="79" s="1"/>
  <c r="N3" i="79" s="1"/>
  <c r="B3" i="79"/>
  <c r="G3" i="79" s="1"/>
  <c r="R103" i="77"/>
  <c r="Q103" i="77"/>
  <c r="O103" i="77"/>
  <c r="U103" i="77" s="1"/>
  <c r="I103" i="77"/>
  <c r="F103" i="77"/>
  <c r="C103" i="77"/>
  <c r="H103" i="77" s="1"/>
  <c r="N103" i="77" s="1"/>
  <c r="B103" i="77"/>
  <c r="G103" i="77" s="1"/>
  <c r="R102" i="77"/>
  <c r="Q102" i="77"/>
  <c r="O102" i="77"/>
  <c r="I102" i="77"/>
  <c r="F102" i="77"/>
  <c r="C102" i="77"/>
  <c r="H102" i="77" s="1"/>
  <c r="N102" i="77" s="1"/>
  <c r="B102" i="77"/>
  <c r="G102" i="77" s="1"/>
  <c r="R101" i="77"/>
  <c r="Q101" i="77"/>
  <c r="O101" i="77"/>
  <c r="U101" i="77" s="1"/>
  <c r="I101" i="77"/>
  <c r="F101" i="77"/>
  <c r="C101" i="77"/>
  <c r="H101" i="77" s="1"/>
  <c r="N101" i="77" s="1"/>
  <c r="B101" i="77"/>
  <c r="G101" i="77" s="1"/>
  <c r="R100" i="77"/>
  <c r="Q100" i="77"/>
  <c r="O100" i="77"/>
  <c r="U100" i="77" s="1"/>
  <c r="I100" i="77"/>
  <c r="F100" i="77"/>
  <c r="C100" i="77"/>
  <c r="H100" i="77" s="1"/>
  <c r="N100" i="77" s="1"/>
  <c r="B100" i="77"/>
  <c r="G100" i="77" s="1"/>
  <c r="R99" i="77"/>
  <c r="Q99" i="77"/>
  <c r="O99" i="77"/>
  <c r="U99" i="77" s="1"/>
  <c r="I99" i="77"/>
  <c r="F99" i="77"/>
  <c r="C99" i="77"/>
  <c r="H99" i="77" s="1"/>
  <c r="N99" i="77" s="1"/>
  <c r="B99" i="77"/>
  <c r="G99" i="77" s="1"/>
  <c r="R98" i="77"/>
  <c r="Q98" i="77"/>
  <c r="O98" i="77"/>
  <c r="I98" i="77"/>
  <c r="F98" i="77"/>
  <c r="C98" i="77"/>
  <c r="H98" i="77" s="1"/>
  <c r="N98" i="77" s="1"/>
  <c r="B98" i="77"/>
  <c r="G98" i="77" s="1"/>
  <c r="R97" i="77"/>
  <c r="Q97" i="77"/>
  <c r="O97" i="77"/>
  <c r="U97" i="77" s="1"/>
  <c r="I97" i="77"/>
  <c r="F97" i="77"/>
  <c r="C97" i="77"/>
  <c r="H97" i="77" s="1"/>
  <c r="N97" i="77" s="1"/>
  <c r="B97" i="77"/>
  <c r="G97" i="77" s="1"/>
  <c r="R96" i="77"/>
  <c r="Q96" i="77"/>
  <c r="O96" i="77"/>
  <c r="U96" i="77" s="1"/>
  <c r="I96" i="77"/>
  <c r="F96" i="77"/>
  <c r="C96" i="77"/>
  <c r="H96" i="77" s="1"/>
  <c r="N96" i="77" s="1"/>
  <c r="B96" i="77"/>
  <c r="G96" i="77" s="1"/>
  <c r="R95" i="77"/>
  <c r="Q95" i="77"/>
  <c r="O95" i="77"/>
  <c r="U95" i="77" s="1"/>
  <c r="I95" i="77"/>
  <c r="F95" i="77"/>
  <c r="C95" i="77"/>
  <c r="H95" i="77" s="1"/>
  <c r="N95" i="77" s="1"/>
  <c r="B95" i="77"/>
  <c r="G95" i="77" s="1"/>
  <c r="R94" i="77"/>
  <c r="Q94" i="77"/>
  <c r="O94" i="77"/>
  <c r="I94" i="77"/>
  <c r="F94" i="77"/>
  <c r="C94" i="77"/>
  <c r="H94" i="77" s="1"/>
  <c r="N94" i="77" s="1"/>
  <c r="B94" i="77"/>
  <c r="G94" i="77" s="1"/>
  <c r="R93" i="77"/>
  <c r="Q93" i="77"/>
  <c r="O93" i="77"/>
  <c r="U93" i="77" s="1"/>
  <c r="I93" i="77"/>
  <c r="F93" i="77"/>
  <c r="C93" i="77"/>
  <c r="H93" i="77" s="1"/>
  <c r="N93" i="77" s="1"/>
  <c r="B93" i="77"/>
  <c r="G93" i="77" s="1"/>
  <c r="R92" i="77"/>
  <c r="Q92" i="77"/>
  <c r="O92" i="77"/>
  <c r="U92" i="77" s="1"/>
  <c r="I92" i="77"/>
  <c r="F92" i="77"/>
  <c r="C92" i="77"/>
  <c r="H92" i="77" s="1"/>
  <c r="N92" i="77" s="1"/>
  <c r="B92" i="77"/>
  <c r="G92" i="77" s="1"/>
  <c r="R91" i="77"/>
  <c r="Q91" i="77"/>
  <c r="O91" i="77"/>
  <c r="U91" i="77" s="1"/>
  <c r="I91" i="77"/>
  <c r="F91" i="77"/>
  <c r="C91" i="77"/>
  <c r="H91" i="77" s="1"/>
  <c r="N91" i="77" s="1"/>
  <c r="B91" i="77"/>
  <c r="G91" i="77" s="1"/>
  <c r="R90" i="77"/>
  <c r="Q90" i="77"/>
  <c r="O90" i="77"/>
  <c r="I90" i="77"/>
  <c r="F90" i="77"/>
  <c r="C90" i="77"/>
  <c r="H90" i="77" s="1"/>
  <c r="N90" i="77" s="1"/>
  <c r="B90" i="77"/>
  <c r="G90" i="77" s="1"/>
  <c r="R89" i="77"/>
  <c r="Q89" i="77"/>
  <c r="O89" i="77"/>
  <c r="U89" i="77" s="1"/>
  <c r="I89" i="77"/>
  <c r="F89" i="77"/>
  <c r="C89" i="77"/>
  <c r="H89" i="77" s="1"/>
  <c r="N89" i="77" s="1"/>
  <c r="B89" i="77"/>
  <c r="G89" i="77" s="1"/>
  <c r="R88" i="77"/>
  <c r="Q88" i="77"/>
  <c r="O88" i="77"/>
  <c r="U88" i="77" s="1"/>
  <c r="I88" i="77"/>
  <c r="F88" i="77"/>
  <c r="C88" i="77"/>
  <c r="H88" i="77" s="1"/>
  <c r="N88" i="77" s="1"/>
  <c r="B88" i="77"/>
  <c r="G88" i="77" s="1"/>
  <c r="R87" i="77"/>
  <c r="Q87" i="77"/>
  <c r="O87" i="77"/>
  <c r="U87" i="77" s="1"/>
  <c r="I87" i="77"/>
  <c r="F87" i="77"/>
  <c r="C87" i="77"/>
  <c r="H87" i="77" s="1"/>
  <c r="N87" i="77" s="1"/>
  <c r="B87" i="77"/>
  <c r="G87" i="77" s="1"/>
  <c r="R86" i="77"/>
  <c r="Q86" i="77"/>
  <c r="O86" i="77"/>
  <c r="I86" i="77"/>
  <c r="F86" i="77"/>
  <c r="C86" i="77"/>
  <c r="H86" i="77" s="1"/>
  <c r="N86" i="77" s="1"/>
  <c r="B86" i="77"/>
  <c r="G86" i="77" s="1"/>
  <c r="R85" i="77"/>
  <c r="Q85" i="77"/>
  <c r="O85" i="77"/>
  <c r="U85" i="77" s="1"/>
  <c r="I85" i="77"/>
  <c r="F85" i="77"/>
  <c r="C85" i="77"/>
  <c r="H85" i="77" s="1"/>
  <c r="N85" i="77" s="1"/>
  <c r="B85" i="77"/>
  <c r="G85" i="77" s="1"/>
  <c r="R84" i="77"/>
  <c r="Q84" i="77"/>
  <c r="O84" i="77"/>
  <c r="U84" i="77" s="1"/>
  <c r="I84" i="77"/>
  <c r="F84" i="77"/>
  <c r="C84" i="77"/>
  <c r="H84" i="77" s="1"/>
  <c r="N84" i="77" s="1"/>
  <c r="B84" i="77"/>
  <c r="G84" i="77" s="1"/>
  <c r="R83" i="77"/>
  <c r="Q83" i="77"/>
  <c r="O83" i="77"/>
  <c r="U83" i="77" s="1"/>
  <c r="I83" i="77"/>
  <c r="F83" i="77"/>
  <c r="C83" i="77"/>
  <c r="H83" i="77" s="1"/>
  <c r="N83" i="77" s="1"/>
  <c r="B83" i="77"/>
  <c r="G83" i="77" s="1"/>
  <c r="R82" i="77"/>
  <c r="Q82" i="77"/>
  <c r="O82" i="77"/>
  <c r="I82" i="77"/>
  <c r="F82" i="77"/>
  <c r="C82" i="77"/>
  <c r="H82" i="77" s="1"/>
  <c r="N82" i="77" s="1"/>
  <c r="B82" i="77"/>
  <c r="G82" i="77" s="1"/>
  <c r="R81" i="77"/>
  <c r="Q81" i="77"/>
  <c r="O81" i="77"/>
  <c r="U81" i="77" s="1"/>
  <c r="I81" i="77"/>
  <c r="F81" i="77"/>
  <c r="C81" i="77"/>
  <c r="H81" i="77" s="1"/>
  <c r="N81" i="77" s="1"/>
  <c r="B81" i="77"/>
  <c r="G81" i="77" s="1"/>
  <c r="R80" i="77"/>
  <c r="Q80" i="77"/>
  <c r="O80" i="77"/>
  <c r="U80" i="77" s="1"/>
  <c r="I80" i="77"/>
  <c r="F80" i="77"/>
  <c r="C80" i="77"/>
  <c r="H80" i="77" s="1"/>
  <c r="N80" i="77" s="1"/>
  <c r="B80" i="77"/>
  <c r="G80" i="77" s="1"/>
  <c r="R79" i="77"/>
  <c r="Q79" i="77"/>
  <c r="O79" i="77"/>
  <c r="U79" i="77" s="1"/>
  <c r="I79" i="77"/>
  <c r="F79" i="77"/>
  <c r="C79" i="77"/>
  <c r="H79" i="77" s="1"/>
  <c r="N79" i="77" s="1"/>
  <c r="B79" i="77"/>
  <c r="G79" i="77" s="1"/>
  <c r="R78" i="77"/>
  <c r="Q78" i="77"/>
  <c r="O78" i="77"/>
  <c r="I78" i="77"/>
  <c r="G78" i="77"/>
  <c r="F78" i="77"/>
  <c r="C78" i="77"/>
  <c r="H78" i="77" s="1"/>
  <c r="N78" i="77" s="1"/>
  <c r="B78" i="77"/>
  <c r="R77" i="77"/>
  <c r="Q77" i="77"/>
  <c r="O77" i="77"/>
  <c r="U77" i="77" s="1"/>
  <c r="I77" i="77"/>
  <c r="F77" i="77"/>
  <c r="C77" i="77"/>
  <c r="H77" i="77" s="1"/>
  <c r="N77" i="77" s="1"/>
  <c r="B77" i="77"/>
  <c r="G77" i="77" s="1"/>
  <c r="R76" i="77"/>
  <c r="Q76" i="77"/>
  <c r="O76" i="77"/>
  <c r="U76" i="77" s="1"/>
  <c r="I76" i="77"/>
  <c r="F76" i="77"/>
  <c r="C76" i="77"/>
  <c r="H76" i="77" s="1"/>
  <c r="N76" i="77" s="1"/>
  <c r="B76" i="77"/>
  <c r="G76" i="77" s="1"/>
  <c r="R75" i="77"/>
  <c r="Q75" i="77"/>
  <c r="O75" i="77"/>
  <c r="U75" i="77" s="1"/>
  <c r="I75" i="77"/>
  <c r="F75" i="77"/>
  <c r="C75" i="77"/>
  <c r="H75" i="77" s="1"/>
  <c r="N75" i="77" s="1"/>
  <c r="B75" i="77"/>
  <c r="G75" i="77" s="1"/>
  <c r="R74" i="77"/>
  <c r="Q74" i="77"/>
  <c r="O74" i="77"/>
  <c r="I74" i="77"/>
  <c r="F74" i="77"/>
  <c r="C74" i="77"/>
  <c r="H74" i="77" s="1"/>
  <c r="N74" i="77" s="1"/>
  <c r="B74" i="77"/>
  <c r="G74" i="77" s="1"/>
  <c r="R73" i="77"/>
  <c r="Q73" i="77"/>
  <c r="O73" i="77"/>
  <c r="U73" i="77" s="1"/>
  <c r="I73" i="77"/>
  <c r="F73" i="77"/>
  <c r="C73" i="77"/>
  <c r="H73" i="77" s="1"/>
  <c r="N73" i="77" s="1"/>
  <c r="B73" i="77"/>
  <c r="G73" i="77" s="1"/>
  <c r="R72" i="77"/>
  <c r="Q72" i="77"/>
  <c r="O72" i="77"/>
  <c r="U72" i="77" s="1"/>
  <c r="I72" i="77"/>
  <c r="F72" i="77"/>
  <c r="C72" i="77"/>
  <c r="H72" i="77" s="1"/>
  <c r="N72" i="77" s="1"/>
  <c r="B72" i="77"/>
  <c r="G72" i="77" s="1"/>
  <c r="R71" i="77"/>
  <c r="Q71" i="77"/>
  <c r="O71" i="77"/>
  <c r="U71" i="77" s="1"/>
  <c r="I71" i="77"/>
  <c r="F71" i="77"/>
  <c r="C71" i="77"/>
  <c r="H71" i="77" s="1"/>
  <c r="N71" i="77" s="1"/>
  <c r="B71" i="77"/>
  <c r="G71" i="77" s="1"/>
  <c r="R70" i="77"/>
  <c r="Q70" i="77"/>
  <c r="O70" i="77"/>
  <c r="I70" i="77"/>
  <c r="F70" i="77"/>
  <c r="C70" i="77"/>
  <c r="H70" i="77" s="1"/>
  <c r="N70" i="77" s="1"/>
  <c r="B70" i="77"/>
  <c r="G70" i="77" s="1"/>
  <c r="R69" i="77"/>
  <c r="Q69" i="77"/>
  <c r="O69" i="77"/>
  <c r="U69" i="77" s="1"/>
  <c r="I69" i="77"/>
  <c r="F69" i="77"/>
  <c r="C69" i="77"/>
  <c r="H69" i="77" s="1"/>
  <c r="N69" i="77" s="1"/>
  <c r="B69" i="77"/>
  <c r="G69" i="77" s="1"/>
  <c r="R68" i="77"/>
  <c r="Q68" i="77"/>
  <c r="O68" i="77"/>
  <c r="U68" i="77" s="1"/>
  <c r="I68" i="77"/>
  <c r="F68" i="77"/>
  <c r="C68" i="77"/>
  <c r="H68" i="77" s="1"/>
  <c r="N68" i="77" s="1"/>
  <c r="B68" i="77"/>
  <c r="G68" i="77" s="1"/>
  <c r="R67" i="77"/>
  <c r="Q67" i="77"/>
  <c r="O67" i="77"/>
  <c r="U67" i="77" s="1"/>
  <c r="I67" i="77"/>
  <c r="F67" i="77"/>
  <c r="C67" i="77"/>
  <c r="H67" i="77" s="1"/>
  <c r="N67" i="77" s="1"/>
  <c r="B67" i="77"/>
  <c r="G67" i="77" s="1"/>
  <c r="R66" i="77"/>
  <c r="Q66" i="77"/>
  <c r="O66" i="77"/>
  <c r="I66" i="77"/>
  <c r="F66" i="77"/>
  <c r="C66" i="77"/>
  <c r="H66" i="77" s="1"/>
  <c r="N66" i="77" s="1"/>
  <c r="B66" i="77"/>
  <c r="G66" i="77" s="1"/>
  <c r="R65" i="77"/>
  <c r="Q65" i="77"/>
  <c r="O65" i="77"/>
  <c r="U65" i="77" s="1"/>
  <c r="I65" i="77"/>
  <c r="F65" i="77"/>
  <c r="C65" i="77"/>
  <c r="H65" i="77" s="1"/>
  <c r="N65" i="77" s="1"/>
  <c r="B65" i="77"/>
  <c r="G65" i="77" s="1"/>
  <c r="R64" i="77"/>
  <c r="Q64" i="77"/>
  <c r="O64" i="77"/>
  <c r="U64" i="77" s="1"/>
  <c r="I64" i="77"/>
  <c r="F64" i="77"/>
  <c r="C64" i="77"/>
  <c r="H64" i="77" s="1"/>
  <c r="N64" i="77" s="1"/>
  <c r="B64" i="77"/>
  <c r="G64" i="77" s="1"/>
  <c r="R63" i="77"/>
  <c r="Q63" i="77"/>
  <c r="O63" i="77"/>
  <c r="U63" i="77" s="1"/>
  <c r="I63" i="77"/>
  <c r="F63" i="77"/>
  <c r="C63" i="77"/>
  <c r="H63" i="77" s="1"/>
  <c r="N63" i="77" s="1"/>
  <c r="B63" i="77"/>
  <c r="G63" i="77" s="1"/>
  <c r="R62" i="77"/>
  <c r="Q62" i="77"/>
  <c r="O62" i="77"/>
  <c r="I62" i="77"/>
  <c r="F62" i="77"/>
  <c r="C62" i="77"/>
  <c r="H62" i="77" s="1"/>
  <c r="N62" i="77" s="1"/>
  <c r="B62" i="77"/>
  <c r="G62" i="77" s="1"/>
  <c r="R61" i="77"/>
  <c r="Q61" i="77"/>
  <c r="O61" i="77"/>
  <c r="U61" i="77" s="1"/>
  <c r="I61" i="77"/>
  <c r="F61" i="77"/>
  <c r="C61" i="77"/>
  <c r="H61" i="77" s="1"/>
  <c r="N61" i="77" s="1"/>
  <c r="B61" i="77"/>
  <c r="G61" i="77" s="1"/>
  <c r="U60" i="77"/>
  <c r="R60" i="77"/>
  <c r="Q60" i="77"/>
  <c r="O60" i="77"/>
  <c r="I60" i="77"/>
  <c r="G60" i="77"/>
  <c r="F60" i="77"/>
  <c r="C60" i="77"/>
  <c r="H60" i="77" s="1"/>
  <c r="N60" i="77" s="1"/>
  <c r="B60" i="77"/>
  <c r="U59" i="77"/>
  <c r="R59" i="77"/>
  <c r="Q59" i="77"/>
  <c r="O59" i="77"/>
  <c r="I59" i="77"/>
  <c r="G59" i="77"/>
  <c r="F59" i="77"/>
  <c r="C59" i="77"/>
  <c r="H59" i="77" s="1"/>
  <c r="N59" i="77" s="1"/>
  <c r="B59" i="77"/>
  <c r="R58" i="77"/>
  <c r="Q58" i="77"/>
  <c r="O58" i="77"/>
  <c r="I58" i="77"/>
  <c r="F58" i="77"/>
  <c r="C58" i="77"/>
  <c r="H58" i="77" s="1"/>
  <c r="N58" i="77" s="1"/>
  <c r="B58" i="77"/>
  <c r="G58" i="77" s="1"/>
  <c r="U57" i="77"/>
  <c r="R57" i="77"/>
  <c r="Q57" i="77"/>
  <c r="O57" i="77"/>
  <c r="I57" i="77"/>
  <c r="F57" i="77"/>
  <c r="C57" i="77"/>
  <c r="H57" i="77" s="1"/>
  <c r="N57" i="77" s="1"/>
  <c r="B57" i="77"/>
  <c r="G57" i="77" s="1"/>
  <c r="U56" i="77"/>
  <c r="R56" i="77"/>
  <c r="Q56" i="77"/>
  <c r="O56" i="77"/>
  <c r="I56" i="77"/>
  <c r="F56" i="77"/>
  <c r="C56" i="77"/>
  <c r="H56" i="77" s="1"/>
  <c r="N56" i="77" s="1"/>
  <c r="B56" i="77"/>
  <c r="G56" i="77" s="1"/>
  <c r="U55" i="77"/>
  <c r="R55" i="77"/>
  <c r="Q55" i="77"/>
  <c r="O55" i="77"/>
  <c r="I55" i="77"/>
  <c r="F55" i="77"/>
  <c r="C55" i="77"/>
  <c r="H55" i="77" s="1"/>
  <c r="N55" i="77" s="1"/>
  <c r="B55" i="77"/>
  <c r="G55" i="77" s="1"/>
  <c r="R54" i="77"/>
  <c r="Q54" i="77"/>
  <c r="O54" i="77"/>
  <c r="I54" i="77"/>
  <c r="G54" i="77"/>
  <c r="F54" i="77"/>
  <c r="C54" i="77"/>
  <c r="H54" i="77" s="1"/>
  <c r="N54" i="77" s="1"/>
  <c r="B54" i="77"/>
  <c r="U53" i="77"/>
  <c r="R53" i="77"/>
  <c r="Q53" i="77"/>
  <c r="O53" i="77"/>
  <c r="I53" i="77"/>
  <c r="F53" i="77"/>
  <c r="C53" i="77"/>
  <c r="H53" i="77" s="1"/>
  <c r="N53" i="77" s="1"/>
  <c r="B53" i="77"/>
  <c r="G53" i="77" s="1"/>
  <c r="U52" i="77"/>
  <c r="R52" i="77"/>
  <c r="Q52" i="77"/>
  <c r="O52" i="77"/>
  <c r="I52" i="77"/>
  <c r="G52" i="77"/>
  <c r="F52" i="77"/>
  <c r="C52" i="77"/>
  <c r="H52" i="77" s="1"/>
  <c r="N52" i="77" s="1"/>
  <c r="B52" i="77"/>
  <c r="U51" i="77"/>
  <c r="R51" i="77"/>
  <c r="Q51" i="77"/>
  <c r="O51" i="77"/>
  <c r="I51" i="77"/>
  <c r="F51" i="77"/>
  <c r="C51" i="77"/>
  <c r="H51" i="77" s="1"/>
  <c r="N51" i="77" s="1"/>
  <c r="B51" i="77"/>
  <c r="G51" i="77" s="1"/>
  <c r="R50" i="77"/>
  <c r="Q50" i="77"/>
  <c r="O50" i="77"/>
  <c r="I50" i="77"/>
  <c r="F50" i="77"/>
  <c r="C50" i="77"/>
  <c r="H50" i="77" s="1"/>
  <c r="N50" i="77" s="1"/>
  <c r="B50" i="77"/>
  <c r="G50" i="77" s="1"/>
  <c r="U49" i="77"/>
  <c r="R49" i="77"/>
  <c r="Q49" i="77"/>
  <c r="O49" i="77"/>
  <c r="I49" i="77"/>
  <c r="F49" i="77"/>
  <c r="C49" i="77"/>
  <c r="H49" i="77" s="1"/>
  <c r="N49" i="77" s="1"/>
  <c r="B49" i="77"/>
  <c r="G49" i="77" s="1"/>
  <c r="U48" i="77"/>
  <c r="R48" i="77"/>
  <c r="Q48" i="77"/>
  <c r="O48" i="77"/>
  <c r="I48" i="77"/>
  <c r="F48" i="77"/>
  <c r="C48" i="77"/>
  <c r="H48" i="77" s="1"/>
  <c r="N48" i="77" s="1"/>
  <c r="B48" i="77"/>
  <c r="G48" i="77" s="1"/>
  <c r="U47" i="77"/>
  <c r="R47" i="77"/>
  <c r="Q47" i="77"/>
  <c r="O47" i="77"/>
  <c r="I47" i="77"/>
  <c r="G47" i="77"/>
  <c r="F47" i="77"/>
  <c r="C47" i="77"/>
  <c r="H47" i="77" s="1"/>
  <c r="N47" i="77" s="1"/>
  <c r="B47" i="77"/>
  <c r="U46" i="77"/>
  <c r="R46" i="77"/>
  <c r="Q46" i="77"/>
  <c r="O46" i="77"/>
  <c r="I46" i="77"/>
  <c r="G46" i="77"/>
  <c r="F46" i="77"/>
  <c r="C46" i="77"/>
  <c r="H46" i="77" s="1"/>
  <c r="N46" i="77" s="1"/>
  <c r="B46" i="77"/>
  <c r="U45" i="77"/>
  <c r="R45" i="77"/>
  <c r="Q45" i="77"/>
  <c r="O45" i="77"/>
  <c r="I45" i="77"/>
  <c r="F45" i="77"/>
  <c r="C45" i="77"/>
  <c r="H45" i="77" s="1"/>
  <c r="N45" i="77" s="1"/>
  <c r="B45" i="77"/>
  <c r="G45" i="77" s="1"/>
  <c r="U44" i="77"/>
  <c r="R44" i="77"/>
  <c r="Q44" i="77"/>
  <c r="O44" i="77"/>
  <c r="I44" i="77"/>
  <c r="F44" i="77"/>
  <c r="C44" i="77"/>
  <c r="H44" i="77" s="1"/>
  <c r="N44" i="77" s="1"/>
  <c r="B44" i="77"/>
  <c r="G44" i="77" s="1"/>
  <c r="U43" i="77"/>
  <c r="R43" i="77"/>
  <c r="Q43" i="77"/>
  <c r="O43" i="77"/>
  <c r="I43" i="77"/>
  <c r="F43" i="77"/>
  <c r="C43" i="77"/>
  <c r="H43" i="77" s="1"/>
  <c r="N43" i="77" s="1"/>
  <c r="B43" i="77"/>
  <c r="G43" i="77" s="1"/>
  <c r="R42" i="77"/>
  <c r="Q42" i="77"/>
  <c r="O42" i="77"/>
  <c r="I42" i="77"/>
  <c r="F42" i="77"/>
  <c r="C42" i="77"/>
  <c r="H42" i="77" s="1"/>
  <c r="N42" i="77" s="1"/>
  <c r="B42" i="77"/>
  <c r="G42" i="77" s="1"/>
  <c r="U41" i="77"/>
  <c r="R41" i="77"/>
  <c r="Q41" i="77"/>
  <c r="O41" i="77"/>
  <c r="I41" i="77"/>
  <c r="F41" i="77"/>
  <c r="C41" i="77"/>
  <c r="H41" i="77" s="1"/>
  <c r="N41" i="77" s="1"/>
  <c r="B41" i="77"/>
  <c r="G41" i="77" s="1"/>
  <c r="U40" i="77"/>
  <c r="R40" i="77"/>
  <c r="Q40" i="77"/>
  <c r="O40" i="77"/>
  <c r="I40" i="77"/>
  <c r="G40" i="77"/>
  <c r="F40" i="77"/>
  <c r="C40" i="77"/>
  <c r="H40" i="77" s="1"/>
  <c r="N40" i="77" s="1"/>
  <c r="B40" i="77"/>
  <c r="U39" i="77"/>
  <c r="R39" i="77"/>
  <c r="Q39" i="77"/>
  <c r="O39" i="77"/>
  <c r="I39" i="77"/>
  <c r="G39" i="77"/>
  <c r="F39" i="77"/>
  <c r="C39" i="77"/>
  <c r="H39" i="77" s="1"/>
  <c r="N39" i="77" s="1"/>
  <c r="B39" i="77"/>
  <c r="R38" i="77"/>
  <c r="Q38" i="77"/>
  <c r="O38" i="77"/>
  <c r="I38" i="77"/>
  <c r="F38" i="77"/>
  <c r="C38" i="77"/>
  <c r="H38" i="77" s="1"/>
  <c r="N38" i="77" s="1"/>
  <c r="B38" i="77"/>
  <c r="G38" i="77" s="1"/>
  <c r="U37" i="77"/>
  <c r="R37" i="77"/>
  <c r="Q37" i="77"/>
  <c r="O37" i="77"/>
  <c r="I37" i="77"/>
  <c r="F37" i="77"/>
  <c r="C37" i="77"/>
  <c r="H37" i="77" s="1"/>
  <c r="N37" i="77" s="1"/>
  <c r="B37" i="77"/>
  <c r="G37" i="77" s="1"/>
  <c r="U36" i="77"/>
  <c r="R36" i="77"/>
  <c r="Q36" i="77"/>
  <c r="O36" i="77"/>
  <c r="I36" i="77"/>
  <c r="F36" i="77"/>
  <c r="C36" i="77"/>
  <c r="H36" i="77" s="1"/>
  <c r="N36" i="77" s="1"/>
  <c r="B36" i="77"/>
  <c r="G36" i="77" s="1"/>
  <c r="U35" i="77"/>
  <c r="R35" i="77"/>
  <c r="Q35" i="77"/>
  <c r="O35" i="77"/>
  <c r="I35" i="77"/>
  <c r="G35" i="77"/>
  <c r="F35" i="77"/>
  <c r="C35" i="77"/>
  <c r="H35" i="77" s="1"/>
  <c r="N35" i="77" s="1"/>
  <c r="B35" i="77"/>
  <c r="U34" i="77"/>
  <c r="R34" i="77"/>
  <c r="Q34" i="77"/>
  <c r="O34" i="77"/>
  <c r="I34" i="77"/>
  <c r="F34" i="77"/>
  <c r="C34" i="77"/>
  <c r="H34" i="77" s="1"/>
  <c r="N34" i="77" s="1"/>
  <c r="B34" i="77"/>
  <c r="G34" i="77" s="1"/>
  <c r="U33" i="77"/>
  <c r="R33" i="77"/>
  <c r="Q33" i="77"/>
  <c r="O33" i="77"/>
  <c r="I33" i="77"/>
  <c r="F33" i="77"/>
  <c r="C33" i="77"/>
  <c r="H33" i="77" s="1"/>
  <c r="N33" i="77" s="1"/>
  <c r="B33" i="77"/>
  <c r="G33" i="77" s="1"/>
  <c r="U32" i="77"/>
  <c r="R32" i="77"/>
  <c r="Q32" i="77"/>
  <c r="O32" i="77"/>
  <c r="I32" i="77"/>
  <c r="G32" i="77"/>
  <c r="F32" i="77"/>
  <c r="C32" i="77"/>
  <c r="H32" i="77" s="1"/>
  <c r="N32" i="77" s="1"/>
  <c r="B32" i="77"/>
  <c r="U31" i="77"/>
  <c r="R31" i="77"/>
  <c r="Q31" i="77"/>
  <c r="O31" i="77"/>
  <c r="I31" i="77"/>
  <c r="F31" i="77"/>
  <c r="C31" i="77"/>
  <c r="H31" i="77" s="1"/>
  <c r="N31" i="77" s="1"/>
  <c r="B31" i="77"/>
  <c r="G31" i="77" s="1"/>
  <c r="R30" i="77"/>
  <c r="Q30" i="77"/>
  <c r="O30" i="77"/>
  <c r="I30" i="77"/>
  <c r="F30" i="77"/>
  <c r="C30" i="77"/>
  <c r="H30" i="77" s="1"/>
  <c r="N30" i="77" s="1"/>
  <c r="B30" i="77"/>
  <c r="G30" i="77" s="1"/>
  <c r="U29" i="77"/>
  <c r="R29" i="77"/>
  <c r="Q29" i="77"/>
  <c r="O29" i="77"/>
  <c r="I29" i="77"/>
  <c r="F29" i="77"/>
  <c r="C29" i="77"/>
  <c r="H29" i="77" s="1"/>
  <c r="N29" i="77" s="1"/>
  <c r="B29" i="77"/>
  <c r="G29" i="77" s="1"/>
  <c r="U28" i="77"/>
  <c r="R28" i="77"/>
  <c r="Q28" i="77"/>
  <c r="O28" i="77"/>
  <c r="I28" i="77"/>
  <c r="G28" i="77"/>
  <c r="F28" i="77"/>
  <c r="C28" i="77"/>
  <c r="H28" i="77" s="1"/>
  <c r="N28" i="77" s="1"/>
  <c r="B28" i="77"/>
  <c r="U27" i="77"/>
  <c r="R27" i="77"/>
  <c r="Q27" i="77"/>
  <c r="O27" i="77"/>
  <c r="I27" i="77"/>
  <c r="G27" i="77"/>
  <c r="F27" i="77"/>
  <c r="C27" i="77"/>
  <c r="H27" i="77" s="1"/>
  <c r="N27" i="77" s="1"/>
  <c r="B27" i="77"/>
  <c r="R26" i="77"/>
  <c r="Q26" i="77"/>
  <c r="O26" i="77"/>
  <c r="I26" i="77"/>
  <c r="F26" i="77"/>
  <c r="C26" i="77"/>
  <c r="H26" i="77" s="1"/>
  <c r="N26" i="77" s="1"/>
  <c r="B26" i="77"/>
  <c r="G26" i="77" s="1"/>
  <c r="U25" i="77"/>
  <c r="R25" i="77"/>
  <c r="Q25" i="77"/>
  <c r="O25" i="77"/>
  <c r="I25" i="77"/>
  <c r="F25" i="77"/>
  <c r="C25" i="77"/>
  <c r="H25" i="77" s="1"/>
  <c r="N25" i="77" s="1"/>
  <c r="B25" i="77"/>
  <c r="G25" i="77" s="1"/>
  <c r="U24" i="77"/>
  <c r="R24" i="77"/>
  <c r="Q24" i="77"/>
  <c r="O24" i="77"/>
  <c r="I24" i="77"/>
  <c r="F24" i="77"/>
  <c r="C24" i="77"/>
  <c r="H24" i="77" s="1"/>
  <c r="N24" i="77" s="1"/>
  <c r="B24" i="77"/>
  <c r="G24" i="77" s="1"/>
  <c r="U23" i="77"/>
  <c r="R23" i="77"/>
  <c r="Q23" i="77"/>
  <c r="O23" i="77"/>
  <c r="I23" i="77"/>
  <c r="F23" i="77"/>
  <c r="C23" i="77"/>
  <c r="H23" i="77" s="1"/>
  <c r="N23" i="77" s="1"/>
  <c r="B23" i="77"/>
  <c r="G23" i="77" s="1"/>
  <c r="R22" i="77"/>
  <c r="Q22" i="77"/>
  <c r="O22" i="77"/>
  <c r="I22" i="77"/>
  <c r="G22" i="77"/>
  <c r="F22" i="77"/>
  <c r="C22" i="77"/>
  <c r="H22" i="77" s="1"/>
  <c r="N22" i="77" s="1"/>
  <c r="B22" i="77"/>
  <c r="U21" i="77"/>
  <c r="R21" i="77"/>
  <c r="Q21" i="77"/>
  <c r="O21" i="77"/>
  <c r="I21" i="77"/>
  <c r="F21" i="77"/>
  <c r="C21" i="77"/>
  <c r="H21" i="77" s="1"/>
  <c r="N21" i="77" s="1"/>
  <c r="B21" i="77"/>
  <c r="G21" i="77" s="1"/>
  <c r="U20" i="77"/>
  <c r="R20" i="77"/>
  <c r="Q20" i="77"/>
  <c r="O20" i="77"/>
  <c r="I20" i="77"/>
  <c r="G20" i="77"/>
  <c r="F20" i="77"/>
  <c r="C20" i="77"/>
  <c r="H20" i="77" s="1"/>
  <c r="N20" i="77" s="1"/>
  <c r="B20" i="77"/>
  <c r="U19" i="77"/>
  <c r="R19" i="77"/>
  <c r="Q19" i="77"/>
  <c r="O19" i="77"/>
  <c r="I19" i="77"/>
  <c r="F19" i="77"/>
  <c r="C19" i="77"/>
  <c r="H19" i="77" s="1"/>
  <c r="N19" i="77" s="1"/>
  <c r="B19" i="77"/>
  <c r="G19" i="77" s="1"/>
  <c r="R18" i="77"/>
  <c r="Q18" i="77"/>
  <c r="O18" i="77"/>
  <c r="I18" i="77"/>
  <c r="F18" i="77"/>
  <c r="C18" i="77"/>
  <c r="H18" i="77" s="1"/>
  <c r="N18" i="77" s="1"/>
  <c r="B18" i="77"/>
  <c r="G18" i="77" s="1"/>
  <c r="U17" i="77"/>
  <c r="R17" i="77"/>
  <c r="Q17" i="77"/>
  <c r="O17" i="77"/>
  <c r="I17" i="77"/>
  <c r="F17" i="77"/>
  <c r="C17" i="77"/>
  <c r="H17" i="77" s="1"/>
  <c r="N17" i="77" s="1"/>
  <c r="B17" i="77"/>
  <c r="G17" i="77" s="1"/>
  <c r="U16" i="77"/>
  <c r="R16" i="77"/>
  <c r="Q16" i="77"/>
  <c r="O16" i="77"/>
  <c r="I16" i="77"/>
  <c r="F16" i="77"/>
  <c r="C16" i="77"/>
  <c r="H16" i="77" s="1"/>
  <c r="N16" i="77" s="1"/>
  <c r="B16" i="77"/>
  <c r="G16" i="77" s="1"/>
  <c r="U15" i="77"/>
  <c r="R15" i="77"/>
  <c r="Q15" i="77"/>
  <c r="O15" i="77"/>
  <c r="I15" i="77"/>
  <c r="G15" i="77"/>
  <c r="F15" i="77"/>
  <c r="C15" i="77"/>
  <c r="H15" i="77" s="1"/>
  <c r="N15" i="77" s="1"/>
  <c r="B15" i="77"/>
  <c r="R14" i="77"/>
  <c r="Q14" i="77"/>
  <c r="O14" i="77"/>
  <c r="I14" i="77"/>
  <c r="G14" i="77"/>
  <c r="F14" i="77"/>
  <c r="C14" i="77"/>
  <c r="H14" i="77" s="1"/>
  <c r="N14" i="77" s="1"/>
  <c r="B14" i="77"/>
  <c r="U13" i="77"/>
  <c r="R13" i="77"/>
  <c r="Q13" i="77"/>
  <c r="O13" i="77"/>
  <c r="I13" i="77"/>
  <c r="F13" i="77"/>
  <c r="C13" i="77"/>
  <c r="H13" i="77" s="1"/>
  <c r="N13" i="77" s="1"/>
  <c r="B13" i="77"/>
  <c r="G13" i="77" s="1"/>
  <c r="U12" i="77"/>
  <c r="R12" i="77"/>
  <c r="Q12" i="77"/>
  <c r="O12" i="77"/>
  <c r="I12" i="77"/>
  <c r="F12" i="77"/>
  <c r="C12" i="77"/>
  <c r="H12" i="77" s="1"/>
  <c r="N12" i="77" s="1"/>
  <c r="B12" i="77"/>
  <c r="G12" i="77" s="1"/>
  <c r="U11" i="77"/>
  <c r="R11" i="77"/>
  <c r="Q11" i="77"/>
  <c r="O11" i="77"/>
  <c r="I11" i="77"/>
  <c r="F11" i="77"/>
  <c r="C11" i="77"/>
  <c r="H11" i="77" s="1"/>
  <c r="N11" i="77" s="1"/>
  <c r="B11" i="77"/>
  <c r="G11" i="77" s="1"/>
  <c r="R10" i="77"/>
  <c r="Q10" i="77"/>
  <c r="O10" i="77"/>
  <c r="I10" i="77"/>
  <c r="F10" i="77"/>
  <c r="C10" i="77"/>
  <c r="H10" i="77" s="1"/>
  <c r="N10" i="77" s="1"/>
  <c r="B10" i="77"/>
  <c r="G10" i="77" s="1"/>
  <c r="U9" i="77"/>
  <c r="R9" i="77"/>
  <c r="Q9" i="77"/>
  <c r="O9" i="77"/>
  <c r="I9" i="77"/>
  <c r="F9" i="77"/>
  <c r="C9" i="77"/>
  <c r="H9" i="77" s="1"/>
  <c r="N9" i="77" s="1"/>
  <c r="B9" i="77"/>
  <c r="G9" i="77" s="1"/>
  <c r="U8" i="77"/>
  <c r="R8" i="77"/>
  <c r="Q8" i="77"/>
  <c r="O8" i="77"/>
  <c r="I8" i="77"/>
  <c r="G8" i="77"/>
  <c r="F8" i="77"/>
  <c r="C8" i="77"/>
  <c r="H8" i="77" s="1"/>
  <c r="N8" i="77" s="1"/>
  <c r="B8" i="77"/>
  <c r="U7" i="77"/>
  <c r="R7" i="77"/>
  <c r="Q7" i="77"/>
  <c r="O7" i="77"/>
  <c r="I7" i="77"/>
  <c r="G7" i="77"/>
  <c r="F7" i="77"/>
  <c r="C7" i="77"/>
  <c r="H7" i="77" s="1"/>
  <c r="N7" i="77" s="1"/>
  <c r="B7" i="77"/>
  <c r="R6" i="77"/>
  <c r="Q6" i="77"/>
  <c r="O6" i="77"/>
  <c r="I6" i="77"/>
  <c r="F6" i="77"/>
  <c r="C6" i="77"/>
  <c r="H6" i="77" s="1"/>
  <c r="N6" i="77" s="1"/>
  <c r="B6" i="77"/>
  <c r="G6" i="77" s="1"/>
  <c r="U5" i="77"/>
  <c r="R5" i="77"/>
  <c r="Q5" i="77"/>
  <c r="O5" i="77"/>
  <c r="I5" i="77"/>
  <c r="F5" i="77"/>
  <c r="C5" i="77"/>
  <c r="H5" i="77" s="1"/>
  <c r="N5" i="77" s="1"/>
  <c r="B5" i="77"/>
  <c r="G5" i="77" s="1"/>
  <c r="U4" i="77"/>
  <c r="R4" i="77"/>
  <c r="Q4" i="77"/>
  <c r="O4" i="77"/>
  <c r="I4" i="77"/>
  <c r="F4" i="77"/>
  <c r="C4" i="77"/>
  <c r="H4" i="77" s="1"/>
  <c r="N4" i="77" s="1"/>
  <c r="B4" i="77"/>
  <c r="G4" i="77" s="1"/>
  <c r="U3" i="77"/>
  <c r="R3" i="77"/>
  <c r="Q3" i="77"/>
  <c r="O3" i="77"/>
  <c r="I3" i="77"/>
  <c r="G3" i="77"/>
  <c r="F3" i="77"/>
  <c r="C3" i="77"/>
  <c r="H3" i="77" s="1"/>
  <c r="N3" i="77" s="1"/>
  <c r="B3" i="77"/>
  <c r="R103" i="76"/>
  <c r="Q103" i="76"/>
  <c r="O103" i="76"/>
  <c r="U103" i="76" s="1"/>
  <c r="I103" i="76"/>
  <c r="G103" i="76"/>
  <c r="F103" i="76"/>
  <c r="C103" i="76"/>
  <c r="H103" i="76" s="1"/>
  <c r="N103" i="76" s="1"/>
  <c r="B103" i="76"/>
  <c r="R102" i="76"/>
  <c r="Q102" i="76"/>
  <c r="O102" i="76"/>
  <c r="U102" i="76" s="1"/>
  <c r="I102" i="76"/>
  <c r="G102" i="76"/>
  <c r="F102" i="76"/>
  <c r="C102" i="76"/>
  <c r="H102" i="76" s="1"/>
  <c r="N102" i="76" s="1"/>
  <c r="B102" i="76"/>
  <c r="R101" i="76"/>
  <c r="Q101" i="76"/>
  <c r="O101" i="76"/>
  <c r="U101" i="76" s="1"/>
  <c r="I101" i="76"/>
  <c r="G101" i="76"/>
  <c r="F101" i="76"/>
  <c r="C101" i="76"/>
  <c r="H101" i="76" s="1"/>
  <c r="N101" i="76" s="1"/>
  <c r="B101" i="76"/>
  <c r="R100" i="76"/>
  <c r="Q100" i="76"/>
  <c r="O100" i="76"/>
  <c r="U100" i="76" s="1"/>
  <c r="I100" i="76"/>
  <c r="G100" i="76"/>
  <c r="F100" i="76"/>
  <c r="C100" i="76"/>
  <c r="H100" i="76" s="1"/>
  <c r="N100" i="76" s="1"/>
  <c r="B100" i="76"/>
  <c r="R99" i="76"/>
  <c r="Q99" i="76"/>
  <c r="O99" i="76"/>
  <c r="U99" i="76" s="1"/>
  <c r="I99" i="76"/>
  <c r="G99" i="76"/>
  <c r="F99" i="76"/>
  <c r="C99" i="76"/>
  <c r="H99" i="76" s="1"/>
  <c r="N99" i="76" s="1"/>
  <c r="B99" i="76"/>
  <c r="R98" i="76"/>
  <c r="Q98" i="76"/>
  <c r="O98" i="76"/>
  <c r="U98" i="76" s="1"/>
  <c r="I98" i="76"/>
  <c r="G98" i="76"/>
  <c r="F98" i="76"/>
  <c r="C98" i="76"/>
  <c r="H98" i="76" s="1"/>
  <c r="N98" i="76" s="1"/>
  <c r="B98" i="76"/>
  <c r="R97" i="76"/>
  <c r="Q97" i="76"/>
  <c r="O97" i="76"/>
  <c r="U97" i="76" s="1"/>
  <c r="I97" i="76"/>
  <c r="G97" i="76"/>
  <c r="F97" i="76"/>
  <c r="C97" i="76"/>
  <c r="H97" i="76" s="1"/>
  <c r="N97" i="76" s="1"/>
  <c r="B97" i="76"/>
  <c r="R96" i="76"/>
  <c r="Q96" i="76"/>
  <c r="O96" i="76"/>
  <c r="U96" i="76" s="1"/>
  <c r="I96" i="76"/>
  <c r="G96" i="76"/>
  <c r="F96" i="76"/>
  <c r="C96" i="76"/>
  <c r="H96" i="76" s="1"/>
  <c r="N96" i="76" s="1"/>
  <c r="B96" i="76"/>
  <c r="R95" i="76"/>
  <c r="Q95" i="76"/>
  <c r="O95" i="76"/>
  <c r="U95" i="76" s="1"/>
  <c r="I95" i="76"/>
  <c r="G95" i="76"/>
  <c r="F95" i="76"/>
  <c r="C95" i="76"/>
  <c r="H95" i="76" s="1"/>
  <c r="N95" i="76" s="1"/>
  <c r="B95" i="76"/>
  <c r="R94" i="76"/>
  <c r="Q94" i="76"/>
  <c r="O94" i="76"/>
  <c r="U94" i="76" s="1"/>
  <c r="I94" i="76"/>
  <c r="G94" i="76"/>
  <c r="F94" i="76"/>
  <c r="C94" i="76"/>
  <c r="H94" i="76" s="1"/>
  <c r="N94" i="76" s="1"/>
  <c r="B94" i="76"/>
  <c r="R93" i="76"/>
  <c r="Q93" i="76"/>
  <c r="O93" i="76"/>
  <c r="U93" i="76" s="1"/>
  <c r="I93" i="76"/>
  <c r="G93" i="76"/>
  <c r="F93" i="76"/>
  <c r="C93" i="76"/>
  <c r="H93" i="76" s="1"/>
  <c r="N93" i="76" s="1"/>
  <c r="B93" i="76"/>
  <c r="R92" i="76"/>
  <c r="Q92" i="76"/>
  <c r="O92" i="76"/>
  <c r="U92" i="76" s="1"/>
  <c r="I92" i="76"/>
  <c r="G92" i="76"/>
  <c r="F92" i="76"/>
  <c r="C92" i="76"/>
  <c r="H92" i="76" s="1"/>
  <c r="N92" i="76" s="1"/>
  <c r="B92" i="76"/>
  <c r="R91" i="76"/>
  <c r="Q91" i="76"/>
  <c r="O91" i="76"/>
  <c r="U91" i="76" s="1"/>
  <c r="I91" i="76"/>
  <c r="G91" i="76"/>
  <c r="F91" i="76"/>
  <c r="C91" i="76"/>
  <c r="H91" i="76" s="1"/>
  <c r="N91" i="76" s="1"/>
  <c r="B91" i="76"/>
  <c r="R90" i="76"/>
  <c r="Q90" i="76"/>
  <c r="O90" i="76"/>
  <c r="U90" i="76" s="1"/>
  <c r="I90" i="76"/>
  <c r="G90" i="76"/>
  <c r="F90" i="76"/>
  <c r="C90" i="76"/>
  <c r="H90" i="76" s="1"/>
  <c r="N90" i="76" s="1"/>
  <c r="B90" i="76"/>
  <c r="R89" i="76"/>
  <c r="Q89" i="76"/>
  <c r="O89" i="76"/>
  <c r="U89" i="76" s="1"/>
  <c r="I89" i="76"/>
  <c r="G89" i="76"/>
  <c r="F89" i="76"/>
  <c r="C89" i="76"/>
  <c r="H89" i="76" s="1"/>
  <c r="N89" i="76" s="1"/>
  <c r="B89" i="76"/>
  <c r="R88" i="76"/>
  <c r="Q88" i="76"/>
  <c r="O88" i="76"/>
  <c r="U88" i="76" s="1"/>
  <c r="I88" i="76"/>
  <c r="G88" i="76"/>
  <c r="F88" i="76"/>
  <c r="C88" i="76"/>
  <c r="H88" i="76" s="1"/>
  <c r="N88" i="76" s="1"/>
  <c r="B88" i="76"/>
  <c r="R87" i="76"/>
  <c r="Q87" i="76"/>
  <c r="O87" i="76"/>
  <c r="U87" i="76" s="1"/>
  <c r="I87" i="76"/>
  <c r="G87" i="76"/>
  <c r="F87" i="76"/>
  <c r="C87" i="76"/>
  <c r="H87" i="76" s="1"/>
  <c r="N87" i="76" s="1"/>
  <c r="B87" i="76"/>
  <c r="R86" i="76"/>
  <c r="Q86" i="76"/>
  <c r="O86" i="76"/>
  <c r="U86" i="76" s="1"/>
  <c r="I86" i="76"/>
  <c r="G86" i="76"/>
  <c r="F86" i="76"/>
  <c r="C86" i="76"/>
  <c r="H86" i="76" s="1"/>
  <c r="N86" i="76" s="1"/>
  <c r="B86" i="76"/>
  <c r="R85" i="76"/>
  <c r="Q85" i="76"/>
  <c r="O85" i="76"/>
  <c r="U85" i="76" s="1"/>
  <c r="I85" i="76"/>
  <c r="G85" i="76"/>
  <c r="F85" i="76"/>
  <c r="C85" i="76"/>
  <c r="H85" i="76" s="1"/>
  <c r="N85" i="76" s="1"/>
  <c r="B85" i="76"/>
  <c r="R84" i="76"/>
  <c r="Q84" i="76"/>
  <c r="O84" i="76"/>
  <c r="U84" i="76" s="1"/>
  <c r="I84" i="76"/>
  <c r="G84" i="76"/>
  <c r="F84" i="76"/>
  <c r="C84" i="76"/>
  <c r="H84" i="76" s="1"/>
  <c r="N84" i="76" s="1"/>
  <c r="B84" i="76"/>
  <c r="R83" i="76"/>
  <c r="Q83" i="76"/>
  <c r="O83" i="76"/>
  <c r="U83" i="76" s="1"/>
  <c r="I83" i="76"/>
  <c r="G83" i="76"/>
  <c r="F83" i="76"/>
  <c r="C83" i="76"/>
  <c r="H83" i="76" s="1"/>
  <c r="N83" i="76" s="1"/>
  <c r="B83" i="76"/>
  <c r="R82" i="76"/>
  <c r="Q82" i="76"/>
  <c r="O82" i="76"/>
  <c r="U82" i="76" s="1"/>
  <c r="I82" i="76"/>
  <c r="G82" i="76"/>
  <c r="F82" i="76"/>
  <c r="C82" i="76"/>
  <c r="H82" i="76" s="1"/>
  <c r="N82" i="76" s="1"/>
  <c r="B82" i="76"/>
  <c r="R81" i="76"/>
  <c r="Q81" i="76"/>
  <c r="O81" i="76"/>
  <c r="U81" i="76" s="1"/>
  <c r="I81" i="76"/>
  <c r="G81" i="76"/>
  <c r="F81" i="76"/>
  <c r="C81" i="76"/>
  <c r="H81" i="76" s="1"/>
  <c r="N81" i="76" s="1"/>
  <c r="B81" i="76"/>
  <c r="R80" i="76"/>
  <c r="Q80" i="76"/>
  <c r="O80" i="76"/>
  <c r="U80" i="76" s="1"/>
  <c r="I80" i="76"/>
  <c r="G80" i="76"/>
  <c r="F80" i="76"/>
  <c r="C80" i="76"/>
  <c r="H80" i="76" s="1"/>
  <c r="N80" i="76" s="1"/>
  <c r="B80" i="76"/>
  <c r="U79" i="76"/>
  <c r="R79" i="76"/>
  <c r="Q79" i="76"/>
  <c r="O79" i="76"/>
  <c r="I79" i="76"/>
  <c r="F79" i="76"/>
  <c r="C79" i="76"/>
  <c r="H79" i="76" s="1"/>
  <c r="N79" i="76" s="1"/>
  <c r="B79" i="76"/>
  <c r="G79" i="76" s="1"/>
  <c r="R78" i="76"/>
  <c r="Q78" i="76"/>
  <c r="O78" i="76"/>
  <c r="U78" i="76" s="1"/>
  <c r="I78" i="76"/>
  <c r="F78" i="76"/>
  <c r="C78" i="76"/>
  <c r="H78" i="76" s="1"/>
  <c r="N78" i="76" s="1"/>
  <c r="B78" i="76"/>
  <c r="G78" i="76" s="1"/>
  <c r="R77" i="76"/>
  <c r="Q77" i="76"/>
  <c r="O77" i="76"/>
  <c r="U77" i="76" s="1"/>
  <c r="I77" i="76"/>
  <c r="F77" i="76"/>
  <c r="C77" i="76"/>
  <c r="H77" i="76" s="1"/>
  <c r="N77" i="76" s="1"/>
  <c r="B77" i="76"/>
  <c r="G77" i="76" s="1"/>
  <c r="R76" i="76"/>
  <c r="Q76" i="76"/>
  <c r="O76" i="76"/>
  <c r="U76" i="76" s="1"/>
  <c r="I76" i="76"/>
  <c r="F76" i="76"/>
  <c r="C76" i="76"/>
  <c r="H76" i="76" s="1"/>
  <c r="N76" i="76" s="1"/>
  <c r="B76" i="76"/>
  <c r="G76" i="76" s="1"/>
  <c r="R75" i="76"/>
  <c r="Q75" i="76"/>
  <c r="O75" i="76"/>
  <c r="U75" i="76" s="1"/>
  <c r="I75" i="76"/>
  <c r="F75" i="76"/>
  <c r="C75" i="76"/>
  <c r="H75" i="76" s="1"/>
  <c r="N75" i="76" s="1"/>
  <c r="B75" i="76"/>
  <c r="G75" i="76" s="1"/>
  <c r="R74" i="76"/>
  <c r="Q74" i="76"/>
  <c r="O74" i="76"/>
  <c r="U74" i="76" s="1"/>
  <c r="I74" i="76"/>
  <c r="G74" i="76"/>
  <c r="F74" i="76"/>
  <c r="C74" i="76"/>
  <c r="H74" i="76" s="1"/>
  <c r="N74" i="76" s="1"/>
  <c r="B74" i="76"/>
  <c r="R73" i="76"/>
  <c r="Q73" i="76"/>
  <c r="O73" i="76"/>
  <c r="U73" i="76" s="1"/>
  <c r="I73" i="76"/>
  <c r="G73" i="76"/>
  <c r="F73" i="76"/>
  <c r="C73" i="76"/>
  <c r="H73" i="76" s="1"/>
  <c r="N73" i="76" s="1"/>
  <c r="B73" i="76"/>
  <c r="R72" i="76"/>
  <c r="Q72" i="76"/>
  <c r="O72" i="76"/>
  <c r="U72" i="76" s="1"/>
  <c r="I72" i="76"/>
  <c r="G72" i="76"/>
  <c r="F72" i="76"/>
  <c r="C72" i="76"/>
  <c r="H72" i="76" s="1"/>
  <c r="N72" i="76" s="1"/>
  <c r="B72" i="76"/>
  <c r="U71" i="76"/>
  <c r="R71" i="76"/>
  <c r="Q71" i="76"/>
  <c r="O71" i="76"/>
  <c r="I71" i="76"/>
  <c r="F71" i="76"/>
  <c r="C71" i="76"/>
  <c r="H71" i="76" s="1"/>
  <c r="N71" i="76" s="1"/>
  <c r="B71" i="76"/>
  <c r="G71" i="76" s="1"/>
  <c r="R70" i="76"/>
  <c r="Q70" i="76"/>
  <c r="O70" i="76"/>
  <c r="U70" i="76" s="1"/>
  <c r="I70" i="76"/>
  <c r="F70" i="76"/>
  <c r="C70" i="76"/>
  <c r="H70" i="76" s="1"/>
  <c r="N70" i="76" s="1"/>
  <c r="B70" i="76"/>
  <c r="G70" i="76" s="1"/>
  <c r="R69" i="76"/>
  <c r="Q69" i="76"/>
  <c r="O69" i="76"/>
  <c r="U69" i="76" s="1"/>
  <c r="I69" i="76"/>
  <c r="F69" i="76"/>
  <c r="C69" i="76"/>
  <c r="H69" i="76" s="1"/>
  <c r="N69" i="76" s="1"/>
  <c r="B69" i="76"/>
  <c r="G69" i="76" s="1"/>
  <c r="R68" i="76"/>
  <c r="Q68" i="76"/>
  <c r="O68" i="76"/>
  <c r="U68" i="76" s="1"/>
  <c r="I68" i="76"/>
  <c r="F68" i="76"/>
  <c r="C68" i="76"/>
  <c r="H68" i="76" s="1"/>
  <c r="N68" i="76" s="1"/>
  <c r="B68" i="76"/>
  <c r="G68" i="76" s="1"/>
  <c r="R67" i="76"/>
  <c r="Q67" i="76"/>
  <c r="O67" i="76"/>
  <c r="U67" i="76" s="1"/>
  <c r="I67" i="76"/>
  <c r="F67" i="76"/>
  <c r="C67" i="76"/>
  <c r="H67" i="76" s="1"/>
  <c r="N67" i="76" s="1"/>
  <c r="B67" i="76"/>
  <c r="G67" i="76" s="1"/>
  <c r="R66" i="76"/>
  <c r="Q66" i="76"/>
  <c r="O66" i="76"/>
  <c r="U66" i="76" s="1"/>
  <c r="I66" i="76"/>
  <c r="G66" i="76"/>
  <c r="F66" i="76"/>
  <c r="C66" i="76"/>
  <c r="H66" i="76" s="1"/>
  <c r="N66" i="76" s="1"/>
  <c r="B66" i="76"/>
  <c r="R65" i="76"/>
  <c r="Q65" i="76"/>
  <c r="O65" i="76"/>
  <c r="U65" i="76" s="1"/>
  <c r="I65" i="76"/>
  <c r="G65" i="76"/>
  <c r="F65" i="76"/>
  <c r="C65" i="76"/>
  <c r="H65" i="76" s="1"/>
  <c r="N65" i="76" s="1"/>
  <c r="B65" i="76"/>
  <c r="U64" i="76"/>
  <c r="R64" i="76"/>
  <c r="Q64" i="76"/>
  <c r="O64" i="76"/>
  <c r="I64" i="76"/>
  <c r="F64" i="76"/>
  <c r="C64" i="76"/>
  <c r="H64" i="76" s="1"/>
  <c r="N64" i="76" s="1"/>
  <c r="B64" i="76"/>
  <c r="G64" i="76" s="1"/>
  <c r="R63" i="76"/>
  <c r="Q63" i="76"/>
  <c r="O63" i="76"/>
  <c r="U63" i="76" s="1"/>
  <c r="I63" i="76"/>
  <c r="F63" i="76"/>
  <c r="C63" i="76"/>
  <c r="H63" i="76" s="1"/>
  <c r="N63" i="76" s="1"/>
  <c r="B63" i="76"/>
  <c r="G63" i="76" s="1"/>
  <c r="R62" i="76"/>
  <c r="Q62" i="76"/>
  <c r="O62" i="76"/>
  <c r="U62" i="76" s="1"/>
  <c r="I62" i="76"/>
  <c r="F62" i="76"/>
  <c r="C62" i="76"/>
  <c r="H62" i="76" s="1"/>
  <c r="N62" i="76" s="1"/>
  <c r="B62" i="76"/>
  <c r="G62" i="76" s="1"/>
  <c r="R61" i="76"/>
  <c r="Q61" i="76"/>
  <c r="O61" i="76"/>
  <c r="U61" i="76" s="1"/>
  <c r="I61" i="76"/>
  <c r="G61" i="76"/>
  <c r="F61" i="76"/>
  <c r="C61" i="76"/>
  <c r="H61" i="76" s="1"/>
  <c r="N61" i="76" s="1"/>
  <c r="B61" i="76"/>
  <c r="R60" i="76"/>
  <c r="Q60" i="76"/>
  <c r="O60" i="76"/>
  <c r="U60" i="76" s="1"/>
  <c r="I60" i="76"/>
  <c r="F60" i="76"/>
  <c r="C60" i="76"/>
  <c r="H60" i="76" s="1"/>
  <c r="N60" i="76" s="1"/>
  <c r="B60" i="76"/>
  <c r="G60" i="76" s="1"/>
  <c r="R59" i="76"/>
  <c r="Q59" i="76"/>
  <c r="O59" i="76"/>
  <c r="U59" i="76" s="1"/>
  <c r="I59" i="76"/>
  <c r="G59" i="76"/>
  <c r="F59" i="76"/>
  <c r="C59" i="76"/>
  <c r="H59" i="76" s="1"/>
  <c r="N59" i="76" s="1"/>
  <c r="B59" i="76"/>
  <c r="R58" i="76"/>
  <c r="Q58" i="76"/>
  <c r="O58" i="76"/>
  <c r="U58" i="76" s="1"/>
  <c r="I58" i="76"/>
  <c r="F58" i="76"/>
  <c r="C58" i="76"/>
  <c r="H58" i="76" s="1"/>
  <c r="N58" i="76" s="1"/>
  <c r="B58" i="76"/>
  <c r="G58" i="76" s="1"/>
  <c r="R57" i="76"/>
  <c r="Q57" i="76"/>
  <c r="O57" i="76"/>
  <c r="U57" i="76" s="1"/>
  <c r="I57" i="76"/>
  <c r="G57" i="76"/>
  <c r="F57" i="76"/>
  <c r="C57" i="76"/>
  <c r="H57" i="76" s="1"/>
  <c r="N57" i="76" s="1"/>
  <c r="B57" i="76"/>
  <c r="R56" i="76"/>
  <c r="Q56" i="76"/>
  <c r="O56" i="76"/>
  <c r="U56" i="76" s="1"/>
  <c r="I56" i="76"/>
  <c r="F56" i="76"/>
  <c r="C56" i="76"/>
  <c r="H56" i="76" s="1"/>
  <c r="N56" i="76" s="1"/>
  <c r="B56" i="76"/>
  <c r="G56" i="76" s="1"/>
  <c r="R55" i="76"/>
  <c r="Q55" i="76"/>
  <c r="O55" i="76"/>
  <c r="U55" i="76" s="1"/>
  <c r="I55" i="76"/>
  <c r="F55" i="76"/>
  <c r="C55" i="76"/>
  <c r="H55" i="76" s="1"/>
  <c r="N55" i="76" s="1"/>
  <c r="B55" i="76"/>
  <c r="G55" i="76" s="1"/>
  <c r="R54" i="76"/>
  <c r="Q54" i="76"/>
  <c r="O54" i="76"/>
  <c r="U54" i="76" s="1"/>
  <c r="I54" i="76"/>
  <c r="F54" i="76"/>
  <c r="C54" i="76"/>
  <c r="H54" i="76" s="1"/>
  <c r="N54" i="76" s="1"/>
  <c r="B54" i="76"/>
  <c r="G54" i="76" s="1"/>
  <c r="R53" i="76"/>
  <c r="Q53" i="76"/>
  <c r="O53" i="76"/>
  <c r="U53" i="76" s="1"/>
  <c r="I53" i="76"/>
  <c r="G53" i="76"/>
  <c r="F53" i="76"/>
  <c r="C53" i="76"/>
  <c r="H53" i="76" s="1"/>
  <c r="N53" i="76" s="1"/>
  <c r="B53" i="76"/>
  <c r="R52" i="76"/>
  <c r="Q52" i="76"/>
  <c r="O52" i="76"/>
  <c r="U52" i="76" s="1"/>
  <c r="I52" i="76"/>
  <c r="F52" i="76"/>
  <c r="C52" i="76"/>
  <c r="H52" i="76" s="1"/>
  <c r="N52" i="76" s="1"/>
  <c r="B52" i="76"/>
  <c r="G52" i="76" s="1"/>
  <c r="R51" i="76"/>
  <c r="Q51" i="76"/>
  <c r="O51" i="76"/>
  <c r="U51" i="76" s="1"/>
  <c r="I51" i="76"/>
  <c r="F51" i="76"/>
  <c r="C51" i="76"/>
  <c r="H51" i="76" s="1"/>
  <c r="N51" i="76" s="1"/>
  <c r="B51" i="76"/>
  <c r="G51" i="76" s="1"/>
  <c r="R50" i="76"/>
  <c r="Q50" i="76"/>
  <c r="O50" i="76"/>
  <c r="U50" i="76" s="1"/>
  <c r="I50" i="76"/>
  <c r="F50" i="76"/>
  <c r="C50" i="76"/>
  <c r="H50" i="76" s="1"/>
  <c r="N50" i="76" s="1"/>
  <c r="B50" i="76"/>
  <c r="G50" i="76" s="1"/>
  <c r="R49" i="76"/>
  <c r="Q49" i="76"/>
  <c r="O49" i="76"/>
  <c r="U49" i="76" s="1"/>
  <c r="I49" i="76"/>
  <c r="F49" i="76"/>
  <c r="C49" i="76"/>
  <c r="H49" i="76" s="1"/>
  <c r="N49" i="76" s="1"/>
  <c r="B49" i="76"/>
  <c r="G49" i="76" s="1"/>
  <c r="R48" i="76"/>
  <c r="Q48" i="76"/>
  <c r="O48" i="76"/>
  <c r="U48" i="76" s="1"/>
  <c r="I48" i="76"/>
  <c r="F48" i="76"/>
  <c r="C48" i="76"/>
  <c r="H48" i="76" s="1"/>
  <c r="N48" i="76" s="1"/>
  <c r="B48" i="76"/>
  <c r="G48" i="76" s="1"/>
  <c r="R47" i="76"/>
  <c r="Q47" i="76"/>
  <c r="O47" i="76"/>
  <c r="U47" i="76" s="1"/>
  <c r="I47" i="76"/>
  <c r="F47" i="76"/>
  <c r="C47" i="76"/>
  <c r="H47" i="76" s="1"/>
  <c r="N47" i="76" s="1"/>
  <c r="B47" i="76"/>
  <c r="G47" i="76" s="1"/>
  <c r="R46" i="76"/>
  <c r="Q46" i="76"/>
  <c r="O46" i="76"/>
  <c r="U46" i="76" s="1"/>
  <c r="I46" i="76"/>
  <c r="F46" i="76"/>
  <c r="C46" i="76"/>
  <c r="H46" i="76" s="1"/>
  <c r="N46" i="76" s="1"/>
  <c r="B46" i="76"/>
  <c r="G46" i="76" s="1"/>
  <c r="R45" i="76"/>
  <c r="Q45" i="76"/>
  <c r="O45" i="76"/>
  <c r="U45" i="76" s="1"/>
  <c r="I45" i="76"/>
  <c r="F45" i="76"/>
  <c r="C45" i="76"/>
  <c r="H45" i="76" s="1"/>
  <c r="N45" i="76" s="1"/>
  <c r="B45" i="76"/>
  <c r="G45" i="76" s="1"/>
  <c r="R44" i="76"/>
  <c r="Q44" i="76"/>
  <c r="O44" i="76"/>
  <c r="U44" i="76" s="1"/>
  <c r="I44" i="76"/>
  <c r="F44" i="76"/>
  <c r="C44" i="76"/>
  <c r="H44" i="76" s="1"/>
  <c r="N44" i="76" s="1"/>
  <c r="B44" i="76"/>
  <c r="G44" i="76" s="1"/>
  <c r="R43" i="76"/>
  <c r="Q43" i="76"/>
  <c r="O43" i="76"/>
  <c r="U43" i="76" s="1"/>
  <c r="I43" i="76"/>
  <c r="F43" i="76"/>
  <c r="C43" i="76"/>
  <c r="H43" i="76" s="1"/>
  <c r="N43" i="76" s="1"/>
  <c r="B43" i="76"/>
  <c r="G43" i="76" s="1"/>
  <c r="R42" i="76"/>
  <c r="Q42" i="76"/>
  <c r="O42" i="76"/>
  <c r="U42" i="76" s="1"/>
  <c r="I42" i="76"/>
  <c r="F42" i="76"/>
  <c r="C42" i="76"/>
  <c r="H42" i="76" s="1"/>
  <c r="N42" i="76" s="1"/>
  <c r="B42" i="76"/>
  <c r="G42" i="76" s="1"/>
  <c r="R41" i="76"/>
  <c r="Q41" i="76"/>
  <c r="O41" i="76"/>
  <c r="U41" i="76" s="1"/>
  <c r="I41" i="76"/>
  <c r="F41" i="76"/>
  <c r="C41" i="76"/>
  <c r="H41" i="76" s="1"/>
  <c r="N41" i="76" s="1"/>
  <c r="B41" i="76"/>
  <c r="G41" i="76" s="1"/>
  <c r="R40" i="76"/>
  <c r="Q40" i="76"/>
  <c r="O40" i="76"/>
  <c r="U40" i="76" s="1"/>
  <c r="I40" i="76"/>
  <c r="F40" i="76"/>
  <c r="C40" i="76"/>
  <c r="H40" i="76" s="1"/>
  <c r="N40" i="76" s="1"/>
  <c r="B40" i="76"/>
  <c r="G40" i="76" s="1"/>
  <c r="R39" i="76"/>
  <c r="Q39" i="76"/>
  <c r="O39" i="76"/>
  <c r="U39" i="76" s="1"/>
  <c r="I39" i="76"/>
  <c r="F39" i="76"/>
  <c r="C39" i="76"/>
  <c r="H39" i="76" s="1"/>
  <c r="N39" i="76" s="1"/>
  <c r="B39" i="76"/>
  <c r="G39" i="76" s="1"/>
  <c r="R38" i="76"/>
  <c r="Q38" i="76"/>
  <c r="O38" i="76"/>
  <c r="U38" i="76" s="1"/>
  <c r="I38" i="76"/>
  <c r="F38" i="76"/>
  <c r="C38" i="76"/>
  <c r="H38" i="76" s="1"/>
  <c r="N38" i="76" s="1"/>
  <c r="B38" i="76"/>
  <c r="G38" i="76" s="1"/>
  <c r="R37" i="76"/>
  <c r="Q37" i="76"/>
  <c r="O37" i="76"/>
  <c r="U37" i="76" s="1"/>
  <c r="I37" i="76"/>
  <c r="F37" i="76"/>
  <c r="C37" i="76"/>
  <c r="H37" i="76" s="1"/>
  <c r="N37" i="76" s="1"/>
  <c r="B37" i="76"/>
  <c r="G37" i="76" s="1"/>
  <c r="R36" i="76"/>
  <c r="Q36" i="76"/>
  <c r="O36" i="76"/>
  <c r="U36" i="76" s="1"/>
  <c r="I36" i="76"/>
  <c r="F36" i="76"/>
  <c r="C36" i="76"/>
  <c r="H36" i="76" s="1"/>
  <c r="N36" i="76" s="1"/>
  <c r="B36" i="76"/>
  <c r="G36" i="76" s="1"/>
  <c r="R35" i="76"/>
  <c r="Q35" i="76"/>
  <c r="O35" i="76"/>
  <c r="U35" i="76" s="1"/>
  <c r="I35" i="76"/>
  <c r="F35" i="76"/>
  <c r="C35" i="76"/>
  <c r="H35" i="76" s="1"/>
  <c r="N35" i="76" s="1"/>
  <c r="B35" i="76"/>
  <c r="G35" i="76" s="1"/>
  <c r="R34" i="76"/>
  <c r="Q34" i="76"/>
  <c r="O34" i="76"/>
  <c r="U34" i="76" s="1"/>
  <c r="I34" i="76"/>
  <c r="F34" i="76"/>
  <c r="C34" i="76"/>
  <c r="H34" i="76" s="1"/>
  <c r="N34" i="76" s="1"/>
  <c r="B34" i="76"/>
  <c r="G34" i="76" s="1"/>
  <c r="R33" i="76"/>
  <c r="Q33" i="76"/>
  <c r="O33" i="76"/>
  <c r="U33" i="76" s="1"/>
  <c r="I33" i="76"/>
  <c r="F33" i="76"/>
  <c r="C33" i="76"/>
  <c r="H33" i="76" s="1"/>
  <c r="N33" i="76" s="1"/>
  <c r="B33" i="76"/>
  <c r="G33" i="76" s="1"/>
  <c r="R32" i="76"/>
  <c r="Q32" i="76"/>
  <c r="O32" i="76"/>
  <c r="U32" i="76" s="1"/>
  <c r="I32" i="76"/>
  <c r="F32" i="76"/>
  <c r="C32" i="76"/>
  <c r="H32" i="76" s="1"/>
  <c r="N32" i="76" s="1"/>
  <c r="B32" i="76"/>
  <c r="G32" i="76" s="1"/>
  <c r="R31" i="76"/>
  <c r="Q31" i="76"/>
  <c r="O31" i="76"/>
  <c r="U31" i="76" s="1"/>
  <c r="I31" i="76"/>
  <c r="F31" i="76"/>
  <c r="C31" i="76"/>
  <c r="H31" i="76" s="1"/>
  <c r="N31" i="76" s="1"/>
  <c r="B31" i="76"/>
  <c r="G31" i="76" s="1"/>
  <c r="R30" i="76"/>
  <c r="Q30" i="76"/>
  <c r="O30" i="76"/>
  <c r="U30" i="76" s="1"/>
  <c r="I30" i="76"/>
  <c r="F30" i="76"/>
  <c r="C30" i="76"/>
  <c r="H30" i="76" s="1"/>
  <c r="N30" i="76" s="1"/>
  <c r="B30" i="76"/>
  <c r="G30" i="76" s="1"/>
  <c r="R29" i="76"/>
  <c r="Q29" i="76"/>
  <c r="O29" i="76"/>
  <c r="U29" i="76" s="1"/>
  <c r="I29" i="76"/>
  <c r="F29" i="76"/>
  <c r="C29" i="76"/>
  <c r="H29" i="76" s="1"/>
  <c r="N29" i="76" s="1"/>
  <c r="B29" i="76"/>
  <c r="G29" i="76" s="1"/>
  <c r="R28" i="76"/>
  <c r="Q28" i="76"/>
  <c r="O28" i="76"/>
  <c r="U28" i="76" s="1"/>
  <c r="I28" i="76"/>
  <c r="F28" i="76"/>
  <c r="C28" i="76"/>
  <c r="H28" i="76" s="1"/>
  <c r="N28" i="76" s="1"/>
  <c r="B28" i="76"/>
  <c r="G28" i="76" s="1"/>
  <c r="R27" i="76"/>
  <c r="Q27" i="76"/>
  <c r="O27" i="76"/>
  <c r="U27" i="76" s="1"/>
  <c r="I27" i="76"/>
  <c r="F27" i="76"/>
  <c r="C27" i="76"/>
  <c r="H27" i="76" s="1"/>
  <c r="N27" i="76" s="1"/>
  <c r="B27" i="76"/>
  <c r="G27" i="76" s="1"/>
  <c r="R26" i="76"/>
  <c r="Q26" i="76"/>
  <c r="O26" i="76"/>
  <c r="U26" i="76" s="1"/>
  <c r="I26" i="76"/>
  <c r="F26" i="76"/>
  <c r="C26" i="76"/>
  <c r="H26" i="76" s="1"/>
  <c r="N26" i="76" s="1"/>
  <c r="B26" i="76"/>
  <c r="G26" i="76" s="1"/>
  <c r="R25" i="76"/>
  <c r="Q25" i="76"/>
  <c r="O25" i="76"/>
  <c r="U25" i="76" s="1"/>
  <c r="I25" i="76"/>
  <c r="F25" i="76"/>
  <c r="C25" i="76"/>
  <c r="H25" i="76" s="1"/>
  <c r="N25" i="76" s="1"/>
  <c r="B25" i="76"/>
  <c r="G25" i="76" s="1"/>
  <c r="R24" i="76"/>
  <c r="Q24" i="76"/>
  <c r="O24" i="76"/>
  <c r="U24" i="76" s="1"/>
  <c r="I24" i="76"/>
  <c r="F24" i="76"/>
  <c r="C24" i="76"/>
  <c r="H24" i="76" s="1"/>
  <c r="N24" i="76" s="1"/>
  <c r="B24" i="76"/>
  <c r="G24" i="76" s="1"/>
  <c r="R23" i="76"/>
  <c r="Q23" i="76"/>
  <c r="O23" i="76"/>
  <c r="U23" i="76" s="1"/>
  <c r="I23" i="76"/>
  <c r="F23" i="76"/>
  <c r="C23" i="76"/>
  <c r="H23" i="76" s="1"/>
  <c r="N23" i="76" s="1"/>
  <c r="B23" i="76"/>
  <c r="G23" i="76" s="1"/>
  <c r="R22" i="76"/>
  <c r="Q22" i="76"/>
  <c r="O22" i="76"/>
  <c r="U22" i="76" s="1"/>
  <c r="I22" i="76"/>
  <c r="F22" i="76"/>
  <c r="C22" i="76"/>
  <c r="H22" i="76" s="1"/>
  <c r="N22" i="76" s="1"/>
  <c r="B22" i="76"/>
  <c r="G22" i="76" s="1"/>
  <c r="R21" i="76"/>
  <c r="Q21" i="76"/>
  <c r="O21" i="76"/>
  <c r="U21" i="76" s="1"/>
  <c r="I21" i="76"/>
  <c r="F21" i="76"/>
  <c r="C21" i="76"/>
  <c r="H21" i="76" s="1"/>
  <c r="N21" i="76" s="1"/>
  <c r="B21" i="76"/>
  <c r="G21" i="76" s="1"/>
  <c r="R20" i="76"/>
  <c r="Q20" i="76"/>
  <c r="O20" i="76"/>
  <c r="U20" i="76" s="1"/>
  <c r="I20" i="76"/>
  <c r="F20" i="76"/>
  <c r="C20" i="76"/>
  <c r="H20" i="76" s="1"/>
  <c r="N20" i="76" s="1"/>
  <c r="B20" i="76"/>
  <c r="G20" i="76" s="1"/>
  <c r="R19" i="76"/>
  <c r="Q19" i="76"/>
  <c r="O19" i="76"/>
  <c r="U19" i="76" s="1"/>
  <c r="I19" i="76"/>
  <c r="F19" i="76"/>
  <c r="C19" i="76"/>
  <c r="H19" i="76" s="1"/>
  <c r="N19" i="76" s="1"/>
  <c r="B19" i="76"/>
  <c r="G19" i="76" s="1"/>
  <c r="R18" i="76"/>
  <c r="Q18" i="76"/>
  <c r="O18" i="76"/>
  <c r="U18" i="76" s="1"/>
  <c r="I18" i="76"/>
  <c r="F18" i="76"/>
  <c r="C18" i="76"/>
  <c r="H18" i="76" s="1"/>
  <c r="N18" i="76" s="1"/>
  <c r="B18" i="76"/>
  <c r="G18" i="76" s="1"/>
  <c r="R17" i="76"/>
  <c r="Q17" i="76"/>
  <c r="O17" i="76"/>
  <c r="U17" i="76" s="1"/>
  <c r="I17" i="76"/>
  <c r="F17" i="76"/>
  <c r="C17" i="76"/>
  <c r="H17" i="76" s="1"/>
  <c r="N17" i="76" s="1"/>
  <c r="B17" i="76"/>
  <c r="G17" i="76" s="1"/>
  <c r="R16" i="76"/>
  <c r="Q16" i="76"/>
  <c r="O16" i="76"/>
  <c r="U16" i="76" s="1"/>
  <c r="I16" i="76"/>
  <c r="F16" i="76"/>
  <c r="C16" i="76"/>
  <c r="H16" i="76" s="1"/>
  <c r="N16" i="76" s="1"/>
  <c r="B16" i="76"/>
  <c r="G16" i="76" s="1"/>
  <c r="R15" i="76"/>
  <c r="Q15" i="76"/>
  <c r="O15" i="76"/>
  <c r="U15" i="76" s="1"/>
  <c r="I15" i="76"/>
  <c r="F15" i="76"/>
  <c r="C15" i="76"/>
  <c r="H15" i="76" s="1"/>
  <c r="N15" i="76" s="1"/>
  <c r="B15" i="76"/>
  <c r="G15" i="76" s="1"/>
  <c r="R14" i="76"/>
  <c r="Q14" i="76"/>
  <c r="O14" i="76"/>
  <c r="U14" i="76" s="1"/>
  <c r="I14" i="76"/>
  <c r="F14" i="76"/>
  <c r="C14" i="76"/>
  <c r="H14" i="76" s="1"/>
  <c r="N14" i="76" s="1"/>
  <c r="B14" i="76"/>
  <c r="G14" i="76" s="1"/>
  <c r="R13" i="76"/>
  <c r="Q13" i="76"/>
  <c r="O13" i="76"/>
  <c r="U13" i="76" s="1"/>
  <c r="I13" i="76"/>
  <c r="F13" i="76"/>
  <c r="C13" i="76"/>
  <c r="H13" i="76" s="1"/>
  <c r="N13" i="76" s="1"/>
  <c r="B13" i="76"/>
  <c r="G13" i="76" s="1"/>
  <c r="R12" i="76"/>
  <c r="Q12" i="76"/>
  <c r="O12" i="76"/>
  <c r="U12" i="76" s="1"/>
  <c r="I12" i="76"/>
  <c r="F12" i="76"/>
  <c r="C12" i="76"/>
  <c r="H12" i="76" s="1"/>
  <c r="N12" i="76" s="1"/>
  <c r="B12" i="76"/>
  <c r="G12" i="76" s="1"/>
  <c r="R11" i="76"/>
  <c r="Q11" i="76"/>
  <c r="O11" i="76"/>
  <c r="U11" i="76" s="1"/>
  <c r="I11" i="76"/>
  <c r="F11" i="76"/>
  <c r="C11" i="76"/>
  <c r="H11" i="76" s="1"/>
  <c r="N11" i="76" s="1"/>
  <c r="B11" i="76"/>
  <c r="G11" i="76" s="1"/>
  <c r="R10" i="76"/>
  <c r="Q10" i="76"/>
  <c r="O10" i="76"/>
  <c r="U10" i="76" s="1"/>
  <c r="I10" i="76"/>
  <c r="F10" i="76"/>
  <c r="C10" i="76"/>
  <c r="H10" i="76" s="1"/>
  <c r="N10" i="76" s="1"/>
  <c r="B10" i="76"/>
  <c r="G10" i="76" s="1"/>
  <c r="R9" i="76"/>
  <c r="Q9" i="76"/>
  <c r="O9" i="76"/>
  <c r="U9" i="76" s="1"/>
  <c r="I9" i="76"/>
  <c r="F9" i="76"/>
  <c r="C9" i="76"/>
  <c r="H9" i="76" s="1"/>
  <c r="N9" i="76" s="1"/>
  <c r="B9" i="76"/>
  <c r="G9" i="76" s="1"/>
  <c r="R8" i="76"/>
  <c r="Q8" i="76"/>
  <c r="O8" i="76"/>
  <c r="U8" i="76" s="1"/>
  <c r="I8" i="76"/>
  <c r="F8" i="76"/>
  <c r="C8" i="76"/>
  <c r="H8" i="76" s="1"/>
  <c r="N8" i="76" s="1"/>
  <c r="B8" i="76"/>
  <c r="G8" i="76" s="1"/>
  <c r="R7" i="76"/>
  <c r="Q7" i="76"/>
  <c r="O7" i="76"/>
  <c r="U7" i="76" s="1"/>
  <c r="I7" i="76"/>
  <c r="F7" i="76"/>
  <c r="C7" i="76"/>
  <c r="H7" i="76" s="1"/>
  <c r="N7" i="76" s="1"/>
  <c r="B7" i="76"/>
  <c r="G7" i="76" s="1"/>
  <c r="R6" i="76"/>
  <c r="Q6" i="76"/>
  <c r="O6" i="76"/>
  <c r="U6" i="76" s="1"/>
  <c r="I6" i="76"/>
  <c r="F6" i="76"/>
  <c r="C6" i="76"/>
  <c r="H6" i="76" s="1"/>
  <c r="N6" i="76" s="1"/>
  <c r="B6" i="76"/>
  <c r="G6" i="76" s="1"/>
  <c r="R5" i="76"/>
  <c r="Q5" i="76"/>
  <c r="O5" i="76"/>
  <c r="U5" i="76" s="1"/>
  <c r="I5" i="76"/>
  <c r="F5" i="76"/>
  <c r="C5" i="76"/>
  <c r="H5" i="76" s="1"/>
  <c r="N5" i="76" s="1"/>
  <c r="B5" i="76"/>
  <c r="G5" i="76" s="1"/>
  <c r="R4" i="76"/>
  <c r="Q4" i="76"/>
  <c r="O4" i="76"/>
  <c r="U4" i="76" s="1"/>
  <c r="I4" i="76"/>
  <c r="F4" i="76"/>
  <c r="C4" i="76"/>
  <c r="H4" i="76" s="1"/>
  <c r="N4" i="76" s="1"/>
  <c r="B4" i="76"/>
  <c r="G4" i="76" s="1"/>
  <c r="R3" i="76"/>
  <c r="Q3" i="76"/>
  <c r="O3" i="76"/>
  <c r="U3" i="76" s="1"/>
  <c r="I3" i="76"/>
  <c r="F3" i="76"/>
  <c r="C3" i="76"/>
  <c r="H3" i="76" s="1"/>
  <c r="N3" i="76" s="1"/>
  <c r="B3" i="76"/>
  <c r="G3" i="76" s="1"/>
  <c r="U103" i="75"/>
  <c r="R103" i="75"/>
  <c r="Q103" i="75"/>
  <c r="O103" i="75"/>
  <c r="I103" i="75"/>
  <c r="F103" i="75"/>
  <c r="C103" i="75"/>
  <c r="H103" i="75" s="1"/>
  <c r="N103" i="75" s="1"/>
  <c r="B103" i="75"/>
  <c r="G103" i="75" s="1"/>
  <c r="R102" i="75"/>
  <c r="Q102" i="75"/>
  <c r="O102" i="75"/>
  <c r="I102" i="75"/>
  <c r="F102" i="75"/>
  <c r="C102" i="75"/>
  <c r="H102" i="75" s="1"/>
  <c r="N102" i="75" s="1"/>
  <c r="B102" i="75"/>
  <c r="G102" i="75" s="1"/>
  <c r="U101" i="75"/>
  <c r="R101" i="75"/>
  <c r="Q101" i="75"/>
  <c r="O101" i="75"/>
  <c r="I101" i="75"/>
  <c r="F101" i="75"/>
  <c r="C101" i="75"/>
  <c r="H101" i="75" s="1"/>
  <c r="N101" i="75" s="1"/>
  <c r="B101" i="75"/>
  <c r="G101" i="75" s="1"/>
  <c r="U100" i="75"/>
  <c r="R100" i="75"/>
  <c r="Q100" i="75"/>
  <c r="O100" i="75"/>
  <c r="I100" i="75"/>
  <c r="F100" i="75"/>
  <c r="C100" i="75"/>
  <c r="H100" i="75" s="1"/>
  <c r="N100" i="75" s="1"/>
  <c r="B100" i="75"/>
  <c r="G100" i="75" s="1"/>
  <c r="U99" i="75"/>
  <c r="R99" i="75"/>
  <c r="Q99" i="75"/>
  <c r="O99" i="75"/>
  <c r="I99" i="75"/>
  <c r="F99" i="75"/>
  <c r="C99" i="75"/>
  <c r="H99" i="75" s="1"/>
  <c r="N99" i="75" s="1"/>
  <c r="B99" i="75"/>
  <c r="G99" i="75" s="1"/>
  <c r="R98" i="75"/>
  <c r="Q98" i="75"/>
  <c r="O98" i="75"/>
  <c r="I98" i="75"/>
  <c r="F98" i="75"/>
  <c r="C98" i="75"/>
  <c r="H98" i="75" s="1"/>
  <c r="N98" i="75" s="1"/>
  <c r="B98" i="75"/>
  <c r="G98" i="75" s="1"/>
  <c r="U97" i="75"/>
  <c r="R97" i="75"/>
  <c r="Q97" i="75"/>
  <c r="O97" i="75"/>
  <c r="I97" i="75"/>
  <c r="F97" i="75"/>
  <c r="C97" i="75"/>
  <c r="H97" i="75" s="1"/>
  <c r="N97" i="75" s="1"/>
  <c r="B97" i="75"/>
  <c r="G97" i="75" s="1"/>
  <c r="U96" i="75"/>
  <c r="R96" i="75"/>
  <c r="Q96" i="75"/>
  <c r="O96" i="75"/>
  <c r="I96" i="75"/>
  <c r="F96" i="75"/>
  <c r="C96" i="75"/>
  <c r="H96" i="75" s="1"/>
  <c r="N96" i="75" s="1"/>
  <c r="B96" i="75"/>
  <c r="G96" i="75" s="1"/>
  <c r="U95" i="75"/>
  <c r="R95" i="75"/>
  <c r="Q95" i="75"/>
  <c r="O95" i="75"/>
  <c r="I95" i="75"/>
  <c r="F95" i="75"/>
  <c r="C95" i="75"/>
  <c r="H95" i="75" s="1"/>
  <c r="N95" i="75" s="1"/>
  <c r="B95" i="75"/>
  <c r="G95" i="75" s="1"/>
  <c r="R94" i="75"/>
  <c r="Q94" i="75"/>
  <c r="O94" i="75"/>
  <c r="I94" i="75"/>
  <c r="F94" i="75"/>
  <c r="C94" i="75"/>
  <c r="H94" i="75" s="1"/>
  <c r="N94" i="75" s="1"/>
  <c r="B94" i="75"/>
  <c r="G94" i="75" s="1"/>
  <c r="U93" i="75"/>
  <c r="R93" i="75"/>
  <c r="Q93" i="75"/>
  <c r="O93" i="75"/>
  <c r="I93" i="75"/>
  <c r="F93" i="75"/>
  <c r="C93" i="75"/>
  <c r="H93" i="75" s="1"/>
  <c r="N93" i="75" s="1"/>
  <c r="B93" i="75"/>
  <c r="G93" i="75" s="1"/>
  <c r="U92" i="75"/>
  <c r="R92" i="75"/>
  <c r="Q92" i="75"/>
  <c r="O92" i="75"/>
  <c r="I92" i="75"/>
  <c r="F92" i="75"/>
  <c r="C92" i="75"/>
  <c r="H92" i="75" s="1"/>
  <c r="N92" i="75" s="1"/>
  <c r="B92" i="75"/>
  <c r="G92" i="75" s="1"/>
  <c r="U91" i="75"/>
  <c r="R91" i="75"/>
  <c r="Q91" i="75"/>
  <c r="O91" i="75"/>
  <c r="I91" i="75"/>
  <c r="F91" i="75"/>
  <c r="C91" i="75"/>
  <c r="H91" i="75" s="1"/>
  <c r="N91" i="75" s="1"/>
  <c r="B91" i="75"/>
  <c r="G91" i="75" s="1"/>
  <c r="R90" i="75"/>
  <c r="Q90" i="75"/>
  <c r="O90" i="75"/>
  <c r="I90" i="75"/>
  <c r="F90" i="75"/>
  <c r="C90" i="75"/>
  <c r="H90" i="75" s="1"/>
  <c r="N90" i="75" s="1"/>
  <c r="B90" i="75"/>
  <c r="G90" i="75" s="1"/>
  <c r="U89" i="75"/>
  <c r="R89" i="75"/>
  <c r="Q89" i="75"/>
  <c r="O89" i="75"/>
  <c r="I89" i="75"/>
  <c r="F89" i="75"/>
  <c r="C89" i="75"/>
  <c r="H89" i="75" s="1"/>
  <c r="N89" i="75" s="1"/>
  <c r="B89" i="75"/>
  <c r="G89" i="75" s="1"/>
  <c r="U88" i="75"/>
  <c r="R88" i="75"/>
  <c r="Q88" i="75"/>
  <c r="O88" i="75"/>
  <c r="I88" i="75"/>
  <c r="F88" i="75"/>
  <c r="C88" i="75"/>
  <c r="H88" i="75" s="1"/>
  <c r="N88" i="75" s="1"/>
  <c r="B88" i="75"/>
  <c r="G88" i="75" s="1"/>
  <c r="U87" i="75"/>
  <c r="R87" i="75"/>
  <c r="Q87" i="75"/>
  <c r="O87" i="75"/>
  <c r="I87" i="75"/>
  <c r="F87" i="75"/>
  <c r="C87" i="75"/>
  <c r="H87" i="75" s="1"/>
  <c r="N87" i="75" s="1"/>
  <c r="B87" i="75"/>
  <c r="G87" i="75" s="1"/>
  <c r="R86" i="75"/>
  <c r="Q86" i="75"/>
  <c r="O86" i="75"/>
  <c r="I86" i="75"/>
  <c r="F86" i="75"/>
  <c r="C86" i="75"/>
  <c r="H86" i="75" s="1"/>
  <c r="N86" i="75" s="1"/>
  <c r="B86" i="75"/>
  <c r="G86" i="75" s="1"/>
  <c r="U85" i="75"/>
  <c r="R85" i="75"/>
  <c r="Q85" i="75"/>
  <c r="O85" i="75"/>
  <c r="I85" i="75"/>
  <c r="F85" i="75"/>
  <c r="C85" i="75"/>
  <c r="H85" i="75" s="1"/>
  <c r="N85" i="75" s="1"/>
  <c r="B85" i="75"/>
  <c r="G85" i="75" s="1"/>
  <c r="U84" i="75"/>
  <c r="R84" i="75"/>
  <c r="Q84" i="75"/>
  <c r="O84" i="75"/>
  <c r="I84" i="75"/>
  <c r="F84" i="75"/>
  <c r="C84" i="75"/>
  <c r="H84" i="75" s="1"/>
  <c r="N84" i="75" s="1"/>
  <c r="B84" i="75"/>
  <c r="G84" i="75" s="1"/>
  <c r="U83" i="75"/>
  <c r="R83" i="75"/>
  <c r="Q83" i="75"/>
  <c r="O83" i="75"/>
  <c r="I83" i="75"/>
  <c r="F83" i="75"/>
  <c r="C83" i="75"/>
  <c r="H83" i="75" s="1"/>
  <c r="N83" i="75" s="1"/>
  <c r="B83" i="75"/>
  <c r="G83" i="75" s="1"/>
  <c r="R82" i="75"/>
  <c r="Q82" i="75"/>
  <c r="O82" i="75"/>
  <c r="I82" i="75"/>
  <c r="F82" i="75"/>
  <c r="C82" i="75"/>
  <c r="H82" i="75" s="1"/>
  <c r="N82" i="75" s="1"/>
  <c r="B82" i="75"/>
  <c r="G82" i="75" s="1"/>
  <c r="U81" i="75"/>
  <c r="R81" i="75"/>
  <c r="Q81" i="75"/>
  <c r="O81" i="75"/>
  <c r="I81" i="75"/>
  <c r="H81" i="75"/>
  <c r="N81" i="75" s="1"/>
  <c r="F81" i="75"/>
  <c r="C81" i="75"/>
  <c r="B81" i="75"/>
  <c r="G81" i="75" s="1"/>
  <c r="U80" i="75"/>
  <c r="R80" i="75"/>
  <c r="Q80" i="75"/>
  <c r="O80" i="75"/>
  <c r="I80" i="75"/>
  <c r="F80" i="75"/>
  <c r="C80" i="75"/>
  <c r="H80" i="75" s="1"/>
  <c r="N80" i="75" s="1"/>
  <c r="B80" i="75"/>
  <c r="G80" i="75" s="1"/>
  <c r="U79" i="75"/>
  <c r="R79" i="75"/>
  <c r="Q79" i="75"/>
  <c r="O79" i="75"/>
  <c r="I79" i="75"/>
  <c r="F79" i="75"/>
  <c r="C79" i="75"/>
  <c r="H79" i="75" s="1"/>
  <c r="N79" i="75" s="1"/>
  <c r="B79" i="75"/>
  <c r="G79" i="75" s="1"/>
  <c r="U78" i="75"/>
  <c r="R78" i="75"/>
  <c r="Q78" i="75"/>
  <c r="O78" i="75"/>
  <c r="I78" i="75"/>
  <c r="F78" i="75"/>
  <c r="C78" i="75"/>
  <c r="H78" i="75" s="1"/>
  <c r="N78" i="75" s="1"/>
  <c r="B78" i="75"/>
  <c r="G78" i="75" s="1"/>
  <c r="U77" i="75"/>
  <c r="R77" i="75"/>
  <c r="Q77" i="75"/>
  <c r="O77" i="75"/>
  <c r="I77" i="75"/>
  <c r="F77" i="75"/>
  <c r="C77" i="75"/>
  <c r="H77" i="75" s="1"/>
  <c r="N77" i="75" s="1"/>
  <c r="B77" i="75"/>
  <c r="G77" i="75" s="1"/>
  <c r="U76" i="75"/>
  <c r="R76" i="75"/>
  <c r="Q76" i="75"/>
  <c r="O76" i="75"/>
  <c r="I76" i="75"/>
  <c r="F76" i="75"/>
  <c r="C76" i="75"/>
  <c r="H76" i="75" s="1"/>
  <c r="N76" i="75" s="1"/>
  <c r="B76" i="75"/>
  <c r="G76" i="75" s="1"/>
  <c r="U75" i="75"/>
  <c r="R75" i="75"/>
  <c r="Q75" i="75"/>
  <c r="O75" i="75"/>
  <c r="I75" i="75"/>
  <c r="F75" i="75"/>
  <c r="C75" i="75"/>
  <c r="H75" i="75" s="1"/>
  <c r="N75" i="75" s="1"/>
  <c r="B75" i="75"/>
  <c r="G75" i="75" s="1"/>
  <c r="U74" i="75"/>
  <c r="R74" i="75"/>
  <c r="Q74" i="75"/>
  <c r="O74" i="75"/>
  <c r="I74" i="75"/>
  <c r="F74" i="75"/>
  <c r="C74" i="75"/>
  <c r="H74" i="75" s="1"/>
  <c r="N74" i="75" s="1"/>
  <c r="B74" i="75"/>
  <c r="G74" i="75" s="1"/>
  <c r="U73" i="75"/>
  <c r="R73" i="75"/>
  <c r="Q73" i="75"/>
  <c r="O73" i="75"/>
  <c r="I73" i="75"/>
  <c r="F73" i="75"/>
  <c r="C73" i="75"/>
  <c r="H73" i="75" s="1"/>
  <c r="N73" i="75" s="1"/>
  <c r="B73" i="75"/>
  <c r="G73" i="75" s="1"/>
  <c r="U72" i="75"/>
  <c r="R72" i="75"/>
  <c r="Q72" i="75"/>
  <c r="O72" i="75"/>
  <c r="I72" i="75"/>
  <c r="F72" i="75"/>
  <c r="C72" i="75"/>
  <c r="H72" i="75" s="1"/>
  <c r="N72" i="75" s="1"/>
  <c r="B72" i="75"/>
  <c r="G72" i="75" s="1"/>
  <c r="U71" i="75"/>
  <c r="R71" i="75"/>
  <c r="Q71" i="75"/>
  <c r="O71" i="75"/>
  <c r="I71" i="75"/>
  <c r="H71" i="75"/>
  <c r="N71" i="75" s="1"/>
  <c r="F71" i="75"/>
  <c r="C71" i="75"/>
  <c r="B71" i="75"/>
  <c r="G71" i="75" s="1"/>
  <c r="R70" i="75"/>
  <c r="Q70" i="75"/>
  <c r="O70" i="75"/>
  <c r="I70" i="75"/>
  <c r="F70" i="75"/>
  <c r="C70" i="75"/>
  <c r="H70" i="75" s="1"/>
  <c r="N70" i="75" s="1"/>
  <c r="B70" i="75"/>
  <c r="G70" i="75" s="1"/>
  <c r="R69" i="75"/>
  <c r="Q69" i="75"/>
  <c r="O69" i="75"/>
  <c r="I69" i="75"/>
  <c r="F69" i="75"/>
  <c r="C69" i="75"/>
  <c r="H69" i="75" s="1"/>
  <c r="N69" i="75" s="1"/>
  <c r="B69" i="75"/>
  <c r="G69" i="75" s="1"/>
  <c r="R68" i="75"/>
  <c r="Q68" i="75"/>
  <c r="O68" i="75"/>
  <c r="I68" i="75"/>
  <c r="F68" i="75"/>
  <c r="C68" i="75"/>
  <c r="H68" i="75" s="1"/>
  <c r="N68" i="75" s="1"/>
  <c r="B68" i="75"/>
  <c r="G68" i="75" s="1"/>
  <c r="U67" i="75"/>
  <c r="R67" i="75"/>
  <c r="Q67" i="75"/>
  <c r="O67" i="75"/>
  <c r="I67" i="75"/>
  <c r="F67" i="75"/>
  <c r="C67" i="75"/>
  <c r="H67" i="75" s="1"/>
  <c r="N67" i="75" s="1"/>
  <c r="B67" i="75"/>
  <c r="G67" i="75" s="1"/>
  <c r="R66" i="75"/>
  <c r="Q66" i="75"/>
  <c r="O66" i="75"/>
  <c r="I66" i="75"/>
  <c r="F66" i="75"/>
  <c r="C66" i="75"/>
  <c r="H66" i="75" s="1"/>
  <c r="N66" i="75" s="1"/>
  <c r="B66" i="75"/>
  <c r="G66" i="75" s="1"/>
  <c r="R65" i="75"/>
  <c r="Q65" i="75"/>
  <c r="O65" i="75"/>
  <c r="I65" i="75"/>
  <c r="F65" i="75"/>
  <c r="C65" i="75"/>
  <c r="H65" i="75" s="1"/>
  <c r="N65" i="75" s="1"/>
  <c r="B65" i="75"/>
  <c r="G65" i="75" s="1"/>
  <c r="R64" i="75"/>
  <c r="Q64" i="75"/>
  <c r="O64" i="75"/>
  <c r="I64" i="75"/>
  <c r="F64" i="75"/>
  <c r="C64" i="75"/>
  <c r="H64" i="75" s="1"/>
  <c r="N64" i="75" s="1"/>
  <c r="B64" i="75"/>
  <c r="G64" i="75" s="1"/>
  <c r="U63" i="75"/>
  <c r="R63" i="75"/>
  <c r="Q63" i="75"/>
  <c r="O63" i="75"/>
  <c r="I63" i="75"/>
  <c r="F63" i="75"/>
  <c r="C63" i="75"/>
  <c r="H63" i="75" s="1"/>
  <c r="N63" i="75" s="1"/>
  <c r="B63" i="75"/>
  <c r="G63" i="75" s="1"/>
  <c r="R62" i="75"/>
  <c r="Q62" i="75"/>
  <c r="O62" i="75"/>
  <c r="I62" i="75"/>
  <c r="F62" i="75"/>
  <c r="C62" i="75"/>
  <c r="H62" i="75" s="1"/>
  <c r="N62" i="75" s="1"/>
  <c r="B62" i="75"/>
  <c r="G62" i="75" s="1"/>
  <c r="R61" i="75"/>
  <c r="Q61" i="75"/>
  <c r="O61" i="75"/>
  <c r="U61" i="75" s="1"/>
  <c r="I61" i="75"/>
  <c r="F61" i="75"/>
  <c r="C61" i="75"/>
  <c r="H61" i="75" s="1"/>
  <c r="N61" i="75" s="1"/>
  <c r="B61" i="75"/>
  <c r="G61" i="75" s="1"/>
  <c r="R60" i="75"/>
  <c r="Q60" i="75"/>
  <c r="O60" i="75"/>
  <c r="U60" i="75" s="1"/>
  <c r="I60" i="75"/>
  <c r="F60" i="75"/>
  <c r="C60" i="75"/>
  <c r="H60" i="75" s="1"/>
  <c r="N60" i="75" s="1"/>
  <c r="B60" i="75"/>
  <c r="G60" i="75" s="1"/>
  <c r="R59" i="75"/>
  <c r="Q59" i="75"/>
  <c r="O59" i="75"/>
  <c r="U59" i="75" s="1"/>
  <c r="I59" i="75"/>
  <c r="F59" i="75"/>
  <c r="C59" i="75"/>
  <c r="H59" i="75" s="1"/>
  <c r="N59" i="75" s="1"/>
  <c r="B59" i="75"/>
  <c r="G59" i="75" s="1"/>
  <c r="R58" i="75"/>
  <c r="Q58" i="75"/>
  <c r="O58" i="75"/>
  <c r="U58" i="75" s="1"/>
  <c r="I58" i="75"/>
  <c r="F58" i="75"/>
  <c r="C58" i="75"/>
  <c r="H58" i="75" s="1"/>
  <c r="N58" i="75" s="1"/>
  <c r="B58" i="75"/>
  <c r="G58" i="75" s="1"/>
  <c r="R57" i="75"/>
  <c r="Q57" i="75"/>
  <c r="O57" i="75"/>
  <c r="U57" i="75" s="1"/>
  <c r="I57" i="75"/>
  <c r="F57" i="75"/>
  <c r="C57" i="75"/>
  <c r="H57" i="75" s="1"/>
  <c r="N57" i="75" s="1"/>
  <c r="B57" i="75"/>
  <c r="G57" i="75" s="1"/>
  <c r="R56" i="75"/>
  <c r="Q56" i="75"/>
  <c r="O56" i="75"/>
  <c r="U56" i="75" s="1"/>
  <c r="I56" i="75"/>
  <c r="F56" i="75"/>
  <c r="C56" i="75"/>
  <c r="H56" i="75" s="1"/>
  <c r="N56" i="75" s="1"/>
  <c r="B56" i="75"/>
  <c r="G56" i="75" s="1"/>
  <c r="R55" i="75"/>
  <c r="Q55" i="75"/>
  <c r="O55" i="75"/>
  <c r="U55" i="75" s="1"/>
  <c r="I55" i="75"/>
  <c r="F55" i="75"/>
  <c r="C55" i="75"/>
  <c r="H55" i="75" s="1"/>
  <c r="N55" i="75" s="1"/>
  <c r="B55" i="75"/>
  <c r="G55" i="75" s="1"/>
  <c r="R54" i="75"/>
  <c r="Q54" i="75"/>
  <c r="O54" i="75"/>
  <c r="U54" i="75" s="1"/>
  <c r="I54" i="75"/>
  <c r="F54" i="75"/>
  <c r="C54" i="75"/>
  <c r="H54" i="75" s="1"/>
  <c r="N54" i="75" s="1"/>
  <c r="B54" i="75"/>
  <c r="G54" i="75" s="1"/>
  <c r="R53" i="75"/>
  <c r="Q53" i="75"/>
  <c r="O53" i="75"/>
  <c r="U53" i="75" s="1"/>
  <c r="I53" i="75"/>
  <c r="F53" i="75"/>
  <c r="C53" i="75"/>
  <c r="H53" i="75" s="1"/>
  <c r="N53" i="75" s="1"/>
  <c r="B53" i="75"/>
  <c r="G53" i="75" s="1"/>
  <c r="R52" i="75"/>
  <c r="Q52" i="75"/>
  <c r="O52" i="75"/>
  <c r="U52" i="75" s="1"/>
  <c r="I52" i="75"/>
  <c r="F52" i="75"/>
  <c r="C52" i="75"/>
  <c r="H52" i="75" s="1"/>
  <c r="N52" i="75" s="1"/>
  <c r="B52" i="75"/>
  <c r="G52" i="75" s="1"/>
  <c r="R51" i="75"/>
  <c r="Q51" i="75"/>
  <c r="O51" i="75"/>
  <c r="U51" i="75" s="1"/>
  <c r="I51" i="75"/>
  <c r="F51" i="75"/>
  <c r="C51" i="75"/>
  <c r="H51" i="75" s="1"/>
  <c r="N51" i="75" s="1"/>
  <c r="B51" i="75"/>
  <c r="G51" i="75" s="1"/>
  <c r="R50" i="75"/>
  <c r="Q50" i="75"/>
  <c r="O50" i="75"/>
  <c r="U50" i="75" s="1"/>
  <c r="I50" i="75"/>
  <c r="F50" i="75"/>
  <c r="C50" i="75"/>
  <c r="H50" i="75" s="1"/>
  <c r="N50" i="75" s="1"/>
  <c r="B50" i="75"/>
  <c r="G50" i="75" s="1"/>
  <c r="R49" i="75"/>
  <c r="Q49" i="75"/>
  <c r="O49" i="75"/>
  <c r="U49" i="75" s="1"/>
  <c r="I49" i="75"/>
  <c r="F49" i="75"/>
  <c r="C49" i="75"/>
  <c r="H49" i="75" s="1"/>
  <c r="N49" i="75" s="1"/>
  <c r="B49" i="75"/>
  <c r="G49" i="75" s="1"/>
  <c r="R48" i="75"/>
  <c r="Q48" i="75"/>
  <c r="O48" i="75"/>
  <c r="U48" i="75" s="1"/>
  <c r="I48" i="75"/>
  <c r="F48" i="75"/>
  <c r="C48" i="75"/>
  <c r="H48" i="75" s="1"/>
  <c r="N48" i="75" s="1"/>
  <c r="B48" i="75"/>
  <c r="G48" i="75" s="1"/>
  <c r="R47" i="75"/>
  <c r="Q47" i="75"/>
  <c r="O47" i="75"/>
  <c r="U47" i="75" s="1"/>
  <c r="I47" i="75"/>
  <c r="F47" i="75"/>
  <c r="C47" i="75"/>
  <c r="H47" i="75" s="1"/>
  <c r="N47" i="75" s="1"/>
  <c r="B47" i="75"/>
  <c r="G47" i="75" s="1"/>
  <c r="R46" i="75"/>
  <c r="Q46" i="75"/>
  <c r="O46" i="75"/>
  <c r="U46" i="75" s="1"/>
  <c r="I46" i="75"/>
  <c r="F46" i="75"/>
  <c r="C46" i="75"/>
  <c r="H46" i="75" s="1"/>
  <c r="N46" i="75" s="1"/>
  <c r="B46" i="75"/>
  <c r="G46" i="75" s="1"/>
  <c r="R45" i="75"/>
  <c r="Q45" i="75"/>
  <c r="O45" i="75"/>
  <c r="U45" i="75" s="1"/>
  <c r="I45" i="75"/>
  <c r="F45" i="75"/>
  <c r="C45" i="75"/>
  <c r="H45" i="75" s="1"/>
  <c r="N45" i="75" s="1"/>
  <c r="B45" i="75"/>
  <c r="G45" i="75" s="1"/>
  <c r="R44" i="75"/>
  <c r="Q44" i="75"/>
  <c r="O44" i="75"/>
  <c r="U44" i="75" s="1"/>
  <c r="I44" i="75"/>
  <c r="F44" i="75"/>
  <c r="C44" i="75"/>
  <c r="H44" i="75" s="1"/>
  <c r="N44" i="75" s="1"/>
  <c r="B44" i="75"/>
  <c r="G44" i="75" s="1"/>
  <c r="R43" i="75"/>
  <c r="Q43" i="75"/>
  <c r="O43" i="75"/>
  <c r="U43" i="75" s="1"/>
  <c r="I43" i="75"/>
  <c r="F43" i="75"/>
  <c r="C43" i="75"/>
  <c r="H43" i="75" s="1"/>
  <c r="N43" i="75" s="1"/>
  <c r="B43" i="75"/>
  <c r="G43" i="75" s="1"/>
  <c r="R42" i="75"/>
  <c r="Q42" i="75"/>
  <c r="O42" i="75"/>
  <c r="U42" i="75" s="1"/>
  <c r="I42" i="75"/>
  <c r="F42" i="75"/>
  <c r="C42" i="75"/>
  <c r="H42" i="75" s="1"/>
  <c r="N42" i="75" s="1"/>
  <c r="B42" i="75"/>
  <c r="G42" i="75" s="1"/>
  <c r="R41" i="75"/>
  <c r="Q41" i="75"/>
  <c r="O41" i="75"/>
  <c r="U41" i="75" s="1"/>
  <c r="I41" i="75"/>
  <c r="F41" i="75"/>
  <c r="C41" i="75"/>
  <c r="H41" i="75" s="1"/>
  <c r="N41" i="75" s="1"/>
  <c r="B41" i="75"/>
  <c r="G41" i="75" s="1"/>
  <c r="R40" i="75"/>
  <c r="Q40" i="75"/>
  <c r="O40" i="75"/>
  <c r="U40" i="75" s="1"/>
  <c r="I40" i="75"/>
  <c r="F40" i="75"/>
  <c r="C40" i="75"/>
  <c r="H40" i="75" s="1"/>
  <c r="N40" i="75" s="1"/>
  <c r="B40" i="75"/>
  <c r="G40" i="75" s="1"/>
  <c r="R39" i="75"/>
  <c r="Q39" i="75"/>
  <c r="O39" i="75"/>
  <c r="U39" i="75" s="1"/>
  <c r="I39" i="75"/>
  <c r="F39" i="75"/>
  <c r="C39" i="75"/>
  <c r="H39" i="75" s="1"/>
  <c r="N39" i="75" s="1"/>
  <c r="B39" i="75"/>
  <c r="G39" i="75" s="1"/>
  <c r="R38" i="75"/>
  <c r="Q38" i="75"/>
  <c r="O38" i="75"/>
  <c r="U38" i="75" s="1"/>
  <c r="I38" i="75"/>
  <c r="F38" i="75"/>
  <c r="C38" i="75"/>
  <c r="H38" i="75" s="1"/>
  <c r="N38" i="75" s="1"/>
  <c r="B38" i="75"/>
  <c r="G38" i="75" s="1"/>
  <c r="R37" i="75"/>
  <c r="Q37" i="75"/>
  <c r="O37" i="75"/>
  <c r="U37" i="75" s="1"/>
  <c r="I37" i="75"/>
  <c r="F37" i="75"/>
  <c r="C37" i="75"/>
  <c r="H37" i="75" s="1"/>
  <c r="N37" i="75" s="1"/>
  <c r="B37" i="75"/>
  <c r="G37" i="75" s="1"/>
  <c r="R36" i="75"/>
  <c r="Q36" i="75"/>
  <c r="O36" i="75"/>
  <c r="U36" i="75" s="1"/>
  <c r="I36" i="75"/>
  <c r="F36" i="75"/>
  <c r="C36" i="75"/>
  <c r="H36" i="75" s="1"/>
  <c r="N36" i="75" s="1"/>
  <c r="B36" i="75"/>
  <c r="G36" i="75" s="1"/>
  <c r="R35" i="75"/>
  <c r="Q35" i="75"/>
  <c r="O35" i="75"/>
  <c r="U35" i="75" s="1"/>
  <c r="I35" i="75"/>
  <c r="F35" i="75"/>
  <c r="C35" i="75"/>
  <c r="H35" i="75" s="1"/>
  <c r="N35" i="75" s="1"/>
  <c r="B35" i="75"/>
  <c r="G35" i="75" s="1"/>
  <c r="R34" i="75"/>
  <c r="Q34" i="75"/>
  <c r="O34" i="75"/>
  <c r="U34" i="75" s="1"/>
  <c r="I34" i="75"/>
  <c r="F34" i="75"/>
  <c r="C34" i="75"/>
  <c r="H34" i="75" s="1"/>
  <c r="N34" i="75" s="1"/>
  <c r="B34" i="75"/>
  <c r="G34" i="75" s="1"/>
  <c r="R33" i="75"/>
  <c r="Q33" i="75"/>
  <c r="O33" i="75"/>
  <c r="U33" i="75" s="1"/>
  <c r="I33" i="75"/>
  <c r="F33" i="75"/>
  <c r="C33" i="75"/>
  <c r="H33" i="75" s="1"/>
  <c r="N33" i="75" s="1"/>
  <c r="B33" i="75"/>
  <c r="G33" i="75" s="1"/>
  <c r="R32" i="75"/>
  <c r="Q32" i="75"/>
  <c r="O32" i="75"/>
  <c r="U32" i="75" s="1"/>
  <c r="I32" i="75"/>
  <c r="F32" i="75"/>
  <c r="C32" i="75"/>
  <c r="H32" i="75" s="1"/>
  <c r="N32" i="75" s="1"/>
  <c r="B32" i="75"/>
  <c r="G32" i="75" s="1"/>
  <c r="R31" i="75"/>
  <c r="Q31" i="75"/>
  <c r="O31" i="75"/>
  <c r="U31" i="75" s="1"/>
  <c r="I31" i="75"/>
  <c r="F31" i="75"/>
  <c r="C31" i="75"/>
  <c r="H31" i="75" s="1"/>
  <c r="N31" i="75" s="1"/>
  <c r="B31" i="75"/>
  <c r="G31" i="75" s="1"/>
  <c r="R30" i="75"/>
  <c r="Q30" i="75"/>
  <c r="O30" i="75"/>
  <c r="U30" i="75" s="1"/>
  <c r="I30" i="75"/>
  <c r="F30" i="75"/>
  <c r="C30" i="75"/>
  <c r="H30" i="75" s="1"/>
  <c r="N30" i="75" s="1"/>
  <c r="B30" i="75"/>
  <c r="G30" i="75" s="1"/>
  <c r="R29" i="75"/>
  <c r="Q29" i="75"/>
  <c r="O29" i="75"/>
  <c r="U29" i="75" s="1"/>
  <c r="I29" i="75"/>
  <c r="F29" i="75"/>
  <c r="C29" i="75"/>
  <c r="H29" i="75" s="1"/>
  <c r="N29" i="75" s="1"/>
  <c r="B29" i="75"/>
  <c r="G29" i="75" s="1"/>
  <c r="R28" i="75"/>
  <c r="Q28" i="75"/>
  <c r="O28" i="75"/>
  <c r="U28" i="75" s="1"/>
  <c r="I28" i="75"/>
  <c r="F28" i="75"/>
  <c r="C28" i="75"/>
  <c r="H28" i="75" s="1"/>
  <c r="N28" i="75" s="1"/>
  <c r="B28" i="75"/>
  <c r="G28" i="75" s="1"/>
  <c r="R27" i="75"/>
  <c r="Q27" i="75"/>
  <c r="O27" i="75"/>
  <c r="U27" i="75" s="1"/>
  <c r="I27" i="75"/>
  <c r="F27" i="75"/>
  <c r="C27" i="75"/>
  <c r="H27" i="75" s="1"/>
  <c r="N27" i="75" s="1"/>
  <c r="B27" i="75"/>
  <c r="G27" i="75" s="1"/>
  <c r="R26" i="75"/>
  <c r="Q26" i="75"/>
  <c r="O26" i="75"/>
  <c r="U26" i="75" s="1"/>
  <c r="I26" i="75"/>
  <c r="F26" i="75"/>
  <c r="C26" i="75"/>
  <c r="H26" i="75" s="1"/>
  <c r="N26" i="75" s="1"/>
  <c r="B26" i="75"/>
  <c r="G26" i="75" s="1"/>
  <c r="R25" i="75"/>
  <c r="Q25" i="75"/>
  <c r="O25" i="75"/>
  <c r="U25" i="75" s="1"/>
  <c r="I25" i="75"/>
  <c r="F25" i="75"/>
  <c r="C25" i="75"/>
  <c r="H25" i="75" s="1"/>
  <c r="N25" i="75" s="1"/>
  <c r="B25" i="75"/>
  <c r="G25" i="75" s="1"/>
  <c r="R24" i="75"/>
  <c r="Q24" i="75"/>
  <c r="O24" i="75"/>
  <c r="U24" i="75" s="1"/>
  <c r="I24" i="75"/>
  <c r="F24" i="75"/>
  <c r="C24" i="75"/>
  <c r="H24" i="75" s="1"/>
  <c r="N24" i="75" s="1"/>
  <c r="B24" i="75"/>
  <c r="G24" i="75" s="1"/>
  <c r="R23" i="75"/>
  <c r="Q23" i="75"/>
  <c r="O23" i="75"/>
  <c r="U23" i="75" s="1"/>
  <c r="I23" i="75"/>
  <c r="F23" i="75"/>
  <c r="C23" i="75"/>
  <c r="H23" i="75" s="1"/>
  <c r="N23" i="75" s="1"/>
  <c r="B23" i="75"/>
  <c r="G23" i="75" s="1"/>
  <c r="R22" i="75"/>
  <c r="Q22" i="75"/>
  <c r="O22" i="75"/>
  <c r="U22" i="75" s="1"/>
  <c r="I22" i="75"/>
  <c r="F22" i="75"/>
  <c r="C22" i="75"/>
  <c r="H22" i="75" s="1"/>
  <c r="N22" i="75" s="1"/>
  <c r="B22" i="75"/>
  <c r="G22" i="75" s="1"/>
  <c r="R21" i="75"/>
  <c r="Q21" i="75"/>
  <c r="O21" i="75"/>
  <c r="U21" i="75" s="1"/>
  <c r="I21" i="75"/>
  <c r="F21" i="75"/>
  <c r="C21" i="75"/>
  <c r="H21" i="75" s="1"/>
  <c r="N21" i="75" s="1"/>
  <c r="B21" i="75"/>
  <c r="G21" i="75" s="1"/>
  <c r="R20" i="75"/>
  <c r="Q20" i="75"/>
  <c r="O20" i="75"/>
  <c r="U20" i="75" s="1"/>
  <c r="I20" i="75"/>
  <c r="F20" i="75"/>
  <c r="C20" i="75"/>
  <c r="H20" i="75" s="1"/>
  <c r="N20" i="75" s="1"/>
  <c r="B20" i="75"/>
  <c r="G20" i="75" s="1"/>
  <c r="R19" i="75"/>
  <c r="Q19" i="75"/>
  <c r="O19" i="75"/>
  <c r="U19" i="75" s="1"/>
  <c r="I19" i="75"/>
  <c r="F19" i="75"/>
  <c r="C19" i="75"/>
  <c r="H19" i="75" s="1"/>
  <c r="N19" i="75" s="1"/>
  <c r="B19" i="75"/>
  <c r="G19" i="75" s="1"/>
  <c r="R18" i="75"/>
  <c r="Q18" i="75"/>
  <c r="O18" i="75"/>
  <c r="U18" i="75" s="1"/>
  <c r="I18" i="75"/>
  <c r="F18" i="75"/>
  <c r="C18" i="75"/>
  <c r="H18" i="75" s="1"/>
  <c r="N18" i="75" s="1"/>
  <c r="B18" i="75"/>
  <c r="G18" i="75" s="1"/>
  <c r="R17" i="75"/>
  <c r="Q17" i="75"/>
  <c r="O17" i="75"/>
  <c r="U17" i="75" s="1"/>
  <c r="I17" i="75"/>
  <c r="F17" i="75"/>
  <c r="C17" i="75"/>
  <c r="H17" i="75" s="1"/>
  <c r="N17" i="75" s="1"/>
  <c r="B17" i="75"/>
  <c r="G17" i="75" s="1"/>
  <c r="R16" i="75"/>
  <c r="Q16" i="75"/>
  <c r="O16" i="75"/>
  <c r="U16" i="75" s="1"/>
  <c r="I16" i="75"/>
  <c r="F16" i="75"/>
  <c r="C16" i="75"/>
  <c r="H16" i="75" s="1"/>
  <c r="N16" i="75" s="1"/>
  <c r="B16" i="75"/>
  <c r="G16" i="75" s="1"/>
  <c r="R15" i="75"/>
  <c r="Q15" i="75"/>
  <c r="O15" i="75"/>
  <c r="U15" i="75" s="1"/>
  <c r="I15" i="75"/>
  <c r="F15" i="75"/>
  <c r="C15" i="75"/>
  <c r="H15" i="75" s="1"/>
  <c r="N15" i="75" s="1"/>
  <c r="B15" i="75"/>
  <c r="G15" i="75" s="1"/>
  <c r="R14" i="75"/>
  <c r="Q14" i="75"/>
  <c r="O14" i="75"/>
  <c r="U14" i="75" s="1"/>
  <c r="I14" i="75"/>
  <c r="F14" i="75"/>
  <c r="C14" i="75"/>
  <c r="H14" i="75" s="1"/>
  <c r="N14" i="75" s="1"/>
  <c r="B14" i="75"/>
  <c r="G14" i="75" s="1"/>
  <c r="R13" i="75"/>
  <c r="Q13" i="75"/>
  <c r="O13" i="75"/>
  <c r="U13" i="75" s="1"/>
  <c r="I13" i="75"/>
  <c r="F13" i="75"/>
  <c r="C13" i="75"/>
  <c r="H13" i="75" s="1"/>
  <c r="N13" i="75" s="1"/>
  <c r="B13" i="75"/>
  <c r="G13" i="75" s="1"/>
  <c r="R12" i="75"/>
  <c r="Q12" i="75"/>
  <c r="O12" i="75"/>
  <c r="U12" i="75" s="1"/>
  <c r="I12" i="75"/>
  <c r="F12" i="75"/>
  <c r="C12" i="75"/>
  <c r="H12" i="75" s="1"/>
  <c r="N12" i="75" s="1"/>
  <c r="B12" i="75"/>
  <c r="G12" i="75" s="1"/>
  <c r="R11" i="75"/>
  <c r="Q11" i="75"/>
  <c r="O11" i="75"/>
  <c r="U11" i="75" s="1"/>
  <c r="I11" i="75"/>
  <c r="F11" i="75"/>
  <c r="C11" i="75"/>
  <c r="H11" i="75" s="1"/>
  <c r="N11" i="75" s="1"/>
  <c r="B11" i="75"/>
  <c r="G11" i="75" s="1"/>
  <c r="R10" i="75"/>
  <c r="Q10" i="75"/>
  <c r="O10" i="75"/>
  <c r="U10" i="75" s="1"/>
  <c r="I10" i="75"/>
  <c r="F10" i="75"/>
  <c r="C10" i="75"/>
  <c r="H10" i="75" s="1"/>
  <c r="N10" i="75" s="1"/>
  <c r="B10" i="75"/>
  <c r="G10" i="75" s="1"/>
  <c r="R9" i="75"/>
  <c r="Q9" i="75"/>
  <c r="O9" i="75"/>
  <c r="U9" i="75" s="1"/>
  <c r="I9" i="75"/>
  <c r="F9" i="75"/>
  <c r="C9" i="75"/>
  <c r="H9" i="75" s="1"/>
  <c r="N9" i="75" s="1"/>
  <c r="B9" i="75"/>
  <c r="G9" i="75" s="1"/>
  <c r="R8" i="75"/>
  <c r="Q8" i="75"/>
  <c r="O8" i="75"/>
  <c r="U8" i="75" s="1"/>
  <c r="I8" i="75"/>
  <c r="F8" i="75"/>
  <c r="C8" i="75"/>
  <c r="H8" i="75" s="1"/>
  <c r="N8" i="75" s="1"/>
  <c r="B8" i="75"/>
  <c r="G8" i="75" s="1"/>
  <c r="R7" i="75"/>
  <c r="Q7" i="75"/>
  <c r="O7" i="75"/>
  <c r="U7" i="75" s="1"/>
  <c r="I7" i="75"/>
  <c r="F7" i="75"/>
  <c r="C7" i="75"/>
  <c r="H7" i="75" s="1"/>
  <c r="N7" i="75" s="1"/>
  <c r="B7" i="75"/>
  <c r="G7" i="75" s="1"/>
  <c r="R6" i="75"/>
  <c r="Q6" i="75"/>
  <c r="O6" i="75"/>
  <c r="U6" i="75" s="1"/>
  <c r="I6" i="75"/>
  <c r="F6" i="75"/>
  <c r="C6" i="75"/>
  <c r="H6" i="75" s="1"/>
  <c r="N6" i="75" s="1"/>
  <c r="B6" i="75"/>
  <c r="G6" i="75" s="1"/>
  <c r="R5" i="75"/>
  <c r="Q5" i="75"/>
  <c r="O5" i="75"/>
  <c r="U5" i="75" s="1"/>
  <c r="I5" i="75"/>
  <c r="F5" i="75"/>
  <c r="C5" i="75"/>
  <c r="H5" i="75" s="1"/>
  <c r="N5" i="75" s="1"/>
  <c r="B5" i="75"/>
  <c r="G5" i="75" s="1"/>
  <c r="R4" i="75"/>
  <c r="Q4" i="75"/>
  <c r="O4" i="75"/>
  <c r="U4" i="75" s="1"/>
  <c r="I4" i="75"/>
  <c r="F4" i="75"/>
  <c r="C4" i="75"/>
  <c r="H4" i="75" s="1"/>
  <c r="N4" i="75" s="1"/>
  <c r="B4" i="75"/>
  <c r="G4" i="75" s="1"/>
  <c r="R3" i="75"/>
  <c r="Q3" i="75"/>
  <c r="O3" i="75"/>
  <c r="U3" i="75" s="1"/>
  <c r="I3" i="75"/>
  <c r="F3" i="75"/>
  <c r="C3" i="75"/>
  <c r="H3" i="75" s="1"/>
  <c r="N3" i="75" s="1"/>
  <c r="B3" i="75"/>
  <c r="G3" i="75" s="1"/>
  <c r="R103" i="74"/>
  <c r="Q103" i="74"/>
  <c r="O103" i="74"/>
  <c r="I103" i="74"/>
  <c r="F103" i="74"/>
  <c r="C103" i="74"/>
  <c r="H103" i="74" s="1"/>
  <c r="N103" i="74" s="1"/>
  <c r="B103" i="74"/>
  <c r="G103" i="74" s="1"/>
  <c r="R102" i="74"/>
  <c r="Q102" i="74"/>
  <c r="O102" i="74"/>
  <c r="U102" i="74" s="1"/>
  <c r="I102" i="74"/>
  <c r="F102" i="74"/>
  <c r="C102" i="74"/>
  <c r="H102" i="74" s="1"/>
  <c r="N102" i="74" s="1"/>
  <c r="B102" i="74"/>
  <c r="G102" i="74" s="1"/>
  <c r="R101" i="74"/>
  <c r="Q101" i="74"/>
  <c r="O101" i="74"/>
  <c r="U101" i="74" s="1"/>
  <c r="I101" i="74"/>
  <c r="F101" i="74"/>
  <c r="C101" i="74"/>
  <c r="H101" i="74" s="1"/>
  <c r="N101" i="74" s="1"/>
  <c r="B101" i="74"/>
  <c r="G101" i="74" s="1"/>
  <c r="R100" i="74"/>
  <c r="Q100" i="74"/>
  <c r="O100" i="74"/>
  <c r="U100" i="74" s="1"/>
  <c r="I100" i="74"/>
  <c r="F100" i="74"/>
  <c r="C100" i="74"/>
  <c r="H100" i="74" s="1"/>
  <c r="N100" i="74" s="1"/>
  <c r="B100" i="74"/>
  <c r="G100" i="74" s="1"/>
  <c r="R99" i="74"/>
  <c r="Q99" i="74"/>
  <c r="O99" i="74"/>
  <c r="I99" i="74"/>
  <c r="F99" i="74"/>
  <c r="C99" i="74"/>
  <c r="H99" i="74" s="1"/>
  <c r="N99" i="74" s="1"/>
  <c r="B99" i="74"/>
  <c r="G99" i="74" s="1"/>
  <c r="R98" i="74"/>
  <c r="Q98" i="74"/>
  <c r="O98" i="74"/>
  <c r="U98" i="74" s="1"/>
  <c r="I98" i="74"/>
  <c r="F98" i="74"/>
  <c r="C98" i="74"/>
  <c r="H98" i="74" s="1"/>
  <c r="N98" i="74" s="1"/>
  <c r="B98" i="74"/>
  <c r="G98" i="74" s="1"/>
  <c r="R97" i="74"/>
  <c r="Q97" i="74"/>
  <c r="O97" i="74"/>
  <c r="U97" i="74" s="1"/>
  <c r="I97" i="74"/>
  <c r="F97" i="74"/>
  <c r="C97" i="74"/>
  <c r="H97" i="74" s="1"/>
  <c r="N97" i="74" s="1"/>
  <c r="B97" i="74"/>
  <c r="G97" i="74" s="1"/>
  <c r="R96" i="74"/>
  <c r="Q96" i="74"/>
  <c r="O96" i="74"/>
  <c r="U96" i="74" s="1"/>
  <c r="I96" i="74"/>
  <c r="F96" i="74"/>
  <c r="C96" i="74"/>
  <c r="H96" i="74" s="1"/>
  <c r="N96" i="74" s="1"/>
  <c r="B96" i="74"/>
  <c r="G96" i="74" s="1"/>
  <c r="R95" i="74"/>
  <c r="Q95" i="74"/>
  <c r="O95" i="74"/>
  <c r="I95" i="74"/>
  <c r="F95" i="74"/>
  <c r="C95" i="74"/>
  <c r="H95" i="74" s="1"/>
  <c r="N95" i="74" s="1"/>
  <c r="B95" i="74"/>
  <c r="G95" i="74" s="1"/>
  <c r="R94" i="74"/>
  <c r="Q94" i="74"/>
  <c r="O94" i="74"/>
  <c r="U94" i="74" s="1"/>
  <c r="I94" i="74"/>
  <c r="F94" i="74"/>
  <c r="C94" i="74"/>
  <c r="H94" i="74" s="1"/>
  <c r="N94" i="74" s="1"/>
  <c r="B94" i="74"/>
  <c r="G94" i="74" s="1"/>
  <c r="R93" i="74"/>
  <c r="Q93" i="74"/>
  <c r="O93" i="74"/>
  <c r="U93" i="74" s="1"/>
  <c r="I93" i="74"/>
  <c r="F93" i="74"/>
  <c r="C93" i="74"/>
  <c r="H93" i="74" s="1"/>
  <c r="N93" i="74" s="1"/>
  <c r="B93" i="74"/>
  <c r="G93" i="74" s="1"/>
  <c r="R92" i="74"/>
  <c r="Q92" i="74"/>
  <c r="O92" i="74"/>
  <c r="U92" i="74" s="1"/>
  <c r="I92" i="74"/>
  <c r="F92" i="74"/>
  <c r="C92" i="74"/>
  <c r="H92" i="74" s="1"/>
  <c r="N92" i="74" s="1"/>
  <c r="B92" i="74"/>
  <c r="G92" i="74" s="1"/>
  <c r="R91" i="74"/>
  <c r="Q91" i="74"/>
  <c r="O91" i="74"/>
  <c r="I91" i="74"/>
  <c r="F91" i="74"/>
  <c r="C91" i="74"/>
  <c r="H91" i="74" s="1"/>
  <c r="N91" i="74" s="1"/>
  <c r="B91" i="74"/>
  <c r="G91" i="74" s="1"/>
  <c r="R90" i="74"/>
  <c r="Q90" i="74"/>
  <c r="O90" i="74"/>
  <c r="U90" i="74" s="1"/>
  <c r="I90" i="74"/>
  <c r="F90" i="74"/>
  <c r="C90" i="74"/>
  <c r="H90" i="74" s="1"/>
  <c r="N90" i="74" s="1"/>
  <c r="B90" i="74"/>
  <c r="G90" i="74" s="1"/>
  <c r="R89" i="74"/>
  <c r="Q89" i="74"/>
  <c r="O89" i="74"/>
  <c r="U89" i="74" s="1"/>
  <c r="I89" i="74"/>
  <c r="F89" i="74"/>
  <c r="C89" i="74"/>
  <c r="H89" i="74" s="1"/>
  <c r="N89" i="74" s="1"/>
  <c r="B89" i="74"/>
  <c r="G89" i="74" s="1"/>
  <c r="R88" i="74"/>
  <c r="Q88" i="74"/>
  <c r="O88" i="74"/>
  <c r="U88" i="74" s="1"/>
  <c r="I88" i="74"/>
  <c r="F88" i="74"/>
  <c r="C88" i="74"/>
  <c r="H88" i="74" s="1"/>
  <c r="N88" i="74" s="1"/>
  <c r="B88" i="74"/>
  <c r="G88" i="74" s="1"/>
  <c r="R87" i="74"/>
  <c r="Q87" i="74"/>
  <c r="O87" i="74"/>
  <c r="I87" i="74"/>
  <c r="F87" i="74"/>
  <c r="C87" i="74"/>
  <c r="H87" i="74" s="1"/>
  <c r="N87" i="74" s="1"/>
  <c r="B87" i="74"/>
  <c r="G87" i="74" s="1"/>
  <c r="R86" i="74"/>
  <c r="Q86" i="74"/>
  <c r="O86" i="74"/>
  <c r="U86" i="74" s="1"/>
  <c r="I86" i="74"/>
  <c r="F86" i="74"/>
  <c r="C86" i="74"/>
  <c r="H86" i="74" s="1"/>
  <c r="N86" i="74" s="1"/>
  <c r="B86" i="74"/>
  <c r="G86" i="74" s="1"/>
  <c r="R85" i="74"/>
  <c r="Q85" i="74"/>
  <c r="O85" i="74"/>
  <c r="U85" i="74" s="1"/>
  <c r="I85" i="74"/>
  <c r="F85" i="74"/>
  <c r="C85" i="74"/>
  <c r="H85" i="74" s="1"/>
  <c r="N85" i="74" s="1"/>
  <c r="B85" i="74"/>
  <c r="G85" i="74" s="1"/>
  <c r="R84" i="74"/>
  <c r="Q84" i="74"/>
  <c r="O84" i="74"/>
  <c r="U84" i="74" s="1"/>
  <c r="I84" i="74"/>
  <c r="F84" i="74"/>
  <c r="C84" i="74"/>
  <c r="H84" i="74" s="1"/>
  <c r="N84" i="74" s="1"/>
  <c r="B84" i="74"/>
  <c r="G84" i="74" s="1"/>
  <c r="R83" i="74"/>
  <c r="Q83" i="74"/>
  <c r="O83" i="74"/>
  <c r="I83" i="74"/>
  <c r="F83" i="74"/>
  <c r="C83" i="74"/>
  <c r="H83" i="74" s="1"/>
  <c r="N83" i="74" s="1"/>
  <c r="B83" i="74"/>
  <c r="G83" i="74" s="1"/>
  <c r="R82" i="74"/>
  <c r="Q82" i="74"/>
  <c r="O82" i="74"/>
  <c r="U82" i="74" s="1"/>
  <c r="I82" i="74"/>
  <c r="F82" i="74"/>
  <c r="C82" i="74"/>
  <c r="H82" i="74" s="1"/>
  <c r="N82" i="74" s="1"/>
  <c r="B82" i="74"/>
  <c r="G82" i="74" s="1"/>
  <c r="R81" i="74"/>
  <c r="Q81" i="74"/>
  <c r="O81" i="74"/>
  <c r="U81" i="74" s="1"/>
  <c r="I81" i="74"/>
  <c r="F81" i="74"/>
  <c r="C81" i="74"/>
  <c r="H81" i="74" s="1"/>
  <c r="N81" i="74" s="1"/>
  <c r="B81" i="74"/>
  <c r="G81" i="74" s="1"/>
  <c r="R80" i="74"/>
  <c r="Q80" i="74"/>
  <c r="O80" i="74"/>
  <c r="U80" i="74" s="1"/>
  <c r="I80" i="74"/>
  <c r="F80" i="74"/>
  <c r="C80" i="74"/>
  <c r="H80" i="74" s="1"/>
  <c r="N80" i="74" s="1"/>
  <c r="B80" i="74"/>
  <c r="G80" i="74" s="1"/>
  <c r="R79" i="74"/>
  <c r="Q79" i="74"/>
  <c r="O79" i="74"/>
  <c r="I79" i="74"/>
  <c r="F79" i="74"/>
  <c r="C79" i="74"/>
  <c r="H79" i="74" s="1"/>
  <c r="N79" i="74" s="1"/>
  <c r="B79" i="74"/>
  <c r="G79" i="74" s="1"/>
  <c r="R78" i="74"/>
  <c r="Q78" i="74"/>
  <c r="O78" i="74"/>
  <c r="U78" i="74" s="1"/>
  <c r="I78" i="74"/>
  <c r="F78" i="74"/>
  <c r="C78" i="74"/>
  <c r="H78" i="74" s="1"/>
  <c r="N78" i="74" s="1"/>
  <c r="B78" i="74"/>
  <c r="G78" i="74" s="1"/>
  <c r="R77" i="74"/>
  <c r="Q77" i="74"/>
  <c r="O77" i="74"/>
  <c r="U77" i="74" s="1"/>
  <c r="I77" i="74"/>
  <c r="F77" i="74"/>
  <c r="C77" i="74"/>
  <c r="H77" i="74" s="1"/>
  <c r="N77" i="74" s="1"/>
  <c r="B77" i="74"/>
  <c r="G77" i="74" s="1"/>
  <c r="R76" i="74"/>
  <c r="Q76" i="74"/>
  <c r="O76" i="74"/>
  <c r="U76" i="74" s="1"/>
  <c r="I76" i="74"/>
  <c r="G76" i="74"/>
  <c r="F76" i="74"/>
  <c r="C76" i="74"/>
  <c r="H76" i="74" s="1"/>
  <c r="N76" i="74" s="1"/>
  <c r="B76" i="74"/>
  <c r="R75" i="74"/>
  <c r="Q75" i="74"/>
  <c r="O75" i="74"/>
  <c r="U75" i="74" s="1"/>
  <c r="I75" i="74"/>
  <c r="H75" i="74"/>
  <c r="N75" i="74" s="1"/>
  <c r="F75" i="74"/>
  <c r="C75" i="74"/>
  <c r="B75" i="74"/>
  <c r="G75" i="74" s="1"/>
  <c r="R74" i="74"/>
  <c r="Q74" i="74"/>
  <c r="O74" i="74"/>
  <c r="U74" i="74" s="1"/>
  <c r="I74" i="74"/>
  <c r="F74" i="74"/>
  <c r="C74" i="74"/>
  <c r="H74" i="74" s="1"/>
  <c r="N74" i="74" s="1"/>
  <c r="B74" i="74"/>
  <c r="G74" i="74" s="1"/>
  <c r="R73" i="74"/>
  <c r="Q73" i="74"/>
  <c r="O73" i="74"/>
  <c r="U73" i="74" s="1"/>
  <c r="I73" i="74"/>
  <c r="F73" i="74"/>
  <c r="C73" i="74"/>
  <c r="H73" i="74" s="1"/>
  <c r="N73" i="74" s="1"/>
  <c r="B73" i="74"/>
  <c r="G73" i="74" s="1"/>
  <c r="R72" i="74"/>
  <c r="Q72" i="74"/>
  <c r="O72" i="74"/>
  <c r="U72" i="74" s="1"/>
  <c r="I72" i="74"/>
  <c r="F72" i="74"/>
  <c r="C72" i="74"/>
  <c r="H72" i="74" s="1"/>
  <c r="N72" i="74" s="1"/>
  <c r="B72" i="74"/>
  <c r="G72" i="74" s="1"/>
  <c r="R71" i="74"/>
  <c r="Q71" i="74"/>
  <c r="O71" i="74"/>
  <c r="I71" i="74"/>
  <c r="F71" i="74"/>
  <c r="C71" i="74"/>
  <c r="H71" i="74" s="1"/>
  <c r="N71" i="74" s="1"/>
  <c r="B71" i="74"/>
  <c r="G71" i="74" s="1"/>
  <c r="R70" i="74"/>
  <c r="Q70" i="74"/>
  <c r="O70" i="74"/>
  <c r="U70" i="74" s="1"/>
  <c r="I70" i="74"/>
  <c r="G70" i="74"/>
  <c r="F70" i="74"/>
  <c r="C70" i="74"/>
  <c r="H70" i="74" s="1"/>
  <c r="N70" i="74" s="1"/>
  <c r="B70" i="74"/>
  <c r="U69" i="74"/>
  <c r="R69" i="74"/>
  <c r="Q69" i="74"/>
  <c r="O69" i="74"/>
  <c r="I69" i="74"/>
  <c r="F69" i="74"/>
  <c r="C69" i="74"/>
  <c r="H69" i="74" s="1"/>
  <c r="N69" i="74" s="1"/>
  <c r="B69" i="74"/>
  <c r="G69" i="74" s="1"/>
  <c r="R68" i="74"/>
  <c r="Q68" i="74"/>
  <c r="O68" i="74"/>
  <c r="U68" i="74" s="1"/>
  <c r="I68" i="74"/>
  <c r="H68" i="74"/>
  <c r="N68" i="74" s="1"/>
  <c r="F68" i="74"/>
  <c r="C68" i="74"/>
  <c r="B68" i="74"/>
  <c r="G68" i="74" s="1"/>
  <c r="R67" i="74"/>
  <c r="Q67" i="74"/>
  <c r="O67" i="74"/>
  <c r="U67" i="74" s="1"/>
  <c r="I67" i="74"/>
  <c r="F67" i="74"/>
  <c r="C67" i="74"/>
  <c r="H67" i="74" s="1"/>
  <c r="N67" i="74" s="1"/>
  <c r="B67" i="74"/>
  <c r="G67" i="74" s="1"/>
  <c r="R66" i="74"/>
  <c r="Q66" i="74"/>
  <c r="O66" i="74"/>
  <c r="U66" i="74" s="1"/>
  <c r="I66" i="74"/>
  <c r="F66" i="74"/>
  <c r="C66" i="74"/>
  <c r="H66" i="74" s="1"/>
  <c r="N66" i="74" s="1"/>
  <c r="B66" i="74"/>
  <c r="G66" i="74" s="1"/>
  <c r="R65" i="74"/>
  <c r="Q65" i="74"/>
  <c r="O65" i="74"/>
  <c r="U65" i="74" s="1"/>
  <c r="I65" i="74"/>
  <c r="F65" i="74"/>
  <c r="C65" i="74"/>
  <c r="H65" i="74" s="1"/>
  <c r="N65" i="74" s="1"/>
  <c r="B65" i="74"/>
  <c r="G65" i="74" s="1"/>
  <c r="R64" i="74"/>
  <c r="Q64" i="74"/>
  <c r="O64" i="74"/>
  <c r="U64" i="74" s="1"/>
  <c r="I64" i="74"/>
  <c r="F64" i="74"/>
  <c r="C64" i="74"/>
  <c r="H64" i="74" s="1"/>
  <c r="N64" i="74" s="1"/>
  <c r="B64" i="74"/>
  <c r="G64" i="74" s="1"/>
  <c r="R63" i="74"/>
  <c r="Q63" i="74"/>
  <c r="O63" i="74"/>
  <c r="U63" i="74" s="1"/>
  <c r="I63" i="74"/>
  <c r="F63" i="74"/>
  <c r="C63" i="74"/>
  <c r="H63" i="74" s="1"/>
  <c r="N63" i="74" s="1"/>
  <c r="B63" i="74"/>
  <c r="G63" i="74" s="1"/>
  <c r="R62" i="74"/>
  <c r="Q62" i="74"/>
  <c r="O62" i="74"/>
  <c r="U62" i="74" s="1"/>
  <c r="I62" i="74"/>
  <c r="G62" i="74"/>
  <c r="F62" i="74"/>
  <c r="C62" i="74"/>
  <c r="H62" i="74" s="1"/>
  <c r="N62" i="74" s="1"/>
  <c r="B62" i="74"/>
  <c r="R61" i="74"/>
  <c r="Q61" i="74"/>
  <c r="O61" i="74"/>
  <c r="U61" i="74" s="1"/>
  <c r="I61" i="74"/>
  <c r="G61" i="74"/>
  <c r="F61" i="74"/>
  <c r="C61" i="74"/>
  <c r="H61" i="74" s="1"/>
  <c r="N61" i="74" s="1"/>
  <c r="B61" i="74"/>
  <c r="U60" i="74"/>
  <c r="R60" i="74"/>
  <c r="Q60" i="74"/>
  <c r="O60" i="74"/>
  <c r="I60" i="74"/>
  <c r="F60" i="74"/>
  <c r="C60" i="74"/>
  <c r="H60" i="74" s="1"/>
  <c r="N60" i="74" s="1"/>
  <c r="B60" i="74"/>
  <c r="G60" i="74" s="1"/>
  <c r="R59" i="74"/>
  <c r="Q59" i="74"/>
  <c r="O59" i="74"/>
  <c r="I59" i="74"/>
  <c r="F59" i="74"/>
  <c r="C59" i="74"/>
  <c r="H59" i="74" s="1"/>
  <c r="N59" i="74" s="1"/>
  <c r="B59" i="74"/>
  <c r="G59" i="74" s="1"/>
  <c r="U58" i="74"/>
  <c r="R58" i="74"/>
  <c r="Q58" i="74"/>
  <c r="O58" i="74"/>
  <c r="I58" i="74"/>
  <c r="F58" i="74"/>
  <c r="C58" i="74"/>
  <c r="H58" i="74" s="1"/>
  <c r="N58" i="74" s="1"/>
  <c r="B58" i="74"/>
  <c r="G58" i="74" s="1"/>
  <c r="U57" i="74"/>
  <c r="R57" i="74"/>
  <c r="Q57" i="74"/>
  <c r="O57" i="74"/>
  <c r="I57" i="74"/>
  <c r="F57" i="74"/>
  <c r="C57" i="74"/>
  <c r="H57" i="74" s="1"/>
  <c r="N57" i="74" s="1"/>
  <c r="B57" i="74"/>
  <c r="G57" i="74" s="1"/>
  <c r="U56" i="74"/>
  <c r="R56" i="74"/>
  <c r="Q56" i="74"/>
  <c r="O56" i="74"/>
  <c r="I56" i="74"/>
  <c r="F56" i="74"/>
  <c r="C56" i="74"/>
  <c r="H56" i="74" s="1"/>
  <c r="N56" i="74" s="1"/>
  <c r="B56" i="74"/>
  <c r="G56" i="74" s="1"/>
  <c r="R55" i="74"/>
  <c r="Q55" i="74"/>
  <c r="O55" i="74"/>
  <c r="I55" i="74"/>
  <c r="F55" i="74"/>
  <c r="C55" i="74"/>
  <c r="H55" i="74" s="1"/>
  <c r="N55" i="74" s="1"/>
  <c r="B55" i="74"/>
  <c r="G55" i="74" s="1"/>
  <c r="U54" i="74"/>
  <c r="R54" i="74"/>
  <c r="Q54" i="74"/>
  <c r="O54" i="74"/>
  <c r="I54" i="74"/>
  <c r="G54" i="74"/>
  <c r="F54" i="74"/>
  <c r="C54" i="74"/>
  <c r="H54" i="74" s="1"/>
  <c r="N54" i="74" s="1"/>
  <c r="B54" i="74"/>
  <c r="U53" i="74"/>
  <c r="R53" i="74"/>
  <c r="Q53" i="74"/>
  <c r="O53" i="74"/>
  <c r="I53" i="74"/>
  <c r="F53" i="74"/>
  <c r="C53" i="74"/>
  <c r="H53" i="74" s="1"/>
  <c r="N53" i="74" s="1"/>
  <c r="B53" i="74"/>
  <c r="G53" i="74" s="1"/>
  <c r="U52" i="74"/>
  <c r="R52" i="74"/>
  <c r="Q52" i="74"/>
  <c r="O52" i="74"/>
  <c r="I52" i="74"/>
  <c r="F52" i="74"/>
  <c r="C52" i="74"/>
  <c r="H52" i="74" s="1"/>
  <c r="N52" i="74" s="1"/>
  <c r="B52" i="74"/>
  <c r="G52" i="74" s="1"/>
  <c r="R51" i="74"/>
  <c r="Q51" i="74"/>
  <c r="O51" i="74"/>
  <c r="I51" i="74"/>
  <c r="F51" i="74"/>
  <c r="C51" i="74"/>
  <c r="H51" i="74" s="1"/>
  <c r="N51" i="74" s="1"/>
  <c r="B51" i="74"/>
  <c r="G51" i="74" s="1"/>
  <c r="R50" i="74"/>
  <c r="Q50" i="74"/>
  <c r="O50" i="74"/>
  <c r="U50" i="74" s="1"/>
  <c r="I50" i="74"/>
  <c r="F50" i="74"/>
  <c r="C50" i="74"/>
  <c r="H50" i="74" s="1"/>
  <c r="N50" i="74" s="1"/>
  <c r="B50" i="74"/>
  <c r="G50" i="74" s="1"/>
  <c r="R49" i="74"/>
  <c r="Q49" i="74"/>
  <c r="O49" i="74"/>
  <c r="U49" i="74" s="1"/>
  <c r="I49" i="74"/>
  <c r="F49" i="74"/>
  <c r="C49" i="74"/>
  <c r="H49" i="74" s="1"/>
  <c r="N49" i="74" s="1"/>
  <c r="B49" i="74"/>
  <c r="G49" i="74" s="1"/>
  <c r="R48" i="74"/>
  <c r="Q48" i="74"/>
  <c r="O48" i="74"/>
  <c r="U48" i="74" s="1"/>
  <c r="I48" i="74"/>
  <c r="F48" i="74"/>
  <c r="C48" i="74"/>
  <c r="H48" i="74" s="1"/>
  <c r="N48" i="74" s="1"/>
  <c r="B48" i="74"/>
  <c r="G48" i="74" s="1"/>
  <c r="R47" i="74"/>
  <c r="Q47" i="74"/>
  <c r="O47" i="74"/>
  <c r="I47" i="74"/>
  <c r="F47" i="74"/>
  <c r="C47" i="74"/>
  <c r="H47" i="74" s="1"/>
  <c r="N47" i="74" s="1"/>
  <c r="B47" i="74"/>
  <c r="G47" i="74" s="1"/>
  <c r="R46" i="74"/>
  <c r="Q46" i="74"/>
  <c r="O46" i="74"/>
  <c r="U46" i="74" s="1"/>
  <c r="I46" i="74"/>
  <c r="F46" i="74"/>
  <c r="C46" i="74"/>
  <c r="H46" i="74" s="1"/>
  <c r="N46" i="74" s="1"/>
  <c r="B46" i="74"/>
  <c r="G46" i="74" s="1"/>
  <c r="R45" i="74"/>
  <c r="Q45" i="74"/>
  <c r="O45" i="74"/>
  <c r="U45" i="74" s="1"/>
  <c r="I45" i="74"/>
  <c r="F45" i="74"/>
  <c r="C45" i="74"/>
  <c r="H45" i="74" s="1"/>
  <c r="N45" i="74" s="1"/>
  <c r="B45" i="74"/>
  <c r="G45" i="74" s="1"/>
  <c r="R44" i="74"/>
  <c r="Q44" i="74"/>
  <c r="O44" i="74"/>
  <c r="U44" i="74" s="1"/>
  <c r="I44" i="74"/>
  <c r="F44" i="74"/>
  <c r="C44" i="74"/>
  <c r="H44" i="74" s="1"/>
  <c r="N44" i="74" s="1"/>
  <c r="B44" i="74"/>
  <c r="G44" i="74" s="1"/>
  <c r="R43" i="74"/>
  <c r="Q43" i="74"/>
  <c r="O43" i="74"/>
  <c r="I43" i="74"/>
  <c r="F43" i="74"/>
  <c r="C43" i="74"/>
  <c r="H43" i="74" s="1"/>
  <c r="N43" i="74" s="1"/>
  <c r="B43" i="74"/>
  <c r="G43" i="74" s="1"/>
  <c r="R42" i="74"/>
  <c r="Q42" i="74"/>
  <c r="O42" i="74"/>
  <c r="U42" i="74" s="1"/>
  <c r="I42" i="74"/>
  <c r="F42" i="74"/>
  <c r="C42" i="74"/>
  <c r="H42" i="74" s="1"/>
  <c r="N42" i="74" s="1"/>
  <c r="B42" i="74"/>
  <c r="G42" i="74" s="1"/>
  <c r="R41" i="74"/>
  <c r="Q41" i="74"/>
  <c r="O41" i="74"/>
  <c r="U41" i="74" s="1"/>
  <c r="I41" i="74"/>
  <c r="F41" i="74"/>
  <c r="C41" i="74"/>
  <c r="H41" i="74" s="1"/>
  <c r="N41" i="74" s="1"/>
  <c r="B41" i="74"/>
  <c r="G41" i="74" s="1"/>
  <c r="R40" i="74"/>
  <c r="Q40" i="74"/>
  <c r="O40" i="74"/>
  <c r="U40" i="74" s="1"/>
  <c r="I40" i="74"/>
  <c r="F40" i="74"/>
  <c r="C40" i="74"/>
  <c r="H40" i="74" s="1"/>
  <c r="N40" i="74" s="1"/>
  <c r="B40" i="74"/>
  <c r="G40" i="74" s="1"/>
  <c r="R39" i="74"/>
  <c r="Q39" i="74"/>
  <c r="O39" i="74"/>
  <c r="I39" i="74"/>
  <c r="F39" i="74"/>
  <c r="C39" i="74"/>
  <c r="H39" i="74" s="1"/>
  <c r="N39" i="74" s="1"/>
  <c r="B39" i="74"/>
  <c r="G39" i="74" s="1"/>
  <c r="R38" i="74"/>
  <c r="Q38" i="74"/>
  <c r="O38" i="74"/>
  <c r="U38" i="74" s="1"/>
  <c r="I38" i="74"/>
  <c r="F38" i="74"/>
  <c r="C38" i="74"/>
  <c r="H38" i="74" s="1"/>
  <c r="N38" i="74" s="1"/>
  <c r="B38" i="74"/>
  <c r="G38" i="74" s="1"/>
  <c r="R37" i="74"/>
  <c r="Q37" i="74"/>
  <c r="O37" i="74"/>
  <c r="U37" i="74" s="1"/>
  <c r="I37" i="74"/>
  <c r="F37" i="74"/>
  <c r="C37" i="74"/>
  <c r="H37" i="74" s="1"/>
  <c r="N37" i="74" s="1"/>
  <c r="B37" i="74"/>
  <c r="G37" i="74" s="1"/>
  <c r="R36" i="74"/>
  <c r="Q36" i="74"/>
  <c r="O36" i="74"/>
  <c r="U36" i="74" s="1"/>
  <c r="I36" i="74"/>
  <c r="F36" i="74"/>
  <c r="C36" i="74"/>
  <c r="H36" i="74" s="1"/>
  <c r="N36" i="74" s="1"/>
  <c r="B36" i="74"/>
  <c r="G36" i="74" s="1"/>
  <c r="R35" i="74"/>
  <c r="Q35" i="74"/>
  <c r="O35" i="74"/>
  <c r="I35" i="74"/>
  <c r="F35" i="74"/>
  <c r="C35" i="74"/>
  <c r="H35" i="74" s="1"/>
  <c r="N35" i="74" s="1"/>
  <c r="B35" i="74"/>
  <c r="G35" i="74" s="1"/>
  <c r="R34" i="74"/>
  <c r="Q34" i="74"/>
  <c r="O34" i="74"/>
  <c r="U34" i="74" s="1"/>
  <c r="I34" i="74"/>
  <c r="F34" i="74"/>
  <c r="C34" i="74"/>
  <c r="H34" i="74" s="1"/>
  <c r="N34" i="74" s="1"/>
  <c r="B34" i="74"/>
  <c r="G34" i="74" s="1"/>
  <c r="R33" i="74"/>
  <c r="Q33" i="74"/>
  <c r="O33" i="74"/>
  <c r="U33" i="74" s="1"/>
  <c r="I33" i="74"/>
  <c r="F33" i="74"/>
  <c r="C33" i="74"/>
  <c r="H33" i="74" s="1"/>
  <c r="N33" i="74" s="1"/>
  <c r="B33" i="74"/>
  <c r="G33" i="74" s="1"/>
  <c r="R32" i="74"/>
  <c r="Q32" i="74"/>
  <c r="O32" i="74"/>
  <c r="U32" i="74" s="1"/>
  <c r="I32" i="74"/>
  <c r="F32" i="74"/>
  <c r="C32" i="74"/>
  <c r="H32" i="74" s="1"/>
  <c r="N32" i="74" s="1"/>
  <c r="B32" i="74"/>
  <c r="G32" i="74" s="1"/>
  <c r="R31" i="74"/>
  <c r="Q31" i="74"/>
  <c r="O31" i="74"/>
  <c r="I31" i="74"/>
  <c r="F31" i="74"/>
  <c r="C31" i="74"/>
  <c r="H31" i="74" s="1"/>
  <c r="N31" i="74" s="1"/>
  <c r="B31" i="74"/>
  <c r="G31" i="74" s="1"/>
  <c r="R30" i="74"/>
  <c r="Q30" i="74"/>
  <c r="O30" i="74"/>
  <c r="U30" i="74" s="1"/>
  <c r="I30" i="74"/>
  <c r="F30" i="74"/>
  <c r="C30" i="74"/>
  <c r="H30" i="74" s="1"/>
  <c r="N30" i="74" s="1"/>
  <c r="B30" i="74"/>
  <c r="G30" i="74" s="1"/>
  <c r="R29" i="74"/>
  <c r="Q29" i="74"/>
  <c r="O29" i="74"/>
  <c r="U29" i="74" s="1"/>
  <c r="I29" i="74"/>
  <c r="F29" i="74"/>
  <c r="C29" i="74"/>
  <c r="H29" i="74" s="1"/>
  <c r="N29" i="74" s="1"/>
  <c r="B29" i="74"/>
  <c r="G29" i="74" s="1"/>
  <c r="R28" i="74"/>
  <c r="Q28" i="74"/>
  <c r="O28" i="74"/>
  <c r="U28" i="74" s="1"/>
  <c r="I28" i="74"/>
  <c r="F28" i="74"/>
  <c r="C28" i="74"/>
  <c r="H28" i="74" s="1"/>
  <c r="N28" i="74" s="1"/>
  <c r="B28" i="74"/>
  <c r="G28" i="74" s="1"/>
  <c r="R27" i="74"/>
  <c r="Q27" i="74"/>
  <c r="O27" i="74"/>
  <c r="I27" i="74"/>
  <c r="F27" i="74"/>
  <c r="C27" i="74"/>
  <c r="H27" i="74" s="1"/>
  <c r="N27" i="74" s="1"/>
  <c r="B27" i="74"/>
  <c r="G27" i="74" s="1"/>
  <c r="R26" i="74"/>
  <c r="Q26" i="74"/>
  <c r="O26" i="74"/>
  <c r="U26" i="74" s="1"/>
  <c r="I26" i="74"/>
  <c r="F26" i="74"/>
  <c r="C26" i="74"/>
  <c r="H26" i="74" s="1"/>
  <c r="N26" i="74" s="1"/>
  <c r="B26" i="74"/>
  <c r="G26" i="74" s="1"/>
  <c r="R25" i="74"/>
  <c r="Q25" i="74"/>
  <c r="O25" i="74"/>
  <c r="U25" i="74" s="1"/>
  <c r="I25" i="74"/>
  <c r="F25" i="74"/>
  <c r="C25" i="74"/>
  <c r="H25" i="74" s="1"/>
  <c r="N25" i="74" s="1"/>
  <c r="B25" i="74"/>
  <c r="G25" i="74" s="1"/>
  <c r="R24" i="74"/>
  <c r="Q24" i="74"/>
  <c r="O24" i="74"/>
  <c r="U24" i="74" s="1"/>
  <c r="I24" i="74"/>
  <c r="F24" i="74"/>
  <c r="C24" i="74"/>
  <c r="H24" i="74" s="1"/>
  <c r="N24" i="74" s="1"/>
  <c r="B24" i="74"/>
  <c r="G24" i="74" s="1"/>
  <c r="R23" i="74"/>
  <c r="Q23" i="74"/>
  <c r="O23" i="74"/>
  <c r="I23" i="74"/>
  <c r="F23" i="74"/>
  <c r="C23" i="74"/>
  <c r="H23" i="74" s="1"/>
  <c r="N23" i="74" s="1"/>
  <c r="B23" i="74"/>
  <c r="G23" i="74" s="1"/>
  <c r="R22" i="74"/>
  <c r="Q22" i="74"/>
  <c r="O22" i="74"/>
  <c r="U22" i="74" s="1"/>
  <c r="I22" i="74"/>
  <c r="F22" i="74"/>
  <c r="C22" i="74"/>
  <c r="H22" i="74" s="1"/>
  <c r="N22" i="74" s="1"/>
  <c r="B22" i="74"/>
  <c r="G22" i="74" s="1"/>
  <c r="R21" i="74"/>
  <c r="Q21" i="74"/>
  <c r="O21" i="74"/>
  <c r="U21" i="74" s="1"/>
  <c r="I21" i="74"/>
  <c r="F21" i="74"/>
  <c r="C21" i="74"/>
  <c r="H21" i="74" s="1"/>
  <c r="N21" i="74" s="1"/>
  <c r="B21" i="74"/>
  <c r="G21" i="74" s="1"/>
  <c r="R20" i="74"/>
  <c r="Q20" i="74"/>
  <c r="O20" i="74"/>
  <c r="U20" i="74" s="1"/>
  <c r="I20" i="74"/>
  <c r="F20" i="74"/>
  <c r="C20" i="74"/>
  <c r="H20" i="74" s="1"/>
  <c r="N20" i="74" s="1"/>
  <c r="B20" i="74"/>
  <c r="G20" i="74" s="1"/>
  <c r="R19" i="74"/>
  <c r="Q19" i="74"/>
  <c r="O19" i="74"/>
  <c r="I19" i="74"/>
  <c r="F19" i="74"/>
  <c r="C19" i="74"/>
  <c r="H19" i="74" s="1"/>
  <c r="N19" i="74" s="1"/>
  <c r="B19" i="74"/>
  <c r="G19" i="74" s="1"/>
  <c r="R18" i="74"/>
  <c r="Q18" i="74"/>
  <c r="O18" i="74"/>
  <c r="U18" i="74" s="1"/>
  <c r="I18" i="74"/>
  <c r="F18" i="74"/>
  <c r="C18" i="74"/>
  <c r="H18" i="74" s="1"/>
  <c r="N18" i="74" s="1"/>
  <c r="B18" i="74"/>
  <c r="G18" i="74" s="1"/>
  <c r="R17" i="74"/>
  <c r="Q17" i="74"/>
  <c r="O17" i="74"/>
  <c r="U17" i="74" s="1"/>
  <c r="I17" i="74"/>
  <c r="F17" i="74"/>
  <c r="C17" i="74"/>
  <c r="H17" i="74" s="1"/>
  <c r="N17" i="74" s="1"/>
  <c r="B17" i="74"/>
  <c r="G17" i="74" s="1"/>
  <c r="R16" i="74"/>
  <c r="Q16" i="74"/>
  <c r="O16" i="74"/>
  <c r="U16" i="74" s="1"/>
  <c r="I16" i="74"/>
  <c r="F16" i="74"/>
  <c r="C16" i="74"/>
  <c r="H16" i="74" s="1"/>
  <c r="N16" i="74" s="1"/>
  <c r="B16" i="74"/>
  <c r="G16" i="74" s="1"/>
  <c r="R15" i="74"/>
  <c r="Q15" i="74"/>
  <c r="O15" i="74"/>
  <c r="I15" i="74"/>
  <c r="F15" i="74"/>
  <c r="C15" i="74"/>
  <c r="H15" i="74" s="1"/>
  <c r="N15" i="74" s="1"/>
  <c r="B15" i="74"/>
  <c r="G15" i="74" s="1"/>
  <c r="R14" i="74"/>
  <c r="Q14" i="74"/>
  <c r="O14" i="74"/>
  <c r="U14" i="74" s="1"/>
  <c r="I14" i="74"/>
  <c r="F14" i="74"/>
  <c r="C14" i="74"/>
  <c r="H14" i="74" s="1"/>
  <c r="N14" i="74" s="1"/>
  <c r="B14" i="74"/>
  <c r="G14" i="74" s="1"/>
  <c r="R13" i="74"/>
  <c r="Q13" i="74"/>
  <c r="O13" i="74"/>
  <c r="U13" i="74" s="1"/>
  <c r="I13" i="74"/>
  <c r="F13" i="74"/>
  <c r="C13" i="74"/>
  <c r="H13" i="74" s="1"/>
  <c r="N13" i="74" s="1"/>
  <c r="B13" i="74"/>
  <c r="G13" i="74" s="1"/>
  <c r="R12" i="74"/>
  <c r="Q12" i="74"/>
  <c r="O12" i="74"/>
  <c r="U12" i="74" s="1"/>
  <c r="I12" i="74"/>
  <c r="F12" i="74"/>
  <c r="C12" i="74"/>
  <c r="H12" i="74" s="1"/>
  <c r="N12" i="74" s="1"/>
  <c r="B12" i="74"/>
  <c r="G12" i="74" s="1"/>
  <c r="R11" i="74"/>
  <c r="Q11" i="74"/>
  <c r="O11" i="74"/>
  <c r="I11" i="74"/>
  <c r="F11" i="74"/>
  <c r="C11" i="74"/>
  <c r="H11" i="74" s="1"/>
  <c r="N11" i="74" s="1"/>
  <c r="B11" i="74"/>
  <c r="G11" i="74" s="1"/>
  <c r="U10" i="74"/>
  <c r="R10" i="74"/>
  <c r="Q10" i="74"/>
  <c r="O10" i="74"/>
  <c r="I10" i="74"/>
  <c r="G10" i="74"/>
  <c r="F10" i="74"/>
  <c r="C10" i="74"/>
  <c r="H10" i="74" s="1"/>
  <c r="N10" i="74" s="1"/>
  <c r="B10" i="74"/>
  <c r="R9" i="74"/>
  <c r="Q9" i="74"/>
  <c r="O9" i="74"/>
  <c r="U9" i="74" s="1"/>
  <c r="I9" i="74"/>
  <c r="G9" i="74"/>
  <c r="F9" i="74"/>
  <c r="C9" i="74"/>
  <c r="H9" i="74" s="1"/>
  <c r="N9" i="74" s="1"/>
  <c r="B9" i="74"/>
  <c r="R8" i="74"/>
  <c r="Q8" i="74"/>
  <c r="O8" i="74"/>
  <c r="U8" i="74" s="1"/>
  <c r="I8" i="74"/>
  <c r="G8" i="74"/>
  <c r="F8" i="74"/>
  <c r="C8" i="74"/>
  <c r="H8" i="74" s="1"/>
  <c r="N8" i="74" s="1"/>
  <c r="B8" i="74"/>
  <c r="U7" i="74"/>
  <c r="R7" i="74"/>
  <c r="Q7" i="74"/>
  <c r="O7" i="74"/>
  <c r="I7" i="74"/>
  <c r="F7" i="74"/>
  <c r="C7" i="74"/>
  <c r="H7" i="74" s="1"/>
  <c r="N7" i="74" s="1"/>
  <c r="B7" i="74"/>
  <c r="G7" i="74" s="1"/>
  <c r="U6" i="74"/>
  <c r="R6" i="74"/>
  <c r="Q6" i="74"/>
  <c r="O6" i="74"/>
  <c r="I6" i="74"/>
  <c r="F6" i="74"/>
  <c r="C6" i="74"/>
  <c r="H6" i="74" s="1"/>
  <c r="N6" i="74" s="1"/>
  <c r="B6" i="74"/>
  <c r="G6" i="74" s="1"/>
  <c r="R5" i="74"/>
  <c r="Q5" i="74"/>
  <c r="O5" i="74"/>
  <c r="U5" i="74" s="1"/>
  <c r="I5" i="74"/>
  <c r="F5" i="74"/>
  <c r="C5" i="74"/>
  <c r="H5" i="74" s="1"/>
  <c r="N5" i="74" s="1"/>
  <c r="B5" i="74"/>
  <c r="G5" i="74" s="1"/>
  <c r="R4" i="74"/>
  <c r="Q4" i="74"/>
  <c r="O4" i="74"/>
  <c r="U4" i="74" s="1"/>
  <c r="I4" i="74"/>
  <c r="F4" i="74"/>
  <c r="C4" i="74"/>
  <c r="H4" i="74" s="1"/>
  <c r="N4" i="74" s="1"/>
  <c r="B4" i="74"/>
  <c r="G4" i="74" s="1"/>
  <c r="R3" i="74"/>
  <c r="Q3" i="74"/>
  <c r="O3" i="74"/>
  <c r="I3" i="74"/>
  <c r="F3" i="74"/>
  <c r="C3" i="74"/>
  <c r="H3" i="74" s="1"/>
  <c r="N3" i="74" s="1"/>
  <c r="B3" i="74"/>
  <c r="G3" i="74" s="1"/>
  <c r="R103" i="73"/>
  <c r="Q103" i="73"/>
  <c r="O103" i="73"/>
  <c r="U103" i="73" s="1"/>
  <c r="I103" i="73"/>
  <c r="F103" i="73"/>
  <c r="C103" i="73"/>
  <c r="H103" i="73" s="1"/>
  <c r="N103" i="73" s="1"/>
  <c r="B103" i="73"/>
  <c r="G103" i="73" s="1"/>
  <c r="R102" i="73"/>
  <c r="Q102" i="73"/>
  <c r="O102" i="73"/>
  <c r="I102" i="73"/>
  <c r="F102" i="73"/>
  <c r="C102" i="73"/>
  <c r="H102" i="73" s="1"/>
  <c r="N102" i="73" s="1"/>
  <c r="B102" i="73"/>
  <c r="G102" i="73" s="1"/>
  <c r="R101" i="73"/>
  <c r="Q101" i="73"/>
  <c r="O101" i="73"/>
  <c r="U101" i="73" s="1"/>
  <c r="I101" i="73"/>
  <c r="F101" i="73"/>
  <c r="C101" i="73"/>
  <c r="H101" i="73" s="1"/>
  <c r="N101" i="73" s="1"/>
  <c r="B101" i="73"/>
  <c r="G101" i="73" s="1"/>
  <c r="R100" i="73"/>
  <c r="Q100" i="73"/>
  <c r="O100" i="73"/>
  <c r="U100" i="73" s="1"/>
  <c r="I100" i="73"/>
  <c r="F100" i="73"/>
  <c r="C100" i="73"/>
  <c r="H100" i="73" s="1"/>
  <c r="N100" i="73" s="1"/>
  <c r="B100" i="73"/>
  <c r="G100" i="73" s="1"/>
  <c r="R99" i="73"/>
  <c r="Q99" i="73"/>
  <c r="O99" i="73"/>
  <c r="U99" i="73" s="1"/>
  <c r="I99" i="73"/>
  <c r="F99" i="73"/>
  <c r="C99" i="73"/>
  <c r="H99" i="73" s="1"/>
  <c r="N99" i="73" s="1"/>
  <c r="B99" i="73"/>
  <c r="G99" i="73" s="1"/>
  <c r="R98" i="73"/>
  <c r="Q98" i="73"/>
  <c r="O98" i="73"/>
  <c r="I98" i="73"/>
  <c r="F98" i="73"/>
  <c r="C98" i="73"/>
  <c r="H98" i="73" s="1"/>
  <c r="N98" i="73" s="1"/>
  <c r="B98" i="73"/>
  <c r="G98" i="73" s="1"/>
  <c r="R97" i="73"/>
  <c r="Q97" i="73"/>
  <c r="O97" i="73"/>
  <c r="U97" i="73" s="1"/>
  <c r="I97" i="73"/>
  <c r="F97" i="73"/>
  <c r="C97" i="73"/>
  <c r="H97" i="73" s="1"/>
  <c r="N97" i="73" s="1"/>
  <c r="B97" i="73"/>
  <c r="G97" i="73" s="1"/>
  <c r="R96" i="73"/>
  <c r="Q96" i="73"/>
  <c r="O96" i="73"/>
  <c r="U96" i="73" s="1"/>
  <c r="I96" i="73"/>
  <c r="F96" i="73"/>
  <c r="C96" i="73"/>
  <c r="H96" i="73" s="1"/>
  <c r="N96" i="73" s="1"/>
  <c r="B96" i="73"/>
  <c r="G96" i="73" s="1"/>
  <c r="R95" i="73"/>
  <c r="Q95" i="73"/>
  <c r="O95" i="73"/>
  <c r="U95" i="73" s="1"/>
  <c r="I95" i="73"/>
  <c r="F95" i="73"/>
  <c r="C95" i="73"/>
  <c r="H95" i="73" s="1"/>
  <c r="N95" i="73" s="1"/>
  <c r="B95" i="73"/>
  <c r="G95" i="73" s="1"/>
  <c r="R94" i="73"/>
  <c r="Q94" i="73"/>
  <c r="O94" i="73"/>
  <c r="I94" i="73"/>
  <c r="F94" i="73"/>
  <c r="C94" i="73"/>
  <c r="H94" i="73" s="1"/>
  <c r="N94" i="73" s="1"/>
  <c r="B94" i="73"/>
  <c r="G94" i="73" s="1"/>
  <c r="R93" i="73"/>
  <c r="Q93" i="73"/>
  <c r="O93" i="73"/>
  <c r="U93" i="73" s="1"/>
  <c r="I93" i="73"/>
  <c r="F93" i="73"/>
  <c r="C93" i="73"/>
  <c r="H93" i="73" s="1"/>
  <c r="N93" i="73" s="1"/>
  <c r="B93" i="73"/>
  <c r="G93" i="73" s="1"/>
  <c r="R92" i="73"/>
  <c r="Q92" i="73"/>
  <c r="O92" i="73"/>
  <c r="U92" i="73" s="1"/>
  <c r="I92" i="73"/>
  <c r="F92" i="73"/>
  <c r="C92" i="73"/>
  <c r="H92" i="73" s="1"/>
  <c r="N92" i="73" s="1"/>
  <c r="B92" i="73"/>
  <c r="G92" i="73" s="1"/>
  <c r="R91" i="73"/>
  <c r="Q91" i="73"/>
  <c r="O91" i="73"/>
  <c r="U91" i="73" s="1"/>
  <c r="I91" i="73"/>
  <c r="F91" i="73"/>
  <c r="C91" i="73"/>
  <c r="H91" i="73" s="1"/>
  <c r="N91" i="73" s="1"/>
  <c r="B91" i="73"/>
  <c r="G91" i="73" s="1"/>
  <c r="R90" i="73"/>
  <c r="Q90" i="73"/>
  <c r="O90" i="73"/>
  <c r="I90" i="73"/>
  <c r="F90" i="73"/>
  <c r="C90" i="73"/>
  <c r="H90" i="73" s="1"/>
  <c r="N90" i="73" s="1"/>
  <c r="B90" i="73"/>
  <c r="G90" i="73" s="1"/>
  <c r="R89" i="73"/>
  <c r="Q89" i="73"/>
  <c r="O89" i="73"/>
  <c r="U89" i="73" s="1"/>
  <c r="I89" i="73"/>
  <c r="F89" i="73"/>
  <c r="C89" i="73"/>
  <c r="H89" i="73" s="1"/>
  <c r="N89" i="73" s="1"/>
  <c r="B89" i="73"/>
  <c r="G89" i="73" s="1"/>
  <c r="R88" i="73"/>
  <c r="Q88" i="73"/>
  <c r="O88" i="73"/>
  <c r="U88" i="73" s="1"/>
  <c r="I88" i="73"/>
  <c r="F88" i="73"/>
  <c r="C88" i="73"/>
  <c r="H88" i="73" s="1"/>
  <c r="N88" i="73" s="1"/>
  <c r="B88" i="73"/>
  <c r="G88" i="73" s="1"/>
  <c r="R87" i="73"/>
  <c r="Q87" i="73"/>
  <c r="O87" i="73"/>
  <c r="U87" i="73" s="1"/>
  <c r="I87" i="73"/>
  <c r="F87" i="73"/>
  <c r="C87" i="73"/>
  <c r="H87" i="73" s="1"/>
  <c r="N87" i="73" s="1"/>
  <c r="B87" i="73"/>
  <c r="G87" i="73" s="1"/>
  <c r="R86" i="73"/>
  <c r="Q86" i="73"/>
  <c r="O86" i="73"/>
  <c r="I86" i="73"/>
  <c r="F86" i="73"/>
  <c r="C86" i="73"/>
  <c r="H86" i="73" s="1"/>
  <c r="N86" i="73" s="1"/>
  <c r="B86" i="73"/>
  <c r="G86" i="73" s="1"/>
  <c r="R85" i="73"/>
  <c r="Q85" i="73"/>
  <c r="O85" i="73"/>
  <c r="U85" i="73" s="1"/>
  <c r="I85" i="73"/>
  <c r="F85" i="73"/>
  <c r="C85" i="73"/>
  <c r="H85" i="73" s="1"/>
  <c r="N85" i="73" s="1"/>
  <c r="B85" i="73"/>
  <c r="G85" i="73" s="1"/>
  <c r="R84" i="73"/>
  <c r="Q84" i="73"/>
  <c r="O84" i="73"/>
  <c r="U84" i="73" s="1"/>
  <c r="I84" i="73"/>
  <c r="F84" i="73"/>
  <c r="C84" i="73"/>
  <c r="H84" i="73" s="1"/>
  <c r="N84" i="73" s="1"/>
  <c r="B84" i="73"/>
  <c r="G84" i="73" s="1"/>
  <c r="R83" i="73"/>
  <c r="Q83" i="73"/>
  <c r="O83" i="73"/>
  <c r="U83" i="73" s="1"/>
  <c r="I83" i="73"/>
  <c r="F83" i="73"/>
  <c r="C83" i="73"/>
  <c r="H83" i="73" s="1"/>
  <c r="N83" i="73" s="1"/>
  <c r="B83" i="73"/>
  <c r="G83" i="73" s="1"/>
  <c r="R82" i="73"/>
  <c r="Q82" i="73"/>
  <c r="O82" i="73"/>
  <c r="I82" i="73"/>
  <c r="F82" i="73"/>
  <c r="C82" i="73"/>
  <c r="H82" i="73" s="1"/>
  <c r="N82" i="73" s="1"/>
  <c r="B82" i="73"/>
  <c r="G82" i="73" s="1"/>
  <c r="R81" i="73"/>
  <c r="Q81" i="73"/>
  <c r="O81" i="73"/>
  <c r="U81" i="73" s="1"/>
  <c r="I81" i="73"/>
  <c r="F81" i="73"/>
  <c r="C81" i="73"/>
  <c r="H81" i="73" s="1"/>
  <c r="N81" i="73" s="1"/>
  <c r="B81" i="73"/>
  <c r="G81" i="73" s="1"/>
  <c r="R80" i="73"/>
  <c r="Q80" i="73"/>
  <c r="O80" i="73"/>
  <c r="U80" i="73" s="1"/>
  <c r="I80" i="73"/>
  <c r="F80" i="73"/>
  <c r="C80" i="73"/>
  <c r="H80" i="73" s="1"/>
  <c r="N80" i="73" s="1"/>
  <c r="B80" i="73"/>
  <c r="G80" i="73" s="1"/>
  <c r="R79" i="73"/>
  <c r="Q79" i="73"/>
  <c r="O79" i="73"/>
  <c r="U79" i="73" s="1"/>
  <c r="I79" i="73"/>
  <c r="F79" i="73"/>
  <c r="C79" i="73"/>
  <c r="H79" i="73" s="1"/>
  <c r="N79" i="73" s="1"/>
  <c r="B79" i="73"/>
  <c r="G79" i="73" s="1"/>
  <c r="R78" i="73"/>
  <c r="Q78" i="73"/>
  <c r="O78" i="73"/>
  <c r="I78" i="73"/>
  <c r="F78" i="73"/>
  <c r="C78" i="73"/>
  <c r="H78" i="73" s="1"/>
  <c r="N78" i="73" s="1"/>
  <c r="B78" i="73"/>
  <c r="G78" i="73" s="1"/>
  <c r="R77" i="73"/>
  <c r="Q77" i="73"/>
  <c r="O77" i="73"/>
  <c r="U77" i="73" s="1"/>
  <c r="I77" i="73"/>
  <c r="G77" i="73"/>
  <c r="F77" i="73"/>
  <c r="C77" i="73"/>
  <c r="H77" i="73" s="1"/>
  <c r="N77" i="73" s="1"/>
  <c r="B77" i="73"/>
  <c r="R76" i="73"/>
  <c r="Q76" i="73"/>
  <c r="O76" i="73"/>
  <c r="U76" i="73" s="1"/>
  <c r="I76" i="73"/>
  <c r="F76" i="73"/>
  <c r="C76" i="73"/>
  <c r="H76" i="73" s="1"/>
  <c r="N76" i="73" s="1"/>
  <c r="B76" i="73"/>
  <c r="G76" i="73" s="1"/>
  <c r="R75" i="73"/>
  <c r="Q75" i="73"/>
  <c r="O75" i="73"/>
  <c r="U75" i="73" s="1"/>
  <c r="I75" i="73"/>
  <c r="F75" i="73"/>
  <c r="C75" i="73"/>
  <c r="H75" i="73" s="1"/>
  <c r="N75" i="73" s="1"/>
  <c r="B75" i="73"/>
  <c r="G75" i="73" s="1"/>
  <c r="R74" i="73"/>
  <c r="Q74" i="73"/>
  <c r="O74" i="73"/>
  <c r="I74" i="73"/>
  <c r="F74" i="73"/>
  <c r="C74" i="73"/>
  <c r="H74" i="73" s="1"/>
  <c r="N74" i="73" s="1"/>
  <c r="B74" i="73"/>
  <c r="G74" i="73" s="1"/>
  <c r="R73" i="73"/>
  <c r="Q73" i="73"/>
  <c r="O73" i="73"/>
  <c r="U73" i="73" s="1"/>
  <c r="I73" i="73"/>
  <c r="F73" i="73"/>
  <c r="C73" i="73"/>
  <c r="H73" i="73" s="1"/>
  <c r="N73" i="73" s="1"/>
  <c r="B73" i="73"/>
  <c r="G73" i="73" s="1"/>
  <c r="R72" i="73"/>
  <c r="Q72" i="73"/>
  <c r="O72" i="73"/>
  <c r="U72" i="73" s="1"/>
  <c r="I72" i="73"/>
  <c r="F72" i="73"/>
  <c r="C72" i="73"/>
  <c r="H72" i="73" s="1"/>
  <c r="N72" i="73" s="1"/>
  <c r="B72" i="73"/>
  <c r="G72" i="73" s="1"/>
  <c r="R71" i="73"/>
  <c r="Q71" i="73"/>
  <c r="O71" i="73"/>
  <c r="U71" i="73" s="1"/>
  <c r="I71" i="73"/>
  <c r="G71" i="73"/>
  <c r="F71" i="73"/>
  <c r="C71" i="73"/>
  <c r="H71" i="73" s="1"/>
  <c r="N71" i="73" s="1"/>
  <c r="B71" i="73"/>
  <c r="R70" i="73"/>
  <c r="Q70" i="73"/>
  <c r="O70" i="73"/>
  <c r="I70" i="73"/>
  <c r="F70" i="73"/>
  <c r="C70" i="73"/>
  <c r="H70" i="73" s="1"/>
  <c r="N70" i="73" s="1"/>
  <c r="B70" i="73"/>
  <c r="G70" i="73" s="1"/>
  <c r="R69" i="73"/>
  <c r="Q69" i="73"/>
  <c r="O69" i="73"/>
  <c r="I69" i="73"/>
  <c r="F69" i="73"/>
  <c r="C69" i="73"/>
  <c r="H69" i="73" s="1"/>
  <c r="N69" i="73" s="1"/>
  <c r="B69" i="73"/>
  <c r="G69" i="73" s="1"/>
  <c r="R68" i="73"/>
  <c r="Q68" i="73"/>
  <c r="O68" i="73"/>
  <c r="U68" i="73" s="1"/>
  <c r="I68" i="73"/>
  <c r="F68" i="73"/>
  <c r="C68" i="73"/>
  <c r="H68" i="73" s="1"/>
  <c r="N68" i="73" s="1"/>
  <c r="B68" i="73"/>
  <c r="G68" i="73" s="1"/>
  <c r="R67" i="73"/>
  <c r="Q67" i="73"/>
  <c r="O67" i="73"/>
  <c r="U67" i="73" s="1"/>
  <c r="I67" i="73"/>
  <c r="F67" i="73"/>
  <c r="C67" i="73"/>
  <c r="H67" i="73" s="1"/>
  <c r="N67" i="73" s="1"/>
  <c r="B67" i="73"/>
  <c r="G67" i="73" s="1"/>
  <c r="R66" i="73"/>
  <c r="Q66" i="73"/>
  <c r="O66" i="73"/>
  <c r="I66" i="73"/>
  <c r="F66" i="73"/>
  <c r="C66" i="73"/>
  <c r="H66" i="73" s="1"/>
  <c r="N66" i="73" s="1"/>
  <c r="B66" i="73"/>
  <c r="G66" i="73" s="1"/>
  <c r="R65" i="73"/>
  <c r="Q65" i="73"/>
  <c r="O65" i="73"/>
  <c r="I65" i="73"/>
  <c r="F65" i="73"/>
  <c r="C65" i="73"/>
  <c r="H65" i="73" s="1"/>
  <c r="N65" i="73" s="1"/>
  <c r="B65" i="73"/>
  <c r="G65" i="73" s="1"/>
  <c r="R64" i="73"/>
  <c r="Q64" i="73"/>
  <c r="O64" i="73"/>
  <c r="U64" i="73" s="1"/>
  <c r="I64" i="73"/>
  <c r="F64" i="73"/>
  <c r="C64" i="73"/>
  <c r="H64" i="73" s="1"/>
  <c r="N64" i="73" s="1"/>
  <c r="B64" i="73"/>
  <c r="G64" i="73" s="1"/>
  <c r="R63" i="73"/>
  <c r="Q63" i="73"/>
  <c r="O63" i="73"/>
  <c r="U63" i="73" s="1"/>
  <c r="I63" i="73"/>
  <c r="G63" i="73"/>
  <c r="F63" i="73"/>
  <c r="C63" i="73"/>
  <c r="H63" i="73" s="1"/>
  <c r="N63" i="73" s="1"/>
  <c r="B63" i="73"/>
  <c r="R62" i="73"/>
  <c r="Q62" i="73"/>
  <c r="O62" i="73"/>
  <c r="I62" i="73"/>
  <c r="F62" i="73"/>
  <c r="C62" i="73"/>
  <c r="H62" i="73" s="1"/>
  <c r="N62" i="73" s="1"/>
  <c r="B62" i="73"/>
  <c r="G62" i="73" s="1"/>
  <c r="R61" i="73"/>
  <c r="Q61" i="73"/>
  <c r="O61" i="73"/>
  <c r="I61" i="73"/>
  <c r="F61" i="73"/>
  <c r="C61" i="73"/>
  <c r="H61" i="73" s="1"/>
  <c r="N61" i="73" s="1"/>
  <c r="B61" i="73"/>
  <c r="G61" i="73" s="1"/>
  <c r="R60" i="73"/>
  <c r="Q60" i="73"/>
  <c r="O60" i="73"/>
  <c r="U60" i="73" s="1"/>
  <c r="I60" i="73"/>
  <c r="F60" i="73"/>
  <c r="C60" i="73"/>
  <c r="H60" i="73" s="1"/>
  <c r="N60" i="73" s="1"/>
  <c r="B60" i="73"/>
  <c r="G60" i="73" s="1"/>
  <c r="R59" i="73"/>
  <c r="Q59" i="73"/>
  <c r="O59" i="73"/>
  <c r="U59" i="73" s="1"/>
  <c r="I59" i="73"/>
  <c r="F59" i="73"/>
  <c r="C59" i="73"/>
  <c r="H59" i="73" s="1"/>
  <c r="N59" i="73" s="1"/>
  <c r="B59" i="73"/>
  <c r="G59" i="73" s="1"/>
  <c r="R58" i="73"/>
  <c r="Q58" i="73"/>
  <c r="O58" i="73"/>
  <c r="I58" i="73"/>
  <c r="F58" i="73"/>
  <c r="C58" i="73"/>
  <c r="H58" i="73" s="1"/>
  <c r="N58" i="73" s="1"/>
  <c r="B58" i="73"/>
  <c r="G58" i="73" s="1"/>
  <c r="R57" i="73"/>
  <c r="Q57" i="73"/>
  <c r="O57" i="73"/>
  <c r="I57" i="73"/>
  <c r="F57" i="73"/>
  <c r="C57" i="73"/>
  <c r="H57" i="73" s="1"/>
  <c r="N57" i="73" s="1"/>
  <c r="B57" i="73"/>
  <c r="G57" i="73" s="1"/>
  <c r="R56" i="73"/>
  <c r="Q56" i="73"/>
  <c r="O56" i="73"/>
  <c r="U56" i="73" s="1"/>
  <c r="I56" i="73"/>
  <c r="F56" i="73"/>
  <c r="C56" i="73"/>
  <c r="H56" i="73" s="1"/>
  <c r="N56" i="73" s="1"/>
  <c r="B56" i="73"/>
  <c r="G56" i="73" s="1"/>
  <c r="R55" i="73"/>
  <c r="Q55" i="73"/>
  <c r="O55" i="73"/>
  <c r="U55" i="73" s="1"/>
  <c r="I55" i="73"/>
  <c r="F55" i="73"/>
  <c r="C55" i="73"/>
  <c r="H55" i="73" s="1"/>
  <c r="N55" i="73" s="1"/>
  <c r="B55" i="73"/>
  <c r="G55" i="73" s="1"/>
  <c r="R54" i="73"/>
  <c r="Q54" i="73"/>
  <c r="O54" i="73"/>
  <c r="I54" i="73"/>
  <c r="F54" i="73"/>
  <c r="C54" i="73"/>
  <c r="H54" i="73" s="1"/>
  <c r="N54" i="73" s="1"/>
  <c r="B54" i="73"/>
  <c r="G54" i="73" s="1"/>
  <c r="R53" i="73"/>
  <c r="Q53" i="73"/>
  <c r="O53" i="73"/>
  <c r="I53" i="73"/>
  <c r="F53" i="73"/>
  <c r="C53" i="73"/>
  <c r="H53" i="73" s="1"/>
  <c r="N53" i="73" s="1"/>
  <c r="B53" i="73"/>
  <c r="G53" i="73" s="1"/>
  <c r="R52" i="73"/>
  <c r="Q52" i="73"/>
  <c r="O52" i="73"/>
  <c r="U52" i="73" s="1"/>
  <c r="I52" i="73"/>
  <c r="F52" i="73"/>
  <c r="C52" i="73"/>
  <c r="H52" i="73" s="1"/>
  <c r="N52" i="73" s="1"/>
  <c r="B52" i="73"/>
  <c r="G52" i="73" s="1"/>
  <c r="R51" i="73"/>
  <c r="Q51" i="73"/>
  <c r="O51" i="73"/>
  <c r="U51" i="73" s="1"/>
  <c r="I51" i="73"/>
  <c r="F51" i="73"/>
  <c r="C51" i="73"/>
  <c r="H51" i="73" s="1"/>
  <c r="N51" i="73" s="1"/>
  <c r="B51" i="73"/>
  <c r="G51" i="73" s="1"/>
  <c r="R50" i="73"/>
  <c r="Q50" i="73"/>
  <c r="O50" i="73"/>
  <c r="I50" i="73"/>
  <c r="F50" i="73"/>
  <c r="C50" i="73"/>
  <c r="H50" i="73" s="1"/>
  <c r="N50" i="73" s="1"/>
  <c r="B50" i="73"/>
  <c r="G50" i="73" s="1"/>
  <c r="R49" i="73"/>
  <c r="Q49" i="73"/>
  <c r="O49" i="73"/>
  <c r="I49" i="73"/>
  <c r="F49" i="73"/>
  <c r="C49" i="73"/>
  <c r="H49" i="73" s="1"/>
  <c r="N49" i="73" s="1"/>
  <c r="B49" i="73"/>
  <c r="G49" i="73" s="1"/>
  <c r="R48" i="73"/>
  <c r="Q48" i="73"/>
  <c r="O48" i="73"/>
  <c r="U48" i="73" s="1"/>
  <c r="I48" i="73"/>
  <c r="F48" i="73"/>
  <c r="C48" i="73"/>
  <c r="H48" i="73" s="1"/>
  <c r="N48" i="73" s="1"/>
  <c r="B48" i="73"/>
  <c r="G48" i="73" s="1"/>
  <c r="R47" i="73"/>
  <c r="Q47" i="73"/>
  <c r="O47" i="73"/>
  <c r="U47" i="73" s="1"/>
  <c r="I47" i="73"/>
  <c r="F47" i="73"/>
  <c r="C47" i="73"/>
  <c r="H47" i="73" s="1"/>
  <c r="N47" i="73" s="1"/>
  <c r="B47" i="73"/>
  <c r="G47" i="73" s="1"/>
  <c r="R46" i="73"/>
  <c r="Q46" i="73"/>
  <c r="O46" i="73"/>
  <c r="I46" i="73"/>
  <c r="F46" i="73"/>
  <c r="C46" i="73"/>
  <c r="H46" i="73" s="1"/>
  <c r="N46" i="73" s="1"/>
  <c r="B46" i="73"/>
  <c r="G46" i="73" s="1"/>
  <c r="R45" i="73"/>
  <c r="Q45" i="73"/>
  <c r="O45" i="73"/>
  <c r="I45" i="73"/>
  <c r="F45" i="73"/>
  <c r="C45" i="73"/>
  <c r="H45" i="73" s="1"/>
  <c r="N45" i="73" s="1"/>
  <c r="B45" i="73"/>
  <c r="G45" i="73" s="1"/>
  <c r="R44" i="73"/>
  <c r="Q44" i="73"/>
  <c r="O44" i="73"/>
  <c r="U44" i="73" s="1"/>
  <c r="I44" i="73"/>
  <c r="F44" i="73"/>
  <c r="C44" i="73"/>
  <c r="H44" i="73" s="1"/>
  <c r="N44" i="73" s="1"/>
  <c r="B44" i="73"/>
  <c r="G44" i="73" s="1"/>
  <c r="R43" i="73"/>
  <c r="Q43" i="73"/>
  <c r="O43" i="73"/>
  <c r="U43" i="73" s="1"/>
  <c r="I43" i="73"/>
  <c r="F43" i="73"/>
  <c r="C43" i="73"/>
  <c r="H43" i="73" s="1"/>
  <c r="N43" i="73" s="1"/>
  <c r="B43" i="73"/>
  <c r="G43" i="73" s="1"/>
  <c r="R42" i="73"/>
  <c r="Q42" i="73"/>
  <c r="O42" i="73"/>
  <c r="I42" i="73"/>
  <c r="F42" i="73"/>
  <c r="C42" i="73"/>
  <c r="H42" i="73" s="1"/>
  <c r="N42" i="73" s="1"/>
  <c r="B42" i="73"/>
  <c r="G42" i="73" s="1"/>
  <c r="R41" i="73"/>
  <c r="Q41" i="73"/>
  <c r="O41" i="73"/>
  <c r="I41" i="73"/>
  <c r="F41" i="73"/>
  <c r="C41" i="73"/>
  <c r="H41" i="73" s="1"/>
  <c r="N41" i="73" s="1"/>
  <c r="B41" i="73"/>
  <c r="G41" i="73" s="1"/>
  <c r="R40" i="73"/>
  <c r="Q40" i="73"/>
  <c r="O40" i="73"/>
  <c r="U40" i="73" s="1"/>
  <c r="I40" i="73"/>
  <c r="F40" i="73"/>
  <c r="C40" i="73"/>
  <c r="H40" i="73" s="1"/>
  <c r="N40" i="73" s="1"/>
  <c r="B40" i="73"/>
  <c r="G40" i="73" s="1"/>
  <c r="R39" i="73"/>
  <c r="Q39" i="73"/>
  <c r="O39" i="73"/>
  <c r="U39" i="73" s="1"/>
  <c r="I39" i="73"/>
  <c r="F39" i="73"/>
  <c r="C39" i="73"/>
  <c r="H39" i="73" s="1"/>
  <c r="N39" i="73" s="1"/>
  <c r="B39" i="73"/>
  <c r="G39" i="73" s="1"/>
  <c r="R38" i="73"/>
  <c r="Q38" i="73"/>
  <c r="O38" i="73"/>
  <c r="I38" i="73"/>
  <c r="F38" i="73"/>
  <c r="C38" i="73"/>
  <c r="H38" i="73" s="1"/>
  <c r="N38" i="73" s="1"/>
  <c r="B38" i="73"/>
  <c r="G38" i="73" s="1"/>
  <c r="R37" i="73"/>
  <c r="Q37" i="73"/>
  <c r="O37" i="73"/>
  <c r="I37" i="73"/>
  <c r="F37" i="73"/>
  <c r="C37" i="73"/>
  <c r="H37" i="73" s="1"/>
  <c r="N37" i="73" s="1"/>
  <c r="B37" i="73"/>
  <c r="G37" i="73" s="1"/>
  <c r="R36" i="73"/>
  <c r="Q36" i="73"/>
  <c r="O36" i="73"/>
  <c r="U36" i="73" s="1"/>
  <c r="I36" i="73"/>
  <c r="F36" i="73"/>
  <c r="C36" i="73"/>
  <c r="H36" i="73" s="1"/>
  <c r="N36" i="73" s="1"/>
  <c r="B36" i="73"/>
  <c r="G36" i="73" s="1"/>
  <c r="R35" i="73"/>
  <c r="Q35" i="73"/>
  <c r="O35" i="73"/>
  <c r="U35" i="73" s="1"/>
  <c r="I35" i="73"/>
  <c r="F35" i="73"/>
  <c r="C35" i="73"/>
  <c r="H35" i="73" s="1"/>
  <c r="N35" i="73" s="1"/>
  <c r="B35" i="73"/>
  <c r="G35" i="73" s="1"/>
  <c r="R34" i="73"/>
  <c r="Q34" i="73"/>
  <c r="O34" i="73"/>
  <c r="I34" i="73"/>
  <c r="F34" i="73"/>
  <c r="C34" i="73"/>
  <c r="H34" i="73" s="1"/>
  <c r="N34" i="73" s="1"/>
  <c r="B34" i="73"/>
  <c r="G34" i="73" s="1"/>
  <c r="R33" i="73"/>
  <c r="Q33" i="73"/>
  <c r="O33" i="73"/>
  <c r="I33" i="73"/>
  <c r="F33" i="73"/>
  <c r="C33" i="73"/>
  <c r="H33" i="73" s="1"/>
  <c r="N33" i="73" s="1"/>
  <c r="B33" i="73"/>
  <c r="G33" i="73" s="1"/>
  <c r="R32" i="73"/>
  <c r="Q32" i="73"/>
  <c r="O32" i="73"/>
  <c r="U32" i="73" s="1"/>
  <c r="I32" i="73"/>
  <c r="F32" i="73"/>
  <c r="C32" i="73"/>
  <c r="H32" i="73" s="1"/>
  <c r="N32" i="73" s="1"/>
  <c r="B32" i="73"/>
  <c r="G32" i="73" s="1"/>
  <c r="R31" i="73"/>
  <c r="Q31" i="73"/>
  <c r="O31" i="73"/>
  <c r="U31" i="73" s="1"/>
  <c r="I31" i="73"/>
  <c r="F31" i="73"/>
  <c r="C31" i="73"/>
  <c r="H31" i="73" s="1"/>
  <c r="N31" i="73" s="1"/>
  <c r="B31" i="73"/>
  <c r="G31" i="73" s="1"/>
  <c r="R30" i="73"/>
  <c r="Q30" i="73"/>
  <c r="O30" i="73"/>
  <c r="I30" i="73"/>
  <c r="F30" i="73"/>
  <c r="C30" i="73"/>
  <c r="H30" i="73" s="1"/>
  <c r="N30" i="73" s="1"/>
  <c r="B30" i="73"/>
  <c r="G30" i="73" s="1"/>
  <c r="R29" i="73"/>
  <c r="Q29" i="73"/>
  <c r="O29" i="73"/>
  <c r="I29" i="73"/>
  <c r="F29" i="73"/>
  <c r="C29" i="73"/>
  <c r="H29" i="73" s="1"/>
  <c r="N29" i="73" s="1"/>
  <c r="B29" i="73"/>
  <c r="G29" i="73" s="1"/>
  <c r="R28" i="73"/>
  <c r="Q28" i="73"/>
  <c r="O28" i="73"/>
  <c r="U28" i="73" s="1"/>
  <c r="I28" i="73"/>
  <c r="F28" i="73"/>
  <c r="C28" i="73"/>
  <c r="H28" i="73" s="1"/>
  <c r="N28" i="73" s="1"/>
  <c r="B28" i="73"/>
  <c r="G28" i="73" s="1"/>
  <c r="R27" i="73"/>
  <c r="Q27" i="73"/>
  <c r="O27" i="73"/>
  <c r="U27" i="73" s="1"/>
  <c r="I27" i="73"/>
  <c r="F27" i="73"/>
  <c r="C27" i="73"/>
  <c r="H27" i="73" s="1"/>
  <c r="N27" i="73" s="1"/>
  <c r="B27" i="73"/>
  <c r="G27" i="73" s="1"/>
  <c r="R26" i="73"/>
  <c r="Q26" i="73"/>
  <c r="O26" i="73"/>
  <c r="I26" i="73"/>
  <c r="F26" i="73"/>
  <c r="C26" i="73"/>
  <c r="H26" i="73" s="1"/>
  <c r="N26" i="73" s="1"/>
  <c r="B26" i="73"/>
  <c r="G26" i="73" s="1"/>
  <c r="R25" i="73"/>
  <c r="Q25" i="73"/>
  <c r="O25" i="73"/>
  <c r="I25" i="73"/>
  <c r="F25" i="73"/>
  <c r="C25" i="73"/>
  <c r="H25" i="73" s="1"/>
  <c r="N25" i="73" s="1"/>
  <c r="B25" i="73"/>
  <c r="G25" i="73" s="1"/>
  <c r="R24" i="73"/>
  <c r="Q24" i="73"/>
  <c r="O24" i="73"/>
  <c r="U24" i="73" s="1"/>
  <c r="I24" i="73"/>
  <c r="F24" i="73"/>
  <c r="C24" i="73"/>
  <c r="H24" i="73" s="1"/>
  <c r="N24" i="73" s="1"/>
  <c r="B24" i="73"/>
  <c r="G24" i="73" s="1"/>
  <c r="R23" i="73"/>
  <c r="Q23" i="73"/>
  <c r="O23" i="73"/>
  <c r="U23" i="73" s="1"/>
  <c r="I23" i="73"/>
  <c r="F23" i="73"/>
  <c r="C23" i="73"/>
  <c r="H23" i="73" s="1"/>
  <c r="N23" i="73" s="1"/>
  <c r="B23" i="73"/>
  <c r="G23" i="73" s="1"/>
  <c r="R22" i="73"/>
  <c r="Q22" i="73"/>
  <c r="O22" i="73"/>
  <c r="I22" i="73"/>
  <c r="F22" i="73"/>
  <c r="C22" i="73"/>
  <c r="H22" i="73" s="1"/>
  <c r="N22" i="73" s="1"/>
  <c r="B22" i="73"/>
  <c r="G22" i="73" s="1"/>
  <c r="R21" i="73"/>
  <c r="Q21" i="73"/>
  <c r="O21" i="73"/>
  <c r="I21" i="73"/>
  <c r="F21" i="73"/>
  <c r="C21" i="73"/>
  <c r="H21" i="73" s="1"/>
  <c r="N21" i="73" s="1"/>
  <c r="B21" i="73"/>
  <c r="G21" i="73" s="1"/>
  <c r="R20" i="73"/>
  <c r="Q20" i="73"/>
  <c r="O20" i="73"/>
  <c r="U20" i="73" s="1"/>
  <c r="I20" i="73"/>
  <c r="F20" i="73"/>
  <c r="C20" i="73"/>
  <c r="H20" i="73" s="1"/>
  <c r="N20" i="73" s="1"/>
  <c r="B20" i="73"/>
  <c r="G20" i="73" s="1"/>
  <c r="R19" i="73"/>
  <c r="Q19" i="73"/>
  <c r="O19" i="73"/>
  <c r="U19" i="73" s="1"/>
  <c r="I19" i="73"/>
  <c r="F19" i="73"/>
  <c r="C19" i="73"/>
  <c r="H19" i="73" s="1"/>
  <c r="N19" i="73" s="1"/>
  <c r="B19" i="73"/>
  <c r="G19" i="73" s="1"/>
  <c r="R18" i="73"/>
  <c r="Q18" i="73"/>
  <c r="O18" i="73"/>
  <c r="I18" i="73"/>
  <c r="H18" i="73"/>
  <c r="N18" i="73" s="1"/>
  <c r="F18" i="73"/>
  <c r="C18" i="73"/>
  <c r="B18" i="73"/>
  <c r="G18" i="73" s="1"/>
  <c r="R17" i="73"/>
  <c r="Q17" i="73"/>
  <c r="O17" i="73"/>
  <c r="U17" i="73" s="1"/>
  <c r="I17" i="73"/>
  <c r="H17" i="73"/>
  <c r="N17" i="73" s="1"/>
  <c r="F17" i="73"/>
  <c r="C17" i="73"/>
  <c r="B17" i="73"/>
  <c r="G17" i="73" s="1"/>
  <c r="R16" i="73"/>
  <c r="Q16" i="73"/>
  <c r="O16" i="73"/>
  <c r="U16" i="73" s="1"/>
  <c r="I16" i="73"/>
  <c r="H16" i="73"/>
  <c r="N16" i="73" s="1"/>
  <c r="F16" i="73"/>
  <c r="C16" i="73"/>
  <c r="B16" i="73"/>
  <c r="G16" i="73" s="1"/>
  <c r="R15" i="73"/>
  <c r="Q15" i="73"/>
  <c r="O15" i="73"/>
  <c r="U15" i="73" s="1"/>
  <c r="I15" i="73"/>
  <c r="H15" i="73"/>
  <c r="N15" i="73" s="1"/>
  <c r="F15" i="73"/>
  <c r="C15" i="73"/>
  <c r="B15" i="73"/>
  <c r="G15" i="73" s="1"/>
  <c r="R14" i="73"/>
  <c r="Q14" i="73"/>
  <c r="O14" i="73"/>
  <c r="I14" i="73"/>
  <c r="H14" i="73"/>
  <c r="N14" i="73" s="1"/>
  <c r="F14" i="73"/>
  <c r="C14" i="73"/>
  <c r="B14" i="73"/>
  <c r="G14" i="73" s="1"/>
  <c r="R13" i="73"/>
  <c r="Q13" i="73"/>
  <c r="O13" i="73"/>
  <c r="U13" i="73" s="1"/>
  <c r="I13" i="73"/>
  <c r="H13" i="73"/>
  <c r="N13" i="73" s="1"/>
  <c r="F13" i="73"/>
  <c r="C13" i="73"/>
  <c r="B13" i="73"/>
  <c r="G13" i="73" s="1"/>
  <c r="R12" i="73"/>
  <c r="Q12" i="73"/>
  <c r="O12" i="73"/>
  <c r="U12" i="73" s="1"/>
  <c r="I12" i="73"/>
  <c r="H12" i="73"/>
  <c r="N12" i="73" s="1"/>
  <c r="F12" i="73"/>
  <c r="C12" i="73"/>
  <c r="B12" i="73"/>
  <c r="G12" i="73" s="1"/>
  <c r="R11" i="73"/>
  <c r="Q11" i="73"/>
  <c r="O11" i="73"/>
  <c r="U11" i="73" s="1"/>
  <c r="I11" i="73"/>
  <c r="H11" i="73"/>
  <c r="N11" i="73" s="1"/>
  <c r="F11" i="73"/>
  <c r="C11" i="73"/>
  <c r="B11" i="73"/>
  <c r="G11" i="73" s="1"/>
  <c r="R10" i="73"/>
  <c r="Q10" i="73"/>
  <c r="O10" i="73"/>
  <c r="I10" i="73"/>
  <c r="H10" i="73"/>
  <c r="N10" i="73" s="1"/>
  <c r="F10" i="73"/>
  <c r="C10" i="73"/>
  <c r="B10" i="73"/>
  <c r="G10" i="73" s="1"/>
  <c r="R9" i="73"/>
  <c r="Q9" i="73"/>
  <c r="O9" i="73"/>
  <c r="U9" i="73" s="1"/>
  <c r="I9" i="73"/>
  <c r="H9" i="73"/>
  <c r="N9" i="73" s="1"/>
  <c r="F9" i="73"/>
  <c r="C9" i="73"/>
  <c r="B9" i="73"/>
  <c r="G9" i="73" s="1"/>
  <c r="R8" i="73"/>
  <c r="Q8" i="73"/>
  <c r="O8" i="73"/>
  <c r="U8" i="73" s="1"/>
  <c r="I8" i="73"/>
  <c r="H8" i="73"/>
  <c r="N8" i="73" s="1"/>
  <c r="F8" i="73"/>
  <c r="C8" i="73"/>
  <c r="B8" i="73"/>
  <c r="G8" i="73" s="1"/>
  <c r="R7" i="73"/>
  <c r="Q7" i="73"/>
  <c r="O7" i="73"/>
  <c r="U7" i="73" s="1"/>
  <c r="I7" i="73"/>
  <c r="H7" i="73"/>
  <c r="N7" i="73" s="1"/>
  <c r="F7" i="73"/>
  <c r="C7" i="73"/>
  <c r="B7" i="73"/>
  <c r="G7" i="73" s="1"/>
  <c r="R6" i="73"/>
  <c r="Q6" i="73"/>
  <c r="O6" i="73"/>
  <c r="I6" i="73"/>
  <c r="H6" i="73"/>
  <c r="N6" i="73" s="1"/>
  <c r="F6" i="73"/>
  <c r="C6" i="73"/>
  <c r="B6" i="73"/>
  <c r="G6" i="73" s="1"/>
  <c r="R5" i="73"/>
  <c r="Q5" i="73"/>
  <c r="O5" i="73"/>
  <c r="U5" i="73" s="1"/>
  <c r="I5" i="73"/>
  <c r="H5" i="73"/>
  <c r="N5" i="73" s="1"/>
  <c r="F5" i="73"/>
  <c r="C5" i="73"/>
  <c r="B5" i="73"/>
  <c r="G5" i="73" s="1"/>
  <c r="R4" i="73"/>
  <c r="Q4" i="73"/>
  <c r="O4" i="73"/>
  <c r="U4" i="73" s="1"/>
  <c r="I4" i="73"/>
  <c r="F4" i="73"/>
  <c r="C4" i="73"/>
  <c r="H4" i="73" s="1"/>
  <c r="N4" i="73" s="1"/>
  <c r="B4" i="73"/>
  <c r="G4" i="73" s="1"/>
  <c r="R3" i="73"/>
  <c r="Q3" i="73"/>
  <c r="O3" i="73"/>
  <c r="U3" i="73" s="1"/>
  <c r="I3" i="73"/>
  <c r="F3" i="73"/>
  <c r="C3" i="73"/>
  <c r="H3" i="73" s="1"/>
  <c r="N3" i="73" s="1"/>
  <c r="B3" i="73"/>
  <c r="G3" i="73" s="1"/>
  <c r="R103" i="72"/>
  <c r="Q103" i="72"/>
  <c r="O103" i="72"/>
  <c r="I103" i="72"/>
  <c r="F103" i="72"/>
  <c r="C103" i="72"/>
  <c r="H103" i="72" s="1"/>
  <c r="N103" i="72" s="1"/>
  <c r="B103" i="72"/>
  <c r="G103" i="72" s="1"/>
  <c r="R102" i="72"/>
  <c r="Q102" i="72"/>
  <c r="O102" i="72"/>
  <c r="U102" i="72" s="1"/>
  <c r="I102" i="72"/>
  <c r="F102" i="72"/>
  <c r="C102" i="72"/>
  <c r="H102" i="72" s="1"/>
  <c r="N102" i="72" s="1"/>
  <c r="B102" i="72"/>
  <c r="G102" i="72" s="1"/>
  <c r="R101" i="72"/>
  <c r="Q101" i="72"/>
  <c r="O101" i="72"/>
  <c r="U101" i="72" s="1"/>
  <c r="I101" i="72"/>
  <c r="F101" i="72"/>
  <c r="C101" i="72"/>
  <c r="H101" i="72" s="1"/>
  <c r="N101" i="72" s="1"/>
  <c r="B101" i="72"/>
  <c r="G101" i="72" s="1"/>
  <c r="R100" i="72"/>
  <c r="Q100" i="72"/>
  <c r="O100" i="72"/>
  <c r="U100" i="72" s="1"/>
  <c r="I100" i="72"/>
  <c r="F100" i="72"/>
  <c r="C100" i="72"/>
  <c r="H100" i="72" s="1"/>
  <c r="N100" i="72" s="1"/>
  <c r="B100" i="72"/>
  <c r="G100" i="72" s="1"/>
  <c r="R99" i="72"/>
  <c r="Q99" i="72"/>
  <c r="O99" i="72"/>
  <c r="I99" i="72"/>
  <c r="F99" i="72"/>
  <c r="C99" i="72"/>
  <c r="H99" i="72" s="1"/>
  <c r="N99" i="72" s="1"/>
  <c r="B99" i="72"/>
  <c r="G99" i="72" s="1"/>
  <c r="R98" i="72"/>
  <c r="Q98" i="72"/>
  <c r="O98" i="72"/>
  <c r="U98" i="72" s="1"/>
  <c r="I98" i="72"/>
  <c r="F98" i="72"/>
  <c r="C98" i="72"/>
  <c r="H98" i="72" s="1"/>
  <c r="N98" i="72" s="1"/>
  <c r="B98" i="72"/>
  <c r="G98" i="72" s="1"/>
  <c r="R97" i="72"/>
  <c r="Q97" i="72"/>
  <c r="O97" i="72"/>
  <c r="U97" i="72" s="1"/>
  <c r="I97" i="72"/>
  <c r="F97" i="72"/>
  <c r="C97" i="72"/>
  <c r="H97" i="72" s="1"/>
  <c r="N97" i="72" s="1"/>
  <c r="B97" i="72"/>
  <c r="G97" i="72" s="1"/>
  <c r="R96" i="72"/>
  <c r="Q96" i="72"/>
  <c r="O96" i="72"/>
  <c r="U96" i="72" s="1"/>
  <c r="I96" i="72"/>
  <c r="F96" i="72"/>
  <c r="C96" i="72"/>
  <c r="H96" i="72" s="1"/>
  <c r="N96" i="72" s="1"/>
  <c r="B96" i="72"/>
  <c r="G96" i="72" s="1"/>
  <c r="R95" i="72"/>
  <c r="Q95" i="72"/>
  <c r="O95" i="72"/>
  <c r="I95" i="72"/>
  <c r="G95" i="72"/>
  <c r="F95" i="72"/>
  <c r="C95" i="72"/>
  <c r="H95" i="72" s="1"/>
  <c r="N95" i="72" s="1"/>
  <c r="B95" i="72"/>
  <c r="R94" i="72"/>
  <c r="Q94" i="72"/>
  <c r="O94" i="72"/>
  <c r="U94" i="72" s="1"/>
  <c r="I94" i="72"/>
  <c r="F94" i="72"/>
  <c r="C94" i="72"/>
  <c r="H94" i="72" s="1"/>
  <c r="N94" i="72" s="1"/>
  <c r="B94" i="72"/>
  <c r="G94" i="72" s="1"/>
  <c r="R93" i="72"/>
  <c r="Q93" i="72"/>
  <c r="O93" i="72"/>
  <c r="U93" i="72" s="1"/>
  <c r="I93" i="72"/>
  <c r="F93" i="72"/>
  <c r="C93" i="72"/>
  <c r="H93" i="72" s="1"/>
  <c r="N93" i="72" s="1"/>
  <c r="B93" i="72"/>
  <c r="G93" i="72" s="1"/>
  <c r="R92" i="72"/>
  <c r="Q92" i="72"/>
  <c r="O92" i="72"/>
  <c r="U92" i="72" s="1"/>
  <c r="I92" i="72"/>
  <c r="F92" i="72"/>
  <c r="C92" i="72"/>
  <c r="H92" i="72" s="1"/>
  <c r="N92" i="72" s="1"/>
  <c r="B92" i="72"/>
  <c r="G92" i="72" s="1"/>
  <c r="R91" i="72"/>
  <c r="Q91" i="72"/>
  <c r="O91" i="72"/>
  <c r="I91" i="72"/>
  <c r="F91" i="72"/>
  <c r="C91" i="72"/>
  <c r="H91" i="72" s="1"/>
  <c r="N91" i="72" s="1"/>
  <c r="B91" i="72"/>
  <c r="G91" i="72" s="1"/>
  <c r="R90" i="72"/>
  <c r="Q90" i="72"/>
  <c r="O90" i="72"/>
  <c r="U90" i="72" s="1"/>
  <c r="I90" i="72"/>
  <c r="F90" i="72"/>
  <c r="C90" i="72"/>
  <c r="H90" i="72" s="1"/>
  <c r="N90" i="72" s="1"/>
  <c r="B90" i="72"/>
  <c r="G90" i="72" s="1"/>
  <c r="R89" i="72"/>
  <c r="Q89" i="72"/>
  <c r="O89" i="72"/>
  <c r="U89" i="72" s="1"/>
  <c r="I89" i="72"/>
  <c r="G89" i="72"/>
  <c r="F89" i="72"/>
  <c r="C89" i="72"/>
  <c r="H89" i="72" s="1"/>
  <c r="N89" i="72" s="1"/>
  <c r="B89" i="72"/>
  <c r="R88" i="72"/>
  <c r="Q88" i="72"/>
  <c r="O88" i="72"/>
  <c r="U88" i="72" s="1"/>
  <c r="I88" i="72"/>
  <c r="F88" i="72"/>
  <c r="C88" i="72"/>
  <c r="H88" i="72" s="1"/>
  <c r="N88" i="72" s="1"/>
  <c r="B88" i="72"/>
  <c r="G88" i="72" s="1"/>
  <c r="R87" i="72"/>
  <c r="Q87" i="72"/>
  <c r="O87" i="72"/>
  <c r="I87" i="72"/>
  <c r="F87" i="72"/>
  <c r="C87" i="72"/>
  <c r="H87" i="72" s="1"/>
  <c r="N87" i="72" s="1"/>
  <c r="B87" i="72"/>
  <c r="G87" i="72" s="1"/>
  <c r="R86" i="72"/>
  <c r="Q86" i="72"/>
  <c r="O86" i="72"/>
  <c r="U86" i="72" s="1"/>
  <c r="I86" i="72"/>
  <c r="F86" i="72"/>
  <c r="C86" i="72"/>
  <c r="H86" i="72" s="1"/>
  <c r="N86" i="72" s="1"/>
  <c r="B86" i="72"/>
  <c r="G86" i="72" s="1"/>
  <c r="R85" i="72"/>
  <c r="Q85" i="72"/>
  <c r="O85" i="72"/>
  <c r="U85" i="72" s="1"/>
  <c r="I85" i="72"/>
  <c r="F85" i="72"/>
  <c r="C85" i="72"/>
  <c r="H85" i="72" s="1"/>
  <c r="N85" i="72" s="1"/>
  <c r="B85" i="72"/>
  <c r="G85" i="72" s="1"/>
  <c r="R84" i="72"/>
  <c r="Q84" i="72"/>
  <c r="O84" i="72"/>
  <c r="U84" i="72" s="1"/>
  <c r="I84" i="72"/>
  <c r="F84" i="72"/>
  <c r="C84" i="72"/>
  <c r="H84" i="72" s="1"/>
  <c r="N84" i="72" s="1"/>
  <c r="B84" i="72"/>
  <c r="G84" i="72" s="1"/>
  <c r="R83" i="72"/>
  <c r="Q83" i="72"/>
  <c r="O83" i="72"/>
  <c r="I83" i="72"/>
  <c r="F83" i="72"/>
  <c r="C83" i="72"/>
  <c r="H83" i="72" s="1"/>
  <c r="N83" i="72" s="1"/>
  <c r="B83" i="72"/>
  <c r="G83" i="72" s="1"/>
  <c r="R82" i="72"/>
  <c r="Q82" i="72"/>
  <c r="O82" i="72"/>
  <c r="U82" i="72" s="1"/>
  <c r="I82" i="72"/>
  <c r="F82" i="72"/>
  <c r="C82" i="72"/>
  <c r="H82" i="72" s="1"/>
  <c r="N82" i="72" s="1"/>
  <c r="B82" i="72"/>
  <c r="G82" i="72" s="1"/>
  <c r="R81" i="72"/>
  <c r="Q81" i="72"/>
  <c r="O81" i="72"/>
  <c r="U81" i="72" s="1"/>
  <c r="I81" i="72"/>
  <c r="F81" i="72"/>
  <c r="C81" i="72"/>
  <c r="H81" i="72" s="1"/>
  <c r="N81" i="72" s="1"/>
  <c r="B81" i="72"/>
  <c r="G81" i="72" s="1"/>
  <c r="R80" i="72"/>
  <c r="Q80" i="72"/>
  <c r="O80" i="72"/>
  <c r="U80" i="72" s="1"/>
  <c r="I80" i="72"/>
  <c r="F80" i="72"/>
  <c r="C80" i="72"/>
  <c r="H80" i="72" s="1"/>
  <c r="N80" i="72" s="1"/>
  <c r="B80" i="72"/>
  <c r="G80" i="72" s="1"/>
  <c r="R79" i="72"/>
  <c r="Q79" i="72"/>
  <c r="O79" i="72"/>
  <c r="I79" i="72"/>
  <c r="F79" i="72"/>
  <c r="C79" i="72"/>
  <c r="H79" i="72" s="1"/>
  <c r="N79" i="72" s="1"/>
  <c r="B79" i="72"/>
  <c r="G79" i="72" s="1"/>
  <c r="R78" i="72"/>
  <c r="Q78" i="72"/>
  <c r="O78" i="72"/>
  <c r="U78" i="72" s="1"/>
  <c r="I78" i="72"/>
  <c r="F78" i="72"/>
  <c r="C78" i="72"/>
  <c r="H78" i="72" s="1"/>
  <c r="N78" i="72" s="1"/>
  <c r="B78" i="72"/>
  <c r="G78" i="72" s="1"/>
  <c r="R77" i="72"/>
  <c r="Q77" i="72"/>
  <c r="O77" i="72"/>
  <c r="U77" i="72" s="1"/>
  <c r="I77" i="72"/>
  <c r="F77" i="72"/>
  <c r="C77" i="72"/>
  <c r="H77" i="72" s="1"/>
  <c r="N77" i="72" s="1"/>
  <c r="B77" i="72"/>
  <c r="G77" i="72" s="1"/>
  <c r="R76" i="72"/>
  <c r="Q76" i="72"/>
  <c r="O76" i="72"/>
  <c r="U76" i="72" s="1"/>
  <c r="I76" i="72"/>
  <c r="F76" i="72"/>
  <c r="C76" i="72"/>
  <c r="H76" i="72" s="1"/>
  <c r="N76" i="72" s="1"/>
  <c r="B76" i="72"/>
  <c r="G76" i="72" s="1"/>
  <c r="R75" i="72"/>
  <c r="Q75" i="72"/>
  <c r="O75" i="72"/>
  <c r="I75" i="72"/>
  <c r="F75" i="72"/>
  <c r="C75" i="72"/>
  <c r="H75" i="72" s="1"/>
  <c r="N75" i="72" s="1"/>
  <c r="B75" i="72"/>
  <c r="G75" i="72" s="1"/>
  <c r="R74" i="72"/>
  <c r="Q74" i="72"/>
  <c r="O74" i="72"/>
  <c r="U74" i="72" s="1"/>
  <c r="I74" i="72"/>
  <c r="F74" i="72"/>
  <c r="C74" i="72"/>
  <c r="H74" i="72" s="1"/>
  <c r="N74" i="72" s="1"/>
  <c r="B74" i="72"/>
  <c r="G74" i="72" s="1"/>
  <c r="R73" i="72"/>
  <c r="Q73" i="72"/>
  <c r="O73" i="72"/>
  <c r="U73" i="72" s="1"/>
  <c r="I73" i="72"/>
  <c r="F73" i="72"/>
  <c r="C73" i="72"/>
  <c r="H73" i="72" s="1"/>
  <c r="N73" i="72" s="1"/>
  <c r="B73" i="72"/>
  <c r="G73" i="72" s="1"/>
  <c r="R72" i="72"/>
  <c r="Q72" i="72"/>
  <c r="O72" i="72"/>
  <c r="U72" i="72" s="1"/>
  <c r="I72" i="72"/>
  <c r="F72" i="72"/>
  <c r="C72" i="72"/>
  <c r="H72" i="72" s="1"/>
  <c r="N72" i="72" s="1"/>
  <c r="B72" i="72"/>
  <c r="G72" i="72" s="1"/>
  <c r="R71" i="72"/>
  <c r="Q71" i="72"/>
  <c r="O71" i="72"/>
  <c r="I71" i="72"/>
  <c r="F71" i="72"/>
  <c r="C71" i="72"/>
  <c r="H71" i="72" s="1"/>
  <c r="N71" i="72" s="1"/>
  <c r="B71" i="72"/>
  <c r="G71" i="72" s="1"/>
  <c r="R70" i="72"/>
  <c r="Q70" i="72"/>
  <c r="O70" i="72"/>
  <c r="U70" i="72" s="1"/>
  <c r="I70" i="72"/>
  <c r="F70" i="72"/>
  <c r="C70" i="72"/>
  <c r="H70" i="72" s="1"/>
  <c r="N70" i="72" s="1"/>
  <c r="B70" i="72"/>
  <c r="G70" i="72" s="1"/>
  <c r="R69" i="72"/>
  <c r="Q69" i="72"/>
  <c r="O69" i="72"/>
  <c r="U69" i="72" s="1"/>
  <c r="I69" i="72"/>
  <c r="F69" i="72"/>
  <c r="C69" i="72"/>
  <c r="H69" i="72" s="1"/>
  <c r="N69" i="72" s="1"/>
  <c r="B69" i="72"/>
  <c r="G69" i="72" s="1"/>
  <c r="R68" i="72"/>
  <c r="Q68" i="72"/>
  <c r="O68" i="72"/>
  <c r="U68" i="72" s="1"/>
  <c r="I68" i="72"/>
  <c r="F68" i="72"/>
  <c r="C68" i="72"/>
  <c r="H68" i="72" s="1"/>
  <c r="N68" i="72" s="1"/>
  <c r="B68" i="72"/>
  <c r="G68" i="72" s="1"/>
  <c r="R67" i="72"/>
  <c r="Q67" i="72"/>
  <c r="O67" i="72"/>
  <c r="I67" i="72"/>
  <c r="F67" i="72"/>
  <c r="C67" i="72"/>
  <c r="H67" i="72" s="1"/>
  <c r="N67" i="72" s="1"/>
  <c r="B67" i="72"/>
  <c r="G67" i="72" s="1"/>
  <c r="R66" i="72"/>
  <c r="Q66" i="72"/>
  <c r="O66" i="72"/>
  <c r="U66" i="72" s="1"/>
  <c r="I66" i="72"/>
  <c r="F66" i="72"/>
  <c r="C66" i="72"/>
  <c r="H66" i="72" s="1"/>
  <c r="N66" i="72" s="1"/>
  <c r="B66" i="72"/>
  <c r="G66" i="72" s="1"/>
  <c r="R65" i="72"/>
  <c r="Q65" i="72"/>
  <c r="O65" i="72"/>
  <c r="U65" i="72" s="1"/>
  <c r="I65" i="72"/>
  <c r="F65" i="72"/>
  <c r="C65" i="72"/>
  <c r="H65" i="72" s="1"/>
  <c r="N65" i="72" s="1"/>
  <c r="B65" i="72"/>
  <c r="G65" i="72" s="1"/>
  <c r="R64" i="72"/>
  <c r="Q64" i="72"/>
  <c r="O64" i="72"/>
  <c r="U64" i="72" s="1"/>
  <c r="I64" i="72"/>
  <c r="F64" i="72"/>
  <c r="C64" i="72"/>
  <c r="H64" i="72" s="1"/>
  <c r="N64" i="72" s="1"/>
  <c r="B64" i="72"/>
  <c r="G64" i="72" s="1"/>
  <c r="R63" i="72"/>
  <c r="Q63" i="72"/>
  <c r="O63" i="72"/>
  <c r="I63" i="72"/>
  <c r="F63" i="72"/>
  <c r="C63" i="72"/>
  <c r="H63" i="72" s="1"/>
  <c r="N63" i="72" s="1"/>
  <c r="B63" i="72"/>
  <c r="G63" i="72" s="1"/>
  <c r="R62" i="72"/>
  <c r="Q62" i="72"/>
  <c r="O62" i="72"/>
  <c r="U62" i="72" s="1"/>
  <c r="I62" i="72"/>
  <c r="F62" i="72"/>
  <c r="C62" i="72"/>
  <c r="H62" i="72" s="1"/>
  <c r="N62" i="72" s="1"/>
  <c r="B62" i="72"/>
  <c r="G62" i="72" s="1"/>
  <c r="R61" i="72"/>
  <c r="Q61" i="72"/>
  <c r="O61" i="72"/>
  <c r="U61" i="72" s="1"/>
  <c r="I61" i="72"/>
  <c r="F61" i="72"/>
  <c r="C61" i="72"/>
  <c r="H61" i="72" s="1"/>
  <c r="N61" i="72" s="1"/>
  <c r="B61" i="72"/>
  <c r="G61" i="72" s="1"/>
  <c r="R60" i="72"/>
  <c r="Q60" i="72"/>
  <c r="O60" i="72"/>
  <c r="U60" i="72" s="1"/>
  <c r="I60" i="72"/>
  <c r="G60" i="72"/>
  <c r="F60" i="72"/>
  <c r="C60" i="72"/>
  <c r="H60" i="72" s="1"/>
  <c r="N60" i="72" s="1"/>
  <c r="B60" i="72"/>
  <c r="R59" i="72"/>
  <c r="Q59" i="72"/>
  <c r="O59" i="72"/>
  <c r="U59" i="72" s="1"/>
  <c r="I59" i="72"/>
  <c r="G59" i="72"/>
  <c r="F59" i="72"/>
  <c r="C59" i="72"/>
  <c r="H59" i="72" s="1"/>
  <c r="N59" i="72" s="1"/>
  <c r="B59" i="72"/>
  <c r="R58" i="72"/>
  <c r="Q58" i="72"/>
  <c r="O58" i="72"/>
  <c r="U58" i="72" s="1"/>
  <c r="I58" i="72"/>
  <c r="G58" i="72"/>
  <c r="F58" i="72"/>
  <c r="C58" i="72"/>
  <c r="H58" i="72" s="1"/>
  <c r="N58" i="72" s="1"/>
  <c r="B58" i="72"/>
  <c r="R57" i="72"/>
  <c r="Q57" i="72"/>
  <c r="O57" i="72"/>
  <c r="U57" i="72" s="1"/>
  <c r="I57" i="72"/>
  <c r="G57" i="72"/>
  <c r="F57" i="72"/>
  <c r="C57" i="72"/>
  <c r="H57" i="72" s="1"/>
  <c r="N57" i="72" s="1"/>
  <c r="B57" i="72"/>
  <c r="R56" i="72"/>
  <c r="Q56" i="72"/>
  <c r="O56" i="72"/>
  <c r="U56" i="72" s="1"/>
  <c r="I56" i="72"/>
  <c r="F56" i="72"/>
  <c r="C56" i="72"/>
  <c r="H56" i="72" s="1"/>
  <c r="N56" i="72" s="1"/>
  <c r="B56" i="72"/>
  <c r="G56" i="72" s="1"/>
  <c r="R55" i="72"/>
  <c r="Q55" i="72"/>
  <c r="O55" i="72"/>
  <c r="I55" i="72"/>
  <c r="F55" i="72"/>
  <c r="C55" i="72"/>
  <c r="H55" i="72" s="1"/>
  <c r="N55" i="72" s="1"/>
  <c r="B55" i="72"/>
  <c r="G55" i="72" s="1"/>
  <c r="R54" i="72"/>
  <c r="Q54" i="72"/>
  <c r="O54" i="72"/>
  <c r="U54" i="72" s="1"/>
  <c r="I54" i="72"/>
  <c r="F54" i="72"/>
  <c r="C54" i="72"/>
  <c r="H54" i="72" s="1"/>
  <c r="N54" i="72" s="1"/>
  <c r="B54" i="72"/>
  <c r="G54" i="72" s="1"/>
  <c r="R53" i="72"/>
  <c r="Q53" i="72"/>
  <c r="O53" i="72"/>
  <c r="U53" i="72" s="1"/>
  <c r="I53" i="72"/>
  <c r="F53" i="72"/>
  <c r="C53" i="72"/>
  <c r="H53" i="72" s="1"/>
  <c r="N53" i="72" s="1"/>
  <c r="B53" i="72"/>
  <c r="G53" i="72" s="1"/>
  <c r="R52" i="72"/>
  <c r="Q52" i="72"/>
  <c r="O52" i="72"/>
  <c r="U52" i="72" s="1"/>
  <c r="I52" i="72"/>
  <c r="F52" i="72"/>
  <c r="C52" i="72"/>
  <c r="H52" i="72" s="1"/>
  <c r="N52" i="72" s="1"/>
  <c r="B52" i="72"/>
  <c r="G52" i="72" s="1"/>
  <c r="R51" i="72"/>
  <c r="Q51" i="72"/>
  <c r="O51" i="72"/>
  <c r="I51" i="72"/>
  <c r="F51" i="72"/>
  <c r="C51" i="72"/>
  <c r="H51" i="72" s="1"/>
  <c r="N51" i="72" s="1"/>
  <c r="B51" i="72"/>
  <c r="G51" i="72" s="1"/>
  <c r="R50" i="72"/>
  <c r="Q50" i="72"/>
  <c r="O50" i="72"/>
  <c r="U50" i="72" s="1"/>
  <c r="I50" i="72"/>
  <c r="F50" i="72"/>
  <c r="C50" i="72"/>
  <c r="H50" i="72" s="1"/>
  <c r="N50" i="72" s="1"/>
  <c r="B50" i="72"/>
  <c r="G50" i="72" s="1"/>
  <c r="R49" i="72"/>
  <c r="Q49" i="72"/>
  <c r="O49" i="72"/>
  <c r="U49" i="72" s="1"/>
  <c r="I49" i="72"/>
  <c r="F49" i="72"/>
  <c r="C49" i="72"/>
  <c r="H49" i="72" s="1"/>
  <c r="N49" i="72" s="1"/>
  <c r="B49" i="72"/>
  <c r="G49" i="72" s="1"/>
  <c r="R48" i="72"/>
  <c r="Q48" i="72"/>
  <c r="O48" i="72"/>
  <c r="U48" i="72" s="1"/>
  <c r="I48" i="72"/>
  <c r="F48" i="72"/>
  <c r="C48" i="72"/>
  <c r="H48" i="72" s="1"/>
  <c r="N48" i="72" s="1"/>
  <c r="B48" i="72"/>
  <c r="G48" i="72" s="1"/>
  <c r="R47" i="72"/>
  <c r="Q47" i="72"/>
  <c r="O47" i="72"/>
  <c r="I47" i="72"/>
  <c r="F47" i="72"/>
  <c r="C47" i="72"/>
  <c r="H47" i="72" s="1"/>
  <c r="N47" i="72" s="1"/>
  <c r="B47" i="72"/>
  <c r="G47" i="72" s="1"/>
  <c r="R46" i="72"/>
  <c r="Q46" i="72"/>
  <c r="O46" i="72"/>
  <c r="U46" i="72" s="1"/>
  <c r="I46" i="72"/>
  <c r="F46" i="72"/>
  <c r="C46" i="72"/>
  <c r="H46" i="72" s="1"/>
  <c r="N46" i="72" s="1"/>
  <c r="B46" i="72"/>
  <c r="G46" i="72" s="1"/>
  <c r="R45" i="72"/>
  <c r="Q45" i="72"/>
  <c r="O45" i="72"/>
  <c r="U45" i="72" s="1"/>
  <c r="I45" i="72"/>
  <c r="F45" i="72"/>
  <c r="C45" i="72"/>
  <c r="H45" i="72" s="1"/>
  <c r="N45" i="72" s="1"/>
  <c r="B45" i="72"/>
  <c r="G45" i="72" s="1"/>
  <c r="R44" i="72"/>
  <c r="Q44" i="72"/>
  <c r="O44" i="72"/>
  <c r="U44" i="72" s="1"/>
  <c r="I44" i="72"/>
  <c r="G44" i="72"/>
  <c r="F44" i="72"/>
  <c r="C44" i="72"/>
  <c r="H44" i="72" s="1"/>
  <c r="N44" i="72" s="1"/>
  <c r="B44" i="72"/>
  <c r="R43" i="72"/>
  <c r="Q43" i="72"/>
  <c r="O43" i="72"/>
  <c r="U43" i="72" s="1"/>
  <c r="I43" i="72"/>
  <c r="G43" i="72"/>
  <c r="F43" i="72"/>
  <c r="C43" i="72"/>
  <c r="H43" i="72" s="1"/>
  <c r="N43" i="72" s="1"/>
  <c r="B43" i="72"/>
  <c r="R42" i="72"/>
  <c r="Q42" i="72"/>
  <c r="O42" i="72"/>
  <c r="U42" i="72" s="1"/>
  <c r="I42" i="72"/>
  <c r="G42" i="72"/>
  <c r="F42" i="72"/>
  <c r="C42" i="72"/>
  <c r="H42" i="72" s="1"/>
  <c r="N42" i="72" s="1"/>
  <c r="B42" i="72"/>
  <c r="R41" i="72"/>
  <c r="Q41" i="72"/>
  <c r="O41" i="72"/>
  <c r="U41" i="72" s="1"/>
  <c r="I41" i="72"/>
  <c r="G41" i="72"/>
  <c r="F41" i="72"/>
  <c r="C41" i="72"/>
  <c r="H41" i="72" s="1"/>
  <c r="N41" i="72" s="1"/>
  <c r="B41" i="72"/>
  <c r="R40" i="72"/>
  <c r="Q40" i="72"/>
  <c r="O40" i="72"/>
  <c r="U40" i="72" s="1"/>
  <c r="I40" i="72"/>
  <c r="G40" i="72"/>
  <c r="F40" i="72"/>
  <c r="C40" i="72"/>
  <c r="H40" i="72" s="1"/>
  <c r="N40" i="72" s="1"/>
  <c r="B40" i="72"/>
  <c r="R39" i="72"/>
  <c r="Q39" i="72"/>
  <c r="O39" i="72"/>
  <c r="U39" i="72" s="1"/>
  <c r="I39" i="72"/>
  <c r="F39" i="72"/>
  <c r="C39" i="72"/>
  <c r="H39" i="72" s="1"/>
  <c r="N39" i="72" s="1"/>
  <c r="B39" i="72"/>
  <c r="G39" i="72" s="1"/>
  <c r="R38" i="72"/>
  <c r="Q38" i="72"/>
  <c r="O38" i="72"/>
  <c r="U38" i="72" s="1"/>
  <c r="I38" i="72"/>
  <c r="G38" i="72"/>
  <c r="F38" i="72"/>
  <c r="C38" i="72"/>
  <c r="H38" i="72" s="1"/>
  <c r="N38" i="72" s="1"/>
  <c r="B38" i="72"/>
  <c r="R37" i="72"/>
  <c r="Q37" i="72"/>
  <c r="O37" i="72"/>
  <c r="U37" i="72" s="1"/>
  <c r="I37" i="72"/>
  <c r="G37" i="72"/>
  <c r="F37" i="72"/>
  <c r="C37" i="72"/>
  <c r="H37" i="72" s="1"/>
  <c r="N37" i="72" s="1"/>
  <c r="B37" i="72"/>
  <c r="R36" i="72"/>
  <c r="Q36" i="72"/>
  <c r="O36" i="72"/>
  <c r="U36" i="72" s="1"/>
  <c r="I36" i="72"/>
  <c r="F36" i="72"/>
  <c r="C36" i="72"/>
  <c r="H36" i="72" s="1"/>
  <c r="N36" i="72" s="1"/>
  <c r="B36" i="72"/>
  <c r="G36" i="72" s="1"/>
  <c r="U35" i="72"/>
  <c r="R35" i="72"/>
  <c r="Q35" i="72"/>
  <c r="O35" i="72"/>
  <c r="I35" i="72"/>
  <c r="G35" i="72"/>
  <c r="F35" i="72"/>
  <c r="C35" i="72"/>
  <c r="H35" i="72" s="1"/>
  <c r="N35" i="72" s="1"/>
  <c r="B35" i="72"/>
  <c r="U34" i="72"/>
  <c r="R34" i="72"/>
  <c r="Q34" i="72"/>
  <c r="O34" i="72"/>
  <c r="I34" i="72"/>
  <c r="G34" i="72"/>
  <c r="F34" i="72"/>
  <c r="C34" i="72"/>
  <c r="H34" i="72" s="1"/>
  <c r="N34" i="72" s="1"/>
  <c r="B34" i="72"/>
  <c r="U33" i="72"/>
  <c r="R33" i="72"/>
  <c r="Q33" i="72"/>
  <c r="O33" i="72"/>
  <c r="I33" i="72"/>
  <c r="F33" i="72"/>
  <c r="C33" i="72"/>
  <c r="H33" i="72" s="1"/>
  <c r="N33" i="72" s="1"/>
  <c r="B33" i="72"/>
  <c r="G33" i="72" s="1"/>
  <c r="U32" i="72"/>
  <c r="R32" i="72"/>
  <c r="Q32" i="72"/>
  <c r="O32" i="72"/>
  <c r="I32" i="72"/>
  <c r="F32" i="72"/>
  <c r="C32" i="72"/>
  <c r="H32" i="72" s="1"/>
  <c r="N32" i="72" s="1"/>
  <c r="B32" i="72"/>
  <c r="G32" i="72" s="1"/>
  <c r="R31" i="72"/>
  <c r="Q31" i="72"/>
  <c r="O31" i="72"/>
  <c r="I31" i="72"/>
  <c r="G31" i="72"/>
  <c r="F31" i="72"/>
  <c r="C31" i="72"/>
  <c r="H31" i="72" s="1"/>
  <c r="N31" i="72" s="1"/>
  <c r="B31" i="72"/>
  <c r="U30" i="72"/>
  <c r="R30" i="72"/>
  <c r="Q30" i="72"/>
  <c r="O30" i="72"/>
  <c r="I30" i="72"/>
  <c r="F30" i="72"/>
  <c r="C30" i="72"/>
  <c r="H30" i="72" s="1"/>
  <c r="N30" i="72" s="1"/>
  <c r="B30" i="72"/>
  <c r="G30" i="72" s="1"/>
  <c r="U29" i="72"/>
  <c r="R29" i="72"/>
  <c r="Q29" i="72"/>
  <c r="O29" i="72"/>
  <c r="I29" i="72"/>
  <c r="G29" i="72"/>
  <c r="F29" i="72"/>
  <c r="C29" i="72"/>
  <c r="H29" i="72" s="1"/>
  <c r="N29" i="72" s="1"/>
  <c r="B29" i="72"/>
  <c r="U28" i="72"/>
  <c r="R28" i="72"/>
  <c r="Q28" i="72"/>
  <c r="O28" i="72"/>
  <c r="I28" i="72"/>
  <c r="H28" i="72"/>
  <c r="N28" i="72" s="1"/>
  <c r="F28" i="72"/>
  <c r="C28" i="72"/>
  <c r="B28" i="72"/>
  <c r="G28" i="72" s="1"/>
  <c r="R27" i="72"/>
  <c r="Q27" i="72"/>
  <c r="O27" i="72"/>
  <c r="I27" i="72"/>
  <c r="F27" i="72"/>
  <c r="C27" i="72"/>
  <c r="H27" i="72" s="1"/>
  <c r="N27" i="72" s="1"/>
  <c r="B27" i="72"/>
  <c r="G27" i="72" s="1"/>
  <c r="U26" i="72"/>
  <c r="R26" i="72"/>
  <c r="Q26" i="72"/>
  <c r="O26" i="72"/>
  <c r="I26" i="72"/>
  <c r="F26" i="72"/>
  <c r="C26" i="72"/>
  <c r="H26" i="72" s="1"/>
  <c r="N26" i="72" s="1"/>
  <c r="B26" i="72"/>
  <c r="G26" i="72" s="1"/>
  <c r="U25" i="72"/>
  <c r="R25" i="72"/>
  <c r="Q25" i="72"/>
  <c r="O25" i="72"/>
  <c r="I25" i="72"/>
  <c r="G25" i="72"/>
  <c r="F25" i="72"/>
  <c r="C25" i="72"/>
  <c r="H25" i="72" s="1"/>
  <c r="N25" i="72" s="1"/>
  <c r="B25" i="72"/>
  <c r="U24" i="72"/>
  <c r="R24" i="72"/>
  <c r="Q24" i="72"/>
  <c r="O24" i="72"/>
  <c r="I24" i="72"/>
  <c r="F24" i="72"/>
  <c r="C24" i="72"/>
  <c r="H24" i="72" s="1"/>
  <c r="N24" i="72" s="1"/>
  <c r="B24" i="72"/>
  <c r="G24" i="72" s="1"/>
  <c r="R23" i="72"/>
  <c r="Q23" i="72"/>
  <c r="O23" i="72"/>
  <c r="I23" i="72"/>
  <c r="G23" i="72"/>
  <c r="F23" i="72"/>
  <c r="C23" i="72"/>
  <c r="H23" i="72" s="1"/>
  <c r="N23" i="72" s="1"/>
  <c r="B23" i="72"/>
  <c r="U22" i="72"/>
  <c r="R22" i="72"/>
  <c r="Q22" i="72"/>
  <c r="O22" i="72"/>
  <c r="I22" i="72"/>
  <c r="G22" i="72"/>
  <c r="F22" i="72"/>
  <c r="C22" i="72"/>
  <c r="H22" i="72" s="1"/>
  <c r="N22" i="72" s="1"/>
  <c r="B22" i="72"/>
  <c r="U21" i="72"/>
  <c r="R21" i="72"/>
  <c r="Q21" i="72"/>
  <c r="O21" i="72"/>
  <c r="I21" i="72"/>
  <c r="F21" i="72"/>
  <c r="C21" i="72"/>
  <c r="H21" i="72" s="1"/>
  <c r="N21" i="72" s="1"/>
  <c r="B21" i="72"/>
  <c r="G21" i="72" s="1"/>
  <c r="U20" i="72"/>
  <c r="R20" i="72"/>
  <c r="Q20" i="72"/>
  <c r="O20" i="72"/>
  <c r="I20" i="72"/>
  <c r="H20" i="72"/>
  <c r="N20" i="72" s="1"/>
  <c r="F20" i="72"/>
  <c r="C20" i="72"/>
  <c r="B20" i="72"/>
  <c r="G20" i="72" s="1"/>
  <c r="R19" i="72"/>
  <c r="Q19" i="72"/>
  <c r="O19" i="72"/>
  <c r="I19" i="72"/>
  <c r="G19" i="72"/>
  <c r="F19" i="72"/>
  <c r="C19" i="72"/>
  <c r="H19" i="72" s="1"/>
  <c r="N19" i="72" s="1"/>
  <c r="B19" i="72"/>
  <c r="U18" i="72"/>
  <c r="R18" i="72"/>
  <c r="Q18" i="72"/>
  <c r="O18" i="72"/>
  <c r="I18" i="72"/>
  <c r="G18" i="72"/>
  <c r="F18" i="72"/>
  <c r="C18" i="72"/>
  <c r="H18" i="72" s="1"/>
  <c r="N18" i="72" s="1"/>
  <c r="B18" i="72"/>
  <c r="U17" i="72"/>
  <c r="R17" i="72"/>
  <c r="Q17" i="72"/>
  <c r="O17" i="72"/>
  <c r="I17" i="72"/>
  <c r="F17" i="72"/>
  <c r="C17" i="72"/>
  <c r="H17" i="72" s="1"/>
  <c r="N17" i="72" s="1"/>
  <c r="B17" i="72"/>
  <c r="G17" i="72" s="1"/>
  <c r="U16" i="72"/>
  <c r="R16" i="72"/>
  <c r="Q16" i="72"/>
  <c r="O16" i="72"/>
  <c r="I16" i="72"/>
  <c r="F16" i="72"/>
  <c r="C16" i="72"/>
  <c r="H16" i="72" s="1"/>
  <c r="N16" i="72" s="1"/>
  <c r="B16" i="72"/>
  <c r="G16" i="72" s="1"/>
  <c r="R15" i="72"/>
  <c r="Q15" i="72"/>
  <c r="O15" i="72"/>
  <c r="I15" i="72"/>
  <c r="F15" i="72"/>
  <c r="C15" i="72"/>
  <c r="H15" i="72" s="1"/>
  <c r="N15" i="72" s="1"/>
  <c r="B15" i="72"/>
  <c r="G15" i="72" s="1"/>
  <c r="U14" i="72"/>
  <c r="R14" i="72"/>
  <c r="Q14" i="72"/>
  <c r="O14" i="72"/>
  <c r="I14" i="72"/>
  <c r="G14" i="72"/>
  <c r="F14" i="72"/>
  <c r="C14" i="72"/>
  <c r="H14" i="72" s="1"/>
  <c r="N14" i="72" s="1"/>
  <c r="B14" i="72"/>
  <c r="U13" i="72"/>
  <c r="R13" i="72"/>
  <c r="Q13" i="72"/>
  <c r="O13" i="72"/>
  <c r="I13" i="72"/>
  <c r="F13" i="72"/>
  <c r="C13" i="72"/>
  <c r="H13" i="72" s="1"/>
  <c r="N13" i="72" s="1"/>
  <c r="B13" i="72"/>
  <c r="G13" i="72" s="1"/>
  <c r="U12" i="72"/>
  <c r="R12" i="72"/>
  <c r="Q12" i="72"/>
  <c r="O12" i="72"/>
  <c r="I12" i="72"/>
  <c r="F12" i="72"/>
  <c r="C12" i="72"/>
  <c r="H12" i="72" s="1"/>
  <c r="N12" i="72" s="1"/>
  <c r="B12" i="72"/>
  <c r="G12" i="72" s="1"/>
  <c r="U11" i="72"/>
  <c r="R11" i="72"/>
  <c r="Q11" i="72"/>
  <c r="O11" i="72"/>
  <c r="I11" i="72"/>
  <c r="G11" i="72"/>
  <c r="F11" i="72"/>
  <c r="C11" i="72"/>
  <c r="H11" i="72" s="1"/>
  <c r="N11" i="72" s="1"/>
  <c r="B11" i="72"/>
  <c r="U10" i="72"/>
  <c r="R10" i="72"/>
  <c r="Q10" i="72"/>
  <c r="O10" i="72"/>
  <c r="I10" i="72"/>
  <c r="F10" i="72"/>
  <c r="C10" i="72"/>
  <c r="H10" i="72" s="1"/>
  <c r="N10" i="72" s="1"/>
  <c r="B10" i="72"/>
  <c r="G10" i="72" s="1"/>
  <c r="U9" i="72"/>
  <c r="R9" i="72"/>
  <c r="Q9" i="72"/>
  <c r="O9" i="72"/>
  <c r="I9" i="72"/>
  <c r="F9" i="72"/>
  <c r="C9" i="72"/>
  <c r="H9" i="72" s="1"/>
  <c r="N9" i="72" s="1"/>
  <c r="B9" i="72"/>
  <c r="G9" i="72" s="1"/>
  <c r="U8" i="72"/>
  <c r="R8" i="72"/>
  <c r="Q8" i="72"/>
  <c r="O8" i="72"/>
  <c r="I8" i="72"/>
  <c r="F8" i="72"/>
  <c r="C8" i="72"/>
  <c r="H8" i="72" s="1"/>
  <c r="N8" i="72" s="1"/>
  <c r="B8" i="72"/>
  <c r="G8" i="72" s="1"/>
  <c r="R7" i="72"/>
  <c r="Q7" i="72"/>
  <c r="O7" i="72"/>
  <c r="I7" i="72"/>
  <c r="G7" i="72"/>
  <c r="F7" i="72"/>
  <c r="C7" i="72"/>
  <c r="H7" i="72" s="1"/>
  <c r="N7" i="72" s="1"/>
  <c r="B7" i="72"/>
  <c r="U6" i="72"/>
  <c r="R6" i="72"/>
  <c r="Q6" i="72"/>
  <c r="O6" i="72"/>
  <c r="I6" i="72"/>
  <c r="G6" i="72"/>
  <c r="F6" i="72"/>
  <c r="C6" i="72"/>
  <c r="H6" i="72" s="1"/>
  <c r="N6" i="72" s="1"/>
  <c r="B6" i="72"/>
  <c r="U5" i="72"/>
  <c r="R5" i="72"/>
  <c r="Q5" i="72"/>
  <c r="O5" i="72"/>
  <c r="I5" i="72"/>
  <c r="F5" i="72"/>
  <c r="C5" i="72"/>
  <c r="H5" i="72" s="1"/>
  <c r="N5" i="72" s="1"/>
  <c r="B5" i="72"/>
  <c r="G5" i="72" s="1"/>
  <c r="U4" i="72"/>
  <c r="R4" i="72"/>
  <c r="Q4" i="72"/>
  <c r="O4" i="72"/>
  <c r="I4" i="72"/>
  <c r="F4" i="72"/>
  <c r="C4" i="72"/>
  <c r="H4" i="72" s="1"/>
  <c r="N4" i="72" s="1"/>
  <c r="B4" i="72"/>
  <c r="G4" i="72" s="1"/>
  <c r="R3" i="72"/>
  <c r="Q3" i="72"/>
  <c r="O3" i="72"/>
  <c r="I3" i="72"/>
  <c r="G3" i="72"/>
  <c r="F3" i="72"/>
  <c r="C3" i="72"/>
  <c r="H3" i="72" s="1"/>
  <c r="N3" i="72" s="1"/>
  <c r="B3" i="72"/>
  <c r="R103" i="71"/>
  <c r="Q103" i="71"/>
  <c r="O103" i="71"/>
  <c r="U103" i="71" s="1"/>
  <c r="I103" i="71"/>
  <c r="H103" i="71"/>
  <c r="N103" i="71" s="1"/>
  <c r="F103" i="71"/>
  <c r="C103" i="71"/>
  <c r="B103" i="71"/>
  <c r="G103" i="71" s="1"/>
  <c r="R102" i="71"/>
  <c r="Q102" i="71"/>
  <c r="O102" i="71"/>
  <c r="I102" i="71"/>
  <c r="H102" i="71"/>
  <c r="N102" i="71" s="1"/>
  <c r="F102" i="71"/>
  <c r="C102" i="71"/>
  <c r="B102" i="71"/>
  <c r="G102" i="71" s="1"/>
  <c r="R101" i="71"/>
  <c r="Q101" i="71"/>
  <c r="O101" i="71"/>
  <c r="I101" i="71"/>
  <c r="H101" i="71"/>
  <c r="N101" i="71" s="1"/>
  <c r="F101" i="71"/>
  <c r="C101" i="71"/>
  <c r="B101" i="71"/>
  <c r="G101" i="71" s="1"/>
  <c r="R100" i="71"/>
  <c r="Q100" i="71"/>
  <c r="O100" i="71"/>
  <c r="U100" i="71" s="1"/>
  <c r="I100" i="71"/>
  <c r="H100" i="71"/>
  <c r="N100" i="71" s="1"/>
  <c r="F100" i="71"/>
  <c r="C100" i="71"/>
  <c r="B100" i="71"/>
  <c r="G100" i="71" s="1"/>
  <c r="R99" i="71"/>
  <c r="Q99" i="71"/>
  <c r="O99" i="71"/>
  <c r="U99" i="71" s="1"/>
  <c r="I99" i="71"/>
  <c r="H99" i="71"/>
  <c r="N99" i="71" s="1"/>
  <c r="F99" i="71"/>
  <c r="C99" i="71"/>
  <c r="B99" i="71"/>
  <c r="G99" i="71" s="1"/>
  <c r="R98" i="71"/>
  <c r="Q98" i="71"/>
  <c r="O98" i="71"/>
  <c r="I98" i="71"/>
  <c r="H98" i="71"/>
  <c r="N98" i="71" s="1"/>
  <c r="F98" i="71"/>
  <c r="C98" i="71"/>
  <c r="B98" i="71"/>
  <c r="G98" i="71" s="1"/>
  <c r="R97" i="71"/>
  <c r="Q97" i="71"/>
  <c r="O97" i="71"/>
  <c r="I97" i="71"/>
  <c r="H97" i="71"/>
  <c r="N97" i="71" s="1"/>
  <c r="F97" i="71"/>
  <c r="C97" i="71"/>
  <c r="B97" i="71"/>
  <c r="G97" i="71" s="1"/>
  <c r="R96" i="71"/>
  <c r="Q96" i="71"/>
  <c r="O96" i="71"/>
  <c r="U96" i="71" s="1"/>
  <c r="I96" i="71"/>
  <c r="H96" i="71"/>
  <c r="N96" i="71" s="1"/>
  <c r="F96" i="71"/>
  <c r="C96" i="71"/>
  <c r="B96" i="71"/>
  <c r="G96" i="71" s="1"/>
  <c r="R95" i="71"/>
  <c r="Q95" i="71"/>
  <c r="O95" i="71"/>
  <c r="U95" i="71" s="1"/>
  <c r="I95" i="71"/>
  <c r="H95" i="71"/>
  <c r="N95" i="71" s="1"/>
  <c r="F95" i="71"/>
  <c r="C95" i="71"/>
  <c r="B95" i="71"/>
  <c r="G95" i="71" s="1"/>
  <c r="R94" i="71"/>
  <c r="Q94" i="71"/>
  <c r="O94" i="71"/>
  <c r="I94" i="71"/>
  <c r="H94" i="71"/>
  <c r="N94" i="71" s="1"/>
  <c r="F94" i="71"/>
  <c r="C94" i="71"/>
  <c r="B94" i="71"/>
  <c r="G94" i="71" s="1"/>
  <c r="R93" i="71"/>
  <c r="Q93" i="71"/>
  <c r="O93" i="71"/>
  <c r="I93" i="71"/>
  <c r="H93" i="71"/>
  <c r="N93" i="71" s="1"/>
  <c r="F93" i="71"/>
  <c r="C93" i="71"/>
  <c r="B93" i="71"/>
  <c r="G93" i="71" s="1"/>
  <c r="R92" i="71"/>
  <c r="Q92" i="71"/>
  <c r="O92" i="71"/>
  <c r="U92" i="71" s="1"/>
  <c r="I92" i="71"/>
  <c r="H92" i="71"/>
  <c r="N92" i="71" s="1"/>
  <c r="F92" i="71"/>
  <c r="C92" i="71"/>
  <c r="B92" i="71"/>
  <c r="G92" i="71" s="1"/>
  <c r="R91" i="71"/>
  <c r="Q91" i="71"/>
  <c r="O91" i="71"/>
  <c r="U91" i="71" s="1"/>
  <c r="I91" i="71"/>
  <c r="H91" i="71"/>
  <c r="N91" i="71" s="1"/>
  <c r="F91" i="71"/>
  <c r="C91" i="71"/>
  <c r="B91" i="71"/>
  <c r="G91" i="71" s="1"/>
  <c r="R90" i="71"/>
  <c r="Q90" i="71"/>
  <c r="O90" i="71"/>
  <c r="I90" i="71"/>
  <c r="H90" i="71"/>
  <c r="N90" i="71" s="1"/>
  <c r="F90" i="71"/>
  <c r="C90" i="71"/>
  <c r="B90" i="71"/>
  <c r="G90" i="71" s="1"/>
  <c r="R89" i="71"/>
  <c r="Q89" i="71"/>
  <c r="O89" i="71"/>
  <c r="I89" i="71"/>
  <c r="H89" i="71"/>
  <c r="N89" i="71" s="1"/>
  <c r="F89" i="71"/>
  <c r="C89" i="71"/>
  <c r="B89" i="71"/>
  <c r="G89" i="71" s="1"/>
  <c r="R88" i="71"/>
  <c r="Q88" i="71"/>
  <c r="O88" i="71"/>
  <c r="U88" i="71" s="1"/>
  <c r="I88" i="71"/>
  <c r="H88" i="71"/>
  <c r="N88" i="71" s="1"/>
  <c r="F88" i="71"/>
  <c r="C88" i="71"/>
  <c r="B88" i="71"/>
  <c r="G88" i="71" s="1"/>
  <c r="R87" i="71"/>
  <c r="Q87" i="71"/>
  <c r="O87" i="71"/>
  <c r="U87" i="71" s="1"/>
  <c r="I87" i="71"/>
  <c r="H87" i="71"/>
  <c r="N87" i="71" s="1"/>
  <c r="F87" i="71"/>
  <c r="C87" i="71"/>
  <c r="B87" i="71"/>
  <c r="G87" i="71" s="1"/>
  <c r="R86" i="71"/>
  <c r="Q86" i="71"/>
  <c r="O86" i="71"/>
  <c r="I86" i="71"/>
  <c r="H86" i="71"/>
  <c r="N86" i="71" s="1"/>
  <c r="F86" i="71"/>
  <c r="C86" i="71"/>
  <c r="B86" i="71"/>
  <c r="G86" i="71" s="1"/>
  <c r="R85" i="71"/>
  <c r="Q85" i="71"/>
  <c r="O85" i="71"/>
  <c r="I85" i="71"/>
  <c r="H85" i="71"/>
  <c r="N85" i="71" s="1"/>
  <c r="F85" i="71"/>
  <c r="C85" i="71"/>
  <c r="B85" i="71"/>
  <c r="G85" i="71" s="1"/>
  <c r="R84" i="71"/>
  <c r="Q84" i="71"/>
  <c r="O84" i="71"/>
  <c r="U84" i="71" s="1"/>
  <c r="I84" i="71"/>
  <c r="H84" i="71"/>
  <c r="N84" i="71" s="1"/>
  <c r="F84" i="71"/>
  <c r="C84" i="71"/>
  <c r="B84" i="71"/>
  <c r="G84" i="71" s="1"/>
  <c r="R83" i="71"/>
  <c r="Q83" i="71"/>
  <c r="O83" i="71"/>
  <c r="U83" i="71" s="1"/>
  <c r="I83" i="71"/>
  <c r="H83" i="71"/>
  <c r="N83" i="71" s="1"/>
  <c r="F83" i="71"/>
  <c r="C83" i="71"/>
  <c r="B83" i="71"/>
  <c r="G83" i="71" s="1"/>
  <c r="R82" i="71"/>
  <c r="Q82" i="71"/>
  <c r="O82" i="71"/>
  <c r="I82" i="71"/>
  <c r="H82" i="71"/>
  <c r="N82" i="71" s="1"/>
  <c r="F82" i="71"/>
  <c r="C82" i="71"/>
  <c r="B82" i="71"/>
  <c r="G82" i="71" s="1"/>
  <c r="R81" i="71"/>
  <c r="Q81" i="71"/>
  <c r="O81" i="71"/>
  <c r="I81" i="71"/>
  <c r="H81" i="71"/>
  <c r="N81" i="71" s="1"/>
  <c r="F81" i="71"/>
  <c r="C81" i="71"/>
  <c r="B81" i="71"/>
  <c r="G81" i="71" s="1"/>
  <c r="R80" i="71"/>
  <c r="Q80" i="71"/>
  <c r="O80" i="71"/>
  <c r="U80" i="71" s="1"/>
  <c r="I80" i="71"/>
  <c r="F80" i="71"/>
  <c r="C80" i="71"/>
  <c r="H80" i="71" s="1"/>
  <c r="N80" i="71" s="1"/>
  <c r="B80" i="71"/>
  <c r="G80" i="71" s="1"/>
  <c r="R79" i="71"/>
  <c r="Q79" i="71"/>
  <c r="O79" i="71"/>
  <c r="I79" i="71"/>
  <c r="F79" i="71"/>
  <c r="C79" i="71"/>
  <c r="H79" i="71" s="1"/>
  <c r="N79" i="71" s="1"/>
  <c r="B79" i="71"/>
  <c r="G79" i="71" s="1"/>
  <c r="R78" i="71"/>
  <c r="Q78" i="71"/>
  <c r="O78" i="71"/>
  <c r="I78" i="71"/>
  <c r="F78" i="71"/>
  <c r="C78" i="71"/>
  <c r="H78" i="71" s="1"/>
  <c r="N78" i="71" s="1"/>
  <c r="B78" i="71"/>
  <c r="G78" i="71" s="1"/>
  <c r="R77" i="71"/>
  <c r="Q77" i="71"/>
  <c r="O77" i="71"/>
  <c r="I77" i="71"/>
  <c r="F77" i="71"/>
  <c r="C77" i="71"/>
  <c r="H77" i="71" s="1"/>
  <c r="N77" i="71" s="1"/>
  <c r="B77" i="71"/>
  <c r="G77" i="71" s="1"/>
  <c r="R76" i="71"/>
  <c r="Q76" i="71"/>
  <c r="O76" i="71"/>
  <c r="U76" i="71" s="1"/>
  <c r="I76" i="71"/>
  <c r="G76" i="71"/>
  <c r="F76" i="71"/>
  <c r="C76" i="71"/>
  <c r="H76" i="71" s="1"/>
  <c r="N76" i="71" s="1"/>
  <c r="B76" i="71"/>
  <c r="R75" i="71"/>
  <c r="Q75" i="71"/>
  <c r="O75" i="71"/>
  <c r="U75" i="71" s="1"/>
  <c r="I75" i="71"/>
  <c r="F75" i="71"/>
  <c r="C75" i="71"/>
  <c r="H75" i="71" s="1"/>
  <c r="N75" i="71" s="1"/>
  <c r="B75" i="71"/>
  <c r="G75" i="71" s="1"/>
  <c r="R74" i="71"/>
  <c r="Q74" i="71"/>
  <c r="O74" i="71"/>
  <c r="U74" i="71" s="1"/>
  <c r="I74" i="71"/>
  <c r="F74" i="71"/>
  <c r="C74" i="71"/>
  <c r="H74" i="71" s="1"/>
  <c r="N74" i="71" s="1"/>
  <c r="B74" i="71"/>
  <c r="G74" i="71" s="1"/>
  <c r="R73" i="71"/>
  <c r="Q73" i="71"/>
  <c r="O73" i="71"/>
  <c r="U73" i="71" s="1"/>
  <c r="I73" i="71"/>
  <c r="F73" i="71"/>
  <c r="C73" i="71"/>
  <c r="H73" i="71" s="1"/>
  <c r="N73" i="71" s="1"/>
  <c r="B73" i="71"/>
  <c r="G73" i="71" s="1"/>
  <c r="R72" i="71"/>
  <c r="Q72" i="71"/>
  <c r="O72" i="71"/>
  <c r="U72" i="71" s="1"/>
  <c r="I72" i="71"/>
  <c r="F72" i="71"/>
  <c r="C72" i="71"/>
  <c r="H72" i="71" s="1"/>
  <c r="N72" i="71" s="1"/>
  <c r="B72" i="71"/>
  <c r="G72" i="71" s="1"/>
  <c r="R71" i="71"/>
  <c r="Q71" i="71"/>
  <c r="O71" i="71"/>
  <c r="U71" i="71" s="1"/>
  <c r="I71" i="71"/>
  <c r="F71" i="71"/>
  <c r="C71" i="71"/>
  <c r="H71" i="71" s="1"/>
  <c r="N71" i="71" s="1"/>
  <c r="B71" i="71"/>
  <c r="G71" i="71" s="1"/>
  <c r="R70" i="71"/>
  <c r="Q70" i="71"/>
  <c r="O70" i="71"/>
  <c r="U70" i="71" s="1"/>
  <c r="I70" i="71"/>
  <c r="F70" i="71"/>
  <c r="C70" i="71"/>
  <c r="H70" i="71" s="1"/>
  <c r="N70" i="71" s="1"/>
  <c r="B70" i="71"/>
  <c r="G70" i="71" s="1"/>
  <c r="R69" i="71"/>
  <c r="Q69" i="71"/>
  <c r="O69" i="71"/>
  <c r="U69" i="71" s="1"/>
  <c r="I69" i="71"/>
  <c r="F69" i="71"/>
  <c r="C69" i="71"/>
  <c r="H69" i="71" s="1"/>
  <c r="N69" i="71" s="1"/>
  <c r="B69" i="71"/>
  <c r="G69" i="71" s="1"/>
  <c r="R68" i="71"/>
  <c r="Q68" i="71"/>
  <c r="O68" i="71"/>
  <c r="U68" i="71" s="1"/>
  <c r="I68" i="71"/>
  <c r="F68" i="71"/>
  <c r="C68" i="71"/>
  <c r="H68" i="71" s="1"/>
  <c r="N68" i="71" s="1"/>
  <c r="B68" i="71"/>
  <c r="G68" i="71" s="1"/>
  <c r="R67" i="71"/>
  <c r="Q67" i="71"/>
  <c r="O67" i="71"/>
  <c r="U67" i="71" s="1"/>
  <c r="I67" i="71"/>
  <c r="F67" i="71"/>
  <c r="C67" i="71"/>
  <c r="H67" i="71" s="1"/>
  <c r="N67" i="71" s="1"/>
  <c r="B67" i="71"/>
  <c r="G67" i="71" s="1"/>
  <c r="R66" i="71"/>
  <c r="Q66" i="71"/>
  <c r="O66" i="71"/>
  <c r="U66" i="71" s="1"/>
  <c r="I66" i="71"/>
  <c r="F66" i="71"/>
  <c r="C66" i="71"/>
  <c r="H66" i="71" s="1"/>
  <c r="N66" i="71" s="1"/>
  <c r="B66" i="71"/>
  <c r="G66" i="71" s="1"/>
  <c r="R65" i="71"/>
  <c r="Q65" i="71"/>
  <c r="O65" i="71"/>
  <c r="U65" i="71" s="1"/>
  <c r="I65" i="71"/>
  <c r="F65" i="71"/>
  <c r="C65" i="71"/>
  <c r="H65" i="71" s="1"/>
  <c r="N65" i="71" s="1"/>
  <c r="B65" i="71"/>
  <c r="G65" i="71" s="1"/>
  <c r="R64" i="71"/>
  <c r="Q64" i="71"/>
  <c r="O64" i="71"/>
  <c r="U64" i="71" s="1"/>
  <c r="I64" i="71"/>
  <c r="F64" i="71"/>
  <c r="C64" i="71"/>
  <c r="H64" i="71" s="1"/>
  <c r="N64" i="71" s="1"/>
  <c r="B64" i="71"/>
  <c r="G64" i="71" s="1"/>
  <c r="R63" i="71"/>
  <c r="Q63" i="71"/>
  <c r="O63" i="71"/>
  <c r="U63" i="71" s="1"/>
  <c r="I63" i="71"/>
  <c r="F63" i="71"/>
  <c r="C63" i="71"/>
  <c r="H63" i="71" s="1"/>
  <c r="N63" i="71" s="1"/>
  <c r="B63" i="71"/>
  <c r="G63" i="71" s="1"/>
  <c r="R62" i="71"/>
  <c r="Q62" i="71"/>
  <c r="O62" i="71"/>
  <c r="U62" i="71" s="1"/>
  <c r="I62" i="71"/>
  <c r="F62" i="71"/>
  <c r="C62" i="71"/>
  <c r="H62" i="71" s="1"/>
  <c r="N62" i="71" s="1"/>
  <c r="B62" i="71"/>
  <c r="G62" i="71" s="1"/>
  <c r="R61" i="71"/>
  <c r="Q61" i="71"/>
  <c r="O61" i="71"/>
  <c r="U61" i="71" s="1"/>
  <c r="I61" i="71"/>
  <c r="F61" i="71"/>
  <c r="C61" i="71"/>
  <c r="H61" i="71" s="1"/>
  <c r="N61" i="71" s="1"/>
  <c r="B61" i="71"/>
  <c r="G61" i="71" s="1"/>
  <c r="U60" i="71"/>
  <c r="R60" i="71"/>
  <c r="Q60" i="71"/>
  <c r="O60" i="71"/>
  <c r="I60" i="71"/>
  <c r="F60" i="71"/>
  <c r="C60" i="71"/>
  <c r="H60" i="71" s="1"/>
  <c r="N60" i="71" s="1"/>
  <c r="B60" i="71"/>
  <c r="G60" i="71" s="1"/>
  <c r="R59" i="71"/>
  <c r="Q59" i="71"/>
  <c r="O59" i="71"/>
  <c r="I59" i="71"/>
  <c r="F59" i="71"/>
  <c r="C59" i="71"/>
  <c r="H59" i="71" s="1"/>
  <c r="N59" i="71" s="1"/>
  <c r="B59" i="71"/>
  <c r="G59" i="71" s="1"/>
  <c r="R58" i="71"/>
  <c r="Q58" i="71"/>
  <c r="O58" i="71"/>
  <c r="I58" i="71"/>
  <c r="F58" i="71"/>
  <c r="C58" i="71"/>
  <c r="H58" i="71" s="1"/>
  <c r="N58" i="71" s="1"/>
  <c r="B58" i="71"/>
  <c r="G58" i="71" s="1"/>
  <c r="U57" i="71"/>
  <c r="R57" i="71"/>
  <c r="Q57" i="71"/>
  <c r="O57" i="71"/>
  <c r="I57" i="71"/>
  <c r="F57" i="71"/>
  <c r="C57" i="71"/>
  <c r="H57" i="71" s="1"/>
  <c r="N57" i="71" s="1"/>
  <c r="B57" i="71"/>
  <c r="G57" i="71" s="1"/>
  <c r="U56" i="71"/>
  <c r="R56" i="71"/>
  <c r="Q56" i="71"/>
  <c r="O56" i="71"/>
  <c r="I56" i="71"/>
  <c r="F56" i="71"/>
  <c r="C56" i="71"/>
  <c r="H56" i="71" s="1"/>
  <c r="N56" i="71" s="1"/>
  <c r="B56" i="71"/>
  <c r="G56" i="71" s="1"/>
  <c r="R55" i="71"/>
  <c r="Q55" i="71"/>
  <c r="O55" i="71"/>
  <c r="I55" i="71"/>
  <c r="F55" i="71"/>
  <c r="C55" i="71"/>
  <c r="H55" i="71" s="1"/>
  <c r="N55" i="71" s="1"/>
  <c r="B55" i="71"/>
  <c r="G55" i="71" s="1"/>
  <c r="R54" i="71"/>
  <c r="Q54" i="71"/>
  <c r="O54" i="71"/>
  <c r="I54" i="71"/>
  <c r="F54" i="71"/>
  <c r="C54" i="71"/>
  <c r="H54" i="71" s="1"/>
  <c r="N54" i="71" s="1"/>
  <c r="B54" i="71"/>
  <c r="G54" i="71" s="1"/>
  <c r="R53" i="71"/>
  <c r="Q53" i="71"/>
  <c r="O53" i="71"/>
  <c r="I53" i="71"/>
  <c r="F53" i="71"/>
  <c r="C53" i="71"/>
  <c r="H53" i="71" s="1"/>
  <c r="N53" i="71" s="1"/>
  <c r="B53" i="71"/>
  <c r="G53" i="71" s="1"/>
  <c r="U52" i="71"/>
  <c r="R52" i="71"/>
  <c r="Q52" i="71"/>
  <c r="O52" i="71"/>
  <c r="I52" i="71"/>
  <c r="F52" i="71"/>
  <c r="C52" i="71"/>
  <c r="H52" i="71" s="1"/>
  <c r="N52" i="71" s="1"/>
  <c r="B52" i="71"/>
  <c r="G52" i="71" s="1"/>
  <c r="R51" i="71"/>
  <c r="Q51" i="71"/>
  <c r="O51" i="71"/>
  <c r="I51" i="71"/>
  <c r="F51" i="71"/>
  <c r="C51" i="71"/>
  <c r="H51" i="71" s="1"/>
  <c r="N51" i="71" s="1"/>
  <c r="B51" i="71"/>
  <c r="G51" i="71" s="1"/>
  <c r="R50" i="71"/>
  <c r="Q50" i="71"/>
  <c r="O50" i="71"/>
  <c r="I50" i="71"/>
  <c r="F50" i="71"/>
  <c r="C50" i="71"/>
  <c r="H50" i="71" s="1"/>
  <c r="N50" i="71" s="1"/>
  <c r="B50" i="71"/>
  <c r="G50" i="71" s="1"/>
  <c r="R49" i="71"/>
  <c r="Q49" i="71"/>
  <c r="O49" i="71"/>
  <c r="I49" i="71"/>
  <c r="F49" i="71"/>
  <c r="C49" i="71"/>
  <c r="H49" i="71" s="1"/>
  <c r="N49" i="71" s="1"/>
  <c r="B49" i="71"/>
  <c r="G49" i="71" s="1"/>
  <c r="R48" i="71"/>
  <c r="Q48" i="71"/>
  <c r="O48" i="71"/>
  <c r="U48" i="71" s="1"/>
  <c r="I48" i="71"/>
  <c r="F48" i="71"/>
  <c r="C48" i="71"/>
  <c r="H48" i="71" s="1"/>
  <c r="N48" i="71" s="1"/>
  <c r="B48" i="71"/>
  <c r="G48" i="71" s="1"/>
  <c r="R47" i="71"/>
  <c r="Q47" i="71"/>
  <c r="O47" i="71"/>
  <c r="U47" i="71" s="1"/>
  <c r="I47" i="71"/>
  <c r="F47" i="71"/>
  <c r="C47" i="71"/>
  <c r="H47" i="71" s="1"/>
  <c r="N47" i="71" s="1"/>
  <c r="B47" i="71"/>
  <c r="G47" i="71" s="1"/>
  <c r="R46" i="71"/>
  <c r="Q46" i="71"/>
  <c r="O46" i="71"/>
  <c r="I46" i="71"/>
  <c r="F46" i="71"/>
  <c r="C46" i="71"/>
  <c r="H46" i="71" s="1"/>
  <c r="N46" i="71" s="1"/>
  <c r="B46" i="71"/>
  <c r="G46" i="71" s="1"/>
  <c r="R45" i="71"/>
  <c r="Q45" i="71"/>
  <c r="O45" i="71"/>
  <c r="U45" i="71" s="1"/>
  <c r="I45" i="71"/>
  <c r="F45" i="71"/>
  <c r="C45" i="71"/>
  <c r="H45" i="71" s="1"/>
  <c r="N45" i="71" s="1"/>
  <c r="B45" i="71"/>
  <c r="G45" i="71" s="1"/>
  <c r="R44" i="71"/>
  <c r="Q44" i="71"/>
  <c r="O44" i="71"/>
  <c r="U44" i="71" s="1"/>
  <c r="I44" i="71"/>
  <c r="F44" i="71"/>
  <c r="C44" i="71"/>
  <c r="H44" i="71" s="1"/>
  <c r="N44" i="71" s="1"/>
  <c r="B44" i="71"/>
  <c r="G44" i="71" s="1"/>
  <c r="R43" i="71"/>
  <c r="Q43" i="71"/>
  <c r="O43" i="71"/>
  <c r="U43" i="71" s="1"/>
  <c r="I43" i="71"/>
  <c r="F43" i="71"/>
  <c r="C43" i="71"/>
  <c r="H43" i="71" s="1"/>
  <c r="N43" i="71" s="1"/>
  <c r="B43" i="71"/>
  <c r="G43" i="71" s="1"/>
  <c r="R42" i="71"/>
  <c r="Q42" i="71"/>
  <c r="O42" i="71"/>
  <c r="I42" i="71"/>
  <c r="F42" i="71"/>
  <c r="C42" i="71"/>
  <c r="H42" i="71" s="1"/>
  <c r="N42" i="71" s="1"/>
  <c r="B42" i="71"/>
  <c r="G42" i="71" s="1"/>
  <c r="R41" i="71"/>
  <c r="Q41" i="71"/>
  <c r="O41" i="71"/>
  <c r="U41" i="71" s="1"/>
  <c r="I41" i="71"/>
  <c r="F41" i="71"/>
  <c r="C41" i="71"/>
  <c r="H41" i="71" s="1"/>
  <c r="N41" i="71" s="1"/>
  <c r="B41" i="71"/>
  <c r="G41" i="71" s="1"/>
  <c r="R40" i="71"/>
  <c r="Q40" i="71"/>
  <c r="O40" i="71"/>
  <c r="U40" i="71" s="1"/>
  <c r="I40" i="71"/>
  <c r="F40" i="71"/>
  <c r="C40" i="71"/>
  <c r="H40" i="71" s="1"/>
  <c r="N40" i="71" s="1"/>
  <c r="B40" i="71"/>
  <c r="G40" i="71" s="1"/>
  <c r="R39" i="71"/>
  <c r="Q39" i="71"/>
  <c r="O39" i="71"/>
  <c r="U39" i="71" s="1"/>
  <c r="I39" i="71"/>
  <c r="F39" i="71"/>
  <c r="C39" i="71"/>
  <c r="H39" i="71" s="1"/>
  <c r="N39" i="71" s="1"/>
  <c r="B39" i="71"/>
  <c r="G39" i="71" s="1"/>
  <c r="R38" i="71"/>
  <c r="Q38" i="71"/>
  <c r="O38" i="71"/>
  <c r="I38" i="71"/>
  <c r="F38" i="71"/>
  <c r="C38" i="71"/>
  <c r="H38" i="71" s="1"/>
  <c r="N38" i="71" s="1"/>
  <c r="B38" i="71"/>
  <c r="G38" i="71" s="1"/>
  <c r="R37" i="71"/>
  <c r="Q37" i="71"/>
  <c r="O37" i="71"/>
  <c r="U37" i="71" s="1"/>
  <c r="I37" i="71"/>
  <c r="F37" i="71"/>
  <c r="C37" i="71"/>
  <c r="H37" i="71" s="1"/>
  <c r="N37" i="71" s="1"/>
  <c r="B37" i="71"/>
  <c r="G37" i="71" s="1"/>
  <c r="R36" i="71"/>
  <c r="Q36" i="71"/>
  <c r="O36" i="71"/>
  <c r="U36" i="71" s="1"/>
  <c r="I36" i="71"/>
  <c r="F36" i="71"/>
  <c r="C36" i="71"/>
  <c r="H36" i="71" s="1"/>
  <c r="N36" i="71" s="1"/>
  <c r="B36" i="71"/>
  <c r="G36" i="71" s="1"/>
  <c r="R35" i="71"/>
  <c r="Q35" i="71"/>
  <c r="O35" i="71"/>
  <c r="U35" i="71" s="1"/>
  <c r="I35" i="71"/>
  <c r="F35" i="71"/>
  <c r="C35" i="71"/>
  <c r="H35" i="71" s="1"/>
  <c r="N35" i="71" s="1"/>
  <c r="B35" i="71"/>
  <c r="G35" i="71" s="1"/>
  <c r="R34" i="71"/>
  <c r="Q34" i="71"/>
  <c r="O34" i="71"/>
  <c r="I34" i="71"/>
  <c r="F34" i="71"/>
  <c r="C34" i="71"/>
  <c r="H34" i="71" s="1"/>
  <c r="N34" i="71" s="1"/>
  <c r="B34" i="71"/>
  <c r="G34" i="71" s="1"/>
  <c r="R33" i="71"/>
  <c r="Q33" i="71"/>
  <c r="O33" i="71"/>
  <c r="U33" i="71" s="1"/>
  <c r="I33" i="71"/>
  <c r="F33" i="71"/>
  <c r="C33" i="71"/>
  <c r="H33" i="71" s="1"/>
  <c r="N33" i="71" s="1"/>
  <c r="B33" i="71"/>
  <c r="G33" i="71" s="1"/>
  <c r="R32" i="71"/>
  <c r="Q32" i="71"/>
  <c r="O32" i="71"/>
  <c r="U32" i="71" s="1"/>
  <c r="I32" i="71"/>
  <c r="F32" i="71"/>
  <c r="C32" i="71"/>
  <c r="H32" i="71" s="1"/>
  <c r="N32" i="71" s="1"/>
  <c r="B32" i="71"/>
  <c r="G32" i="71" s="1"/>
  <c r="R31" i="71"/>
  <c r="Q31" i="71"/>
  <c r="O31" i="71"/>
  <c r="U31" i="71" s="1"/>
  <c r="I31" i="71"/>
  <c r="F31" i="71"/>
  <c r="C31" i="71"/>
  <c r="H31" i="71" s="1"/>
  <c r="N31" i="71" s="1"/>
  <c r="B31" i="71"/>
  <c r="G31" i="71" s="1"/>
  <c r="R30" i="71"/>
  <c r="Q30" i="71"/>
  <c r="O30" i="71"/>
  <c r="I30" i="71"/>
  <c r="F30" i="71"/>
  <c r="C30" i="71"/>
  <c r="H30" i="71" s="1"/>
  <c r="N30" i="71" s="1"/>
  <c r="B30" i="71"/>
  <c r="G30" i="71" s="1"/>
  <c r="R29" i="71"/>
  <c r="Q29" i="71"/>
  <c r="O29" i="71"/>
  <c r="U29" i="71" s="1"/>
  <c r="I29" i="71"/>
  <c r="F29" i="71"/>
  <c r="C29" i="71"/>
  <c r="H29" i="71" s="1"/>
  <c r="N29" i="71" s="1"/>
  <c r="B29" i="71"/>
  <c r="G29" i="71" s="1"/>
  <c r="R28" i="71"/>
  <c r="Q28" i="71"/>
  <c r="O28" i="71"/>
  <c r="U28" i="71" s="1"/>
  <c r="I28" i="71"/>
  <c r="F28" i="71"/>
  <c r="C28" i="71"/>
  <c r="H28" i="71" s="1"/>
  <c r="N28" i="71" s="1"/>
  <c r="B28" i="71"/>
  <c r="G28" i="71" s="1"/>
  <c r="R27" i="71"/>
  <c r="Q27" i="71"/>
  <c r="O27" i="71"/>
  <c r="U27" i="71" s="1"/>
  <c r="I27" i="71"/>
  <c r="F27" i="71"/>
  <c r="C27" i="71"/>
  <c r="H27" i="71" s="1"/>
  <c r="N27" i="71" s="1"/>
  <c r="B27" i="71"/>
  <c r="G27" i="71" s="1"/>
  <c r="R26" i="71"/>
  <c r="Q26" i="71"/>
  <c r="O26" i="71"/>
  <c r="I26" i="71"/>
  <c r="F26" i="71"/>
  <c r="C26" i="71"/>
  <c r="H26" i="71" s="1"/>
  <c r="N26" i="71" s="1"/>
  <c r="B26" i="71"/>
  <c r="G26" i="71" s="1"/>
  <c r="R25" i="71"/>
  <c r="Q25" i="71"/>
  <c r="O25" i="71"/>
  <c r="U25" i="71" s="1"/>
  <c r="I25" i="71"/>
  <c r="F25" i="71"/>
  <c r="C25" i="71"/>
  <c r="H25" i="71" s="1"/>
  <c r="N25" i="71" s="1"/>
  <c r="B25" i="71"/>
  <c r="G25" i="71" s="1"/>
  <c r="R24" i="71"/>
  <c r="Q24" i="71"/>
  <c r="O24" i="71"/>
  <c r="U24" i="71" s="1"/>
  <c r="I24" i="71"/>
  <c r="F24" i="71"/>
  <c r="C24" i="71"/>
  <c r="H24" i="71" s="1"/>
  <c r="N24" i="71" s="1"/>
  <c r="B24" i="71"/>
  <c r="G24" i="71" s="1"/>
  <c r="R23" i="71"/>
  <c r="Q23" i="71"/>
  <c r="O23" i="71"/>
  <c r="U23" i="71" s="1"/>
  <c r="I23" i="71"/>
  <c r="F23" i="71"/>
  <c r="C23" i="71"/>
  <c r="H23" i="71" s="1"/>
  <c r="N23" i="71" s="1"/>
  <c r="B23" i="71"/>
  <c r="G23" i="71" s="1"/>
  <c r="R22" i="71"/>
  <c r="Q22" i="71"/>
  <c r="O22" i="71"/>
  <c r="I22" i="71"/>
  <c r="F22" i="71"/>
  <c r="C22" i="71"/>
  <c r="H22" i="71" s="1"/>
  <c r="N22" i="71" s="1"/>
  <c r="B22" i="71"/>
  <c r="G22" i="71" s="1"/>
  <c r="R21" i="71"/>
  <c r="Q21" i="71"/>
  <c r="O21" i="71"/>
  <c r="U21" i="71" s="1"/>
  <c r="I21" i="71"/>
  <c r="F21" i="71"/>
  <c r="C21" i="71"/>
  <c r="H21" i="71" s="1"/>
  <c r="N21" i="71" s="1"/>
  <c r="B21" i="71"/>
  <c r="G21" i="71" s="1"/>
  <c r="R20" i="71"/>
  <c r="Q20" i="71"/>
  <c r="O20" i="71"/>
  <c r="U20" i="71" s="1"/>
  <c r="I20" i="71"/>
  <c r="F20" i="71"/>
  <c r="C20" i="71"/>
  <c r="H20" i="71" s="1"/>
  <c r="N20" i="71" s="1"/>
  <c r="B20" i="71"/>
  <c r="G20" i="71" s="1"/>
  <c r="R19" i="71"/>
  <c r="Q19" i="71"/>
  <c r="O19" i="71"/>
  <c r="U19" i="71" s="1"/>
  <c r="I19" i="71"/>
  <c r="F19" i="71"/>
  <c r="C19" i="71"/>
  <c r="H19" i="71" s="1"/>
  <c r="N19" i="71" s="1"/>
  <c r="B19" i="71"/>
  <c r="G19" i="71" s="1"/>
  <c r="R18" i="71"/>
  <c r="Q18" i="71"/>
  <c r="O18" i="71"/>
  <c r="I18" i="71"/>
  <c r="F18" i="71"/>
  <c r="C18" i="71"/>
  <c r="H18" i="71" s="1"/>
  <c r="N18" i="71" s="1"/>
  <c r="B18" i="71"/>
  <c r="G18" i="71" s="1"/>
  <c r="R17" i="71"/>
  <c r="Q17" i="71"/>
  <c r="O17" i="71"/>
  <c r="U17" i="71" s="1"/>
  <c r="I17" i="71"/>
  <c r="F17" i="71"/>
  <c r="C17" i="71"/>
  <c r="H17" i="71" s="1"/>
  <c r="N17" i="71" s="1"/>
  <c r="B17" i="71"/>
  <c r="G17" i="71" s="1"/>
  <c r="R16" i="71"/>
  <c r="Q16" i="71"/>
  <c r="O16" i="71"/>
  <c r="U16" i="71" s="1"/>
  <c r="I16" i="71"/>
  <c r="F16" i="71"/>
  <c r="C16" i="71"/>
  <c r="H16" i="71" s="1"/>
  <c r="N16" i="71" s="1"/>
  <c r="B16" i="71"/>
  <c r="G16" i="71" s="1"/>
  <c r="R15" i="71"/>
  <c r="Q15" i="71"/>
  <c r="O15" i="71"/>
  <c r="U15" i="71" s="1"/>
  <c r="I15" i="71"/>
  <c r="F15" i="71"/>
  <c r="C15" i="71"/>
  <c r="H15" i="71" s="1"/>
  <c r="N15" i="71" s="1"/>
  <c r="B15" i="71"/>
  <c r="G15" i="71" s="1"/>
  <c r="R14" i="71"/>
  <c r="Q14" i="71"/>
  <c r="O14" i="71"/>
  <c r="I14" i="71"/>
  <c r="G14" i="71"/>
  <c r="F14" i="71"/>
  <c r="C14" i="71"/>
  <c r="H14" i="71" s="1"/>
  <c r="N14" i="71" s="1"/>
  <c r="B14" i="71"/>
  <c r="R13" i="71"/>
  <c r="Q13" i="71"/>
  <c r="O13" i="71"/>
  <c r="I13" i="71"/>
  <c r="F13" i="71"/>
  <c r="C13" i="71"/>
  <c r="H13" i="71" s="1"/>
  <c r="N13" i="71" s="1"/>
  <c r="B13" i="71"/>
  <c r="G13" i="71" s="1"/>
  <c r="U12" i="71"/>
  <c r="R12" i="71"/>
  <c r="Q12" i="71"/>
  <c r="O12" i="71"/>
  <c r="I12" i="71"/>
  <c r="F12" i="71"/>
  <c r="C12" i="71"/>
  <c r="H12" i="71" s="1"/>
  <c r="N12" i="71" s="1"/>
  <c r="B12" i="71"/>
  <c r="G12" i="71" s="1"/>
  <c r="U11" i="71"/>
  <c r="R11" i="71"/>
  <c r="Q11" i="71"/>
  <c r="O11" i="71"/>
  <c r="I11" i="71"/>
  <c r="F11" i="71"/>
  <c r="C11" i="71"/>
  <c r="H11" i="71" s="1"/>
  <c r="N11" i="71" s="1"/>
  <c r="B11" i="71"/>
  <c r="G11" i="71" s="1"/>
  <c r="R10" i="71"/>
  <c r="Q10" i="71"/>
  <c r="O10" i="71"/>
  <c r="I10" i="71"/>
  <c r="F10" i="71"/>
  <c r="C10" i="71"/>
  <c r="H10" i="71" s="1"/>
  <c r="N10" i="71" s="1"/>
  <c r="B10" i="71"/>
  <c r="G10" i="71" s="1"/>
  <c r="R9" i="71"/>
  <c r="Q9" i="71"/>
  <c r="O9" i="71"/>
  <c r="I9" i="71"/>
  <c r="F9" i="71"/>
  <c r="C9" i="71"/>
  <c r="H9" i="71" s="1"/>
  <c r="N9" i="71" s="1"/>
  <c r="B9" i="71"/>
  <c r="G9" i="71" s="1"/>
  <c r="R8" i="71"/>
  <c r="Q8" i="71"/>
  <c r="O8" i="71"/>
  <c r="U8" i="71" s="1"/>
  <c r="I8" i="71"/>
  <c r="F8" i="71"/>
  <c r="C8" i="71"/>
  <c r="H8" i="71" s="1"/>
  <c r="N8" i="71" s="1"/>
  <c r="B8" i="71"/>
  <c r="G8" i="71" s="1"/>
  <c r="R7" i="71"/>
  <c r="Q7" i="71"/>
  <c r="O7" i="71"/>
  <c r="I7" i="71"/>
  <c r="F7" i="71"/>
  <c r="C7" i="71"/>
  <c r="H7" i="71" s="1"/>
  <c r="N7" i="71" s="1"/>
  <c r="B7" i="71"/>
  <c r="G7" i="71" s="1"/>
  <c r="R6" i="71"/>
  <c r="Q6" i="71"/>
  <c r="O6" i="71"/>
  <c r="I6" i="71"/>
  <c r="F6" i="71"/>
  <c r="C6" i="71"/>
  <c r="H6" i="71" s="1"/>
  <c r="N6" i="71" s="1"/>
  <c r="B6" i="71"/>
  <c r="G6" i="71" s="1"/>
  <c r="R5" i="71"/>
  <c r="Q5" i="71"/>
  <c r="O5" i="71"/>
  <c r="I5" i="71"/>
  <c r="F5" i="71"/>
  <c r="C5" i="71"/>
  <c r="H5" i="71" s="1"/>
  <c r="N5" i="71" s="1"/>
  <c r="B5" i="71"/>
  <c r="G5" i="71" s="1"/>
  <c r="R4" i="71"/>
  <c r="Q4" i="71"/>
  <c r="O4" i="71"/>
  <c r="U4" i="71" s="1"/>
  <c r="I4" i="71"/>
  <c r="F4" i="71"/>
  <c r="C4" i="71"/>
  <c r="H4" i="71" s="1"/>
  <c r="N4" i="71" s="1"/>
  <c r="B4" i="71"/>
  <c r="G4" i="71" s="1"/>
  <c r="R3" i="71"/>
  <c r="Q3" i="71"/>
  <c r="O3" i="71"/>
  <c r="I3" i="71"/>
  <c r="F3" i="71"/>
  <c r="C3" i="71"/>
  <c r="H3" i="71" s="1"/>
  <c r="N3" i="71" s="1"/>
  <c r="B3" i="71"/>
  <c r="G3" i="71" s="1"/>
  <c r="R103" i="70"/>
  <c r="Q103" i="70"/>
  <c r="O103" i="70"/>
  <c r="U103" i="70" s="1"/>
  <c r="I103" i="70"/>
  <c r="F103" i="70"/>
  <c r="C103" i="70"/>
  <c r="H103" i="70" s="1"/>
  <c r="N103" i="70" s="1"/>
  <c r="B103" i="70"/>
  <c r="G103" i="70" s="1"/>
  <c r="R102" i="70"/>
  <c r="Q102" i="70"/>
  <c r="O102" i="70"/>
  <c r="I102" i="70"/>
  <c r="F102" i="70"/>
  <c r="C102" i="70"/>
  <c r="H102" i="70" s="1"/>
  <c r="N102" i="70" s="1"/>
  <c r="B102" i="70"/>
  <c r="G102" i="70" s="1"/>
  <c r="R101" i="70"/>
  <c r="Q101" i="70"/>
  <c r="O101" i="70"/>
  <c r="U101" i="70" s="1"/>
  <c r="I101" i="70"/>
  <c r="F101" i="70"/>
  <c r="C101" i="70"/>
  <c r="H101" i="70" s="1"/>
  <c r="N101" i="70" s="1"/>
  <c r="B101" i="70"/>
  <c r="G101" i="70" s="1"/>
  <c r="R100" i="70"/>
  <c r="Q100" i="70"/>
  <c r="O100" i="70"/>
  <c r="U100" i="70" s="1"/>
  <c r="I100" i="70"/>
  <c r="F100" i="70"/>
  <c r="C100" i="70"/>
  <c r="H100" i="70" s="1"/>
  <c r="N100" i="70" s="1"/>
  <c r="B100" i="70"/>
  <c r="G100" i="70" s="1"/>
  <c r="R99" i="70"/>
  <c r="Q99" i="70"/>
  <c r="O99" i="70"/>
  <c r="U99" i="70" s="1"/>
  <c r="I99" i="70"/>
  <c r="F99" i="70"/>
  <c r="C99" i="70"/>
  <c r="H99" i="70" s="1"/>
  <c r="N99" i="70" s="1"/>
  <c r="B99" i="70"/>
  <c r="G99" i="70" s="1"/>
  <c r="R98" i="70"/>
  <c r="Q98" i="70"/>
  <c r="O98" i="70"/>
  <c r="I98" i="70"/>
  <c r="F98" i="70"/>
  <c r="C98" i="70"/>
  <c r="H98" i="70" s="1"/>
  <c r="N98" i="70" s="1"/>
  <c r="B98" i="70"/>
  <c r="G98" i="70" s="1"/>
  <c r="R97" i="70"/>
  <c r="Q97" i="70"/>
  <c r="O97" i="70"/>
  <c r="U97" i="70" s="1"/>
  <c r="I97" i="70"/>
  <c r="F97" i="70"/>
  <c r="C97" i="70"/>
  <c r="H97" i="70" s="1"/>
  <c r="N97" i="70" s="1"/>
  <c r="B97" i="70"/>
  <c r="G97" i="70" s="1"/>
  <c r="R96" i="70"/>
  <c r="Q96" i="70"/>
  <c r="O96" i="70"/>
  <c r="U96" i="70" s="1"/>
  <c r="I96" i="70"/>
  <c r="F96" i="70"/>
  <c r="C96" i="70"/>
  <c r="H96" i="70" s="1"/>
  <c r="N96" i="70" s="1"/>
  <c r="B96" i="70"/>
  <c r="G96" i="70" s="1"/>
  <c r="R95" i="70"/>
  <c r="Q95" i="70"/>
  <c r="O95" i="70"/>
  <c r="U95" i="70" s="1"/>
  <c r="I95" i="70"/>
  <c r="F95" i="70"/>
  <c r="C95" i="70"/>
  <c r="H95" i="70" s="1"/>
  <c r="N95" i="70" s="1"/>
  <c r="B95" i="70"/>
  <c r="G95" i="70" s="1"/>
  <c r="R94" i="70"/>
  <c r="Q94" i="70"/>
  <c r="O94" i="70"/>
  <c r="I94" i="70"/>
  <c r="F94" i="70"/>
  <c r="C94" i="70"/>
  <c r="H94" i="70" s="1"/>
  <c r="N94" i="70" s="1"/>
  <c r="B94" i="70"/>
  <c r="G94" i="70" s="1"/>
  <c r="R93" i="70"/>
  <c r="Q93" i="70"/>
  <c r="O93" i="70"/>
  <c r="U93" i="70" s="1"/>
  <c r="I93" i="70"/>
  <c r="F93" i="70"/>
  <c r="C93" i="70"/>
  <c r="H93" i="70" s="1"/>
  <c r="N93" i="70" s="1"/>
  <c r="B93" i="70"/>
  <c r="G93" i="70" s="1"/>
  <c r="R92" i="70"/>
  <c r="Q92" i="70"/>
  <c r="O92" i="70"/>
  <c r="U92" i="70" s="1"/>
  <c r="I92" i="70"/>
  <c r="F92" i="70"/>
  <c r="C92" i="70"/>
  <c r="H92" i="70" s="1"/>
  <c r="N92" i="70" s="1"/>
  <c r="B92" i="70"/>
  <c r="G92" i="70" s="1"/>
  <c r="R91" i="70"/>
  <c r="Q91" i="70"/>
  <c r="O91" i="70"/>
  <c r="U91" i="70" s="1"/>
  <c r="I91" i="70"/>
  <c r="F91" i="70"/>
  <c r="C91" i="70"/>
  <c r="H91" i="70" s="1"/>
  <c r="N91" i="70" s="1"/>
  <c r="B91" i="70"/>
  <c r="G91" i="70" s="1"/>
  <c r="R90" i="70"/>
  <c r="Q90" i="70"/>
  <c r="O90" i="70"/>
  <c r="I90" i="70"/>
  <c r="F90" i="70"/>
  <c r="C90" i="70"/>
  <c r="H90" i="70" s="1"/>
  <c r="N90" i="70" s="1"/>
  <c r="B90" i="70"/>
  <c r="G90" i="70" s="1"/>
  <c r="R89" i="70"/>
  <c r="Q89" i="70"/>
  <c r="O89" i="70"/>
  <c r="U89" i="70" s="1"/>
  <c r="I89" i="70"/>
  <c r="F89" i="70"/>
  <c r="C89" i="70"/>
  <c r="H89" i="70" s="1"/>
  <c r="N89" i="70" s="1"/>
  <c r="B89" i="70"/>
  <c r="G89" i="70" s="1"/>
  <c r="R88" i="70"/>
  <c r="Q88" i="70"/>
  <c r="O88" i="70"/>
  <c r="U88" i="70" s="1"/>
  <c r="I88" i="70"/>
  <c r="F88" i="70"/>
  <c r="C88" i="70"/>
  <c r="H88" i="70" s="1"/>
  <c r="N88" i="70" s="1"/>
  <c r="B88" i="70"/>
  <c r="G88" i="70" s="1"/>
  <c r="R87" i="70"/>
  <c r="Q87" i="70"/>
  <c r="O87" i="70"/>
  <c r="U87" i="70" s="1"/>
  <c r="I87" i="70"/>
  <c r="F87" i="70"/>
  <c r="C87" i="70"/>
  <c r="H87" i="70" s="1"/>
  <c r="N87" i="70" s="1"/>
  <c r="B87" i="70"/>
  <c r="G87" i="70" s="1"/>
  <c r="R86" i="70"/>
  <c r="Q86" i="70"/>
  <c r="O86" i="70"/>
  <c r="I86" i="70"/>
  <c r="F86" i="70"/>
  <c r="C86" i="70"/>
  <c r="H86" i="70" s="1"/>
  <c r="N86" i="70" s="1"/>
  <c r="B86" i="70"/>
  <c r="G86" i="70" s="1"/>
  <c r="R85" i="70"/>
  <c r="Q85" i="70"/>
  <c r="O85" i="70"/>
  <c r="U85" i="70" s="1"/>
  <c r="I85" i="70"/>
  <c r="F85" i="70"/>
  <c r="C85" i="70"/>
  <c r="H85" i="70" s="1"/>
  <c r="N85" i="70" s="1"/>
  <c r="B85" i="70"/>
  <c r="G85" i="70" s="1"/>
  <c r="R84" i="70"/>
  <c r="Q84" i="70"/>
  <c r="O84" i="70"/>
  <c r="U84" i="70" s="1"/>
  <c r="I84" i="70"/>
  <c r="F84" i="70"/>
  <c r="C84" i="70"/>
  <c r="H84" i="70" s="1"/>
  <c r="N84" i="70" s="1"/>
  <c r="B84" i="70"/>
  <c r="G84" i="70" s="1"/>
  <c r="R83" i="70"/>
  <c r="Q83" i="70"/>
  <c r="O83" i="70"/>
  <c r="U83" i="70" s="1"/>
  <c r="I83" i="70"/>
  <c r="F83" i="70"/>
  <c r="C83" i="70"/>
  <c r="H83" i="70" s="1"/>
  <c r="N83" i="70" s="1"/>
  <c r="B83" i="70"/>
  <c r="G83" i="70" s="1"/>
  <c r="R82" i="70"/>
  <c r="Q82" i="70"/>
  <c r="O82" i="70"/>
  <c r="I82" i="70"/>
  <c r="F82" i="70"/>
  <c r="C82" i="70"/>
  <c r="H82" i="70" s="1"/>
  <c r="N82" i="70" s="1"/>
  <c r="B82" i="70"/>
  <c r="G82" i="70" s="1"/>
  <c r="R81" i="70"/>
  <c r="Q81" i="70"/>
  <c r="O81" i="70"/>
  <c r="U81" i="70" s="1"/>
  <c r="I81" i="70"/>
  <c r="F81" i="70"/>
  <c r="C81" i="70"/>
  <c r="H81" i="70" s="1"/>
  <c r="N81" i="70" s="1"/>
  <c r="B81" i="70"/>
  <c r="G81" i="70" s="1"/>
  <c r="R80" i="70"/>
  <c r="Q80" i="70"/>
  <c r="O80" i="70"/>
  <c r="U80" i="70" s="1"/>
  <c r="I80" i="70"/>
  <c r="F80" i="70"/>
  <c r="C80" i="70"/>
  <c r="H80" i="70" s="1"/>
  <c r="N80" i="70" s="1"/>
  <c r="B80" i="70"/>
  <c r="G80" i="70" s="1"/>
  <c r="R79" i="70"/>
  <c r="Q79" i="70"/>
  <c r="O79" i="70"/>
  <c r="U79" i="70" s="1"/>
  <c r="I79" i="70"/>
  <c r="F79" i="70"/>
  <c r="C79" i="70"/>
  <c r="H79" i="70" s="1"/>
  <c r="N79" i="70" s="1"/>
  <c r="B79" i="70"/>
  <c r="G79" i="70" s="1"/>
  <c r="R78" i="70"/>
  <c r="Q78" i="70"/>
  <c r="O78" i="70"/>
  <c r="I78" i="70"/>
  <c r="F78" i="70"/>
  <c r="C78" i="70"/>
  <c r="H78" i="70" s="1"/>
  <c r="N78" i="70" s="1"/>
  <c r="B78" i="70"/>
  <c r="G78" i="70" s="1"/>
  <c r="R77" i="70"/>
  <c r="Q77" i="70"/>
  <c r="O77" i="70"/>
  <c r="U77" i="70" s="1"/>
  <c r="I77" i="70"/>
  <c r="F77" i="70"/>
  <c r="C77" i="70"/>
  <c r="H77" i="70" s="1"/>
  <c r="N77" i="70" s="1"/>
  <c r="B77" i="70"/>
  <c r="G77" i="70" s="1"/>
  <c r="R76" i="70"/>
  <c r="Q76" i="70"/>
  <c r="O76" i="70"/>
  <c r="U76" i="70" s="1"/>
  <c r="I76" i="70"/>
  <c r="F76" i="70"/>
  <c r="C76" i="70"/>
  <c r="H76" i="70" s="1"/>
  <c r="N76" i="70" s="1"/>
  <c r="B76" i="70"/>
  <c r="G76" i="70" s="1"/>
  <c r="R75" i="70"/>
  <c r="Q75" i="70"/>
  <c r="O75" i="70"/>
  <c r="U75" i="70" s="1"/>
  <c r="I75" i="70"/>
  <c r="F75" i="70"/>
  <c r="C75" i="70"/>
  <c r="H75" i="70" s="1"/>
  <c r="N75" i="70" s="1"/>
  <c r="B75" i="70"/>
  <c r="G75" i="70" s="1"/>
  <c r="R74" i="70"/>
  <c r="Q74" i="70"/>
  <c r="O74" i="70"/>
  <c r="I74" i="70"/>
  <c r="F74" i="70"/>
  <c r="C74" i="70"/>
  <c r="H74" i="70" s="1"/>
  <c r="N74" i="70" s="1"/>
  <c r="B74" i="70"/>
  <c r="G74" i="70" s="1"/>
  <c r="R73" i="70"/>
  <c r="Q73" i="70"/>
  <c r="O73" i="70"/>
  <c r="U73" i="70" s="1"/>
  <c r="I73" i="70"/>
  <c r="F73" i="70"/>
  <c r="C73" i="70"/>
  <c r="H73" i="70" s="1"/>
  <c r="N73" i="70" s="1"/>
  <c r="B73" i="70"/>
  <c r="G73" i="70" s="1"/>
  <c r="R72" i="70"/>
  <c r="Q72" i="70"/>
  <c r="O72" i="70"/>
  <c r="U72" i="70" s="1"/>
  <c r="I72" i="70"/>
  <c r="F72" i="70"/>
  <c r="C72" i="70"/>
  <c r="H72" i="70" s="1"/>
  <c r="N72" i="70" s="1"/>
  <c r="B72" i="70"/>
  <c r="G72" i="70" s="1"/>
  <c r="R71" i="70"/>
  <c r="Q71" i="70"/>
  <c r="O71" i="70"/>
  <c r="U71" i="70" s="1"/>
  <c r="I71" i="70"/>
  <c r="F71" i="70"/>
  <c r="C71" i="70"/>
  <c r="H71" i="70" s="1"/>
  <c r="N71" i="70" s="1"/>
  <c r="B71" i="70"/>
  <c r="G71" i="70" s="1"/>
  <c r="R70" i="70"/>
  <c r="Q70" i="70"/>
  <c r="O70" i="70"/>
  <c r="I70" i="70"/>
  <c r="F70" i="70"/>
  <c r="C70" i="70"/>
  <c r="H70" i="70" s="1"/>
  <c r="N70" i="70" s="1"/>
  <c r="B70" i="70"/>
  <c r="G70" i="70" s="1"/>
  <c r="R69" i="70"/>
  <c r="Q69" i="70"/>
  <c r="O69" i="70"/>
  <c r="U69" i="70" s="1"/>
  <c r="I69" i="70"/>
  <c r="G69" i="70"/>
  <c r="F69" i="70"/>
  <c r="C69" i="70"/>
  <c r="H69" i="70" s="1"/>
  <c r="N69" i="70" s="1"/>
  <c r="B69" i="70"/>
  <c r="R68" i="70"/>
  <c r="Q68" i="70"/>
  <c r="O68" i="70"/>
  <c r="U68" i="70" s="1"/>
  <c r="I68" i="70"/>
  <c r="F68" i="70"/>
  <c r="C68" i="70"/>
  <c r="H68" i="70" s="1"/>
  <c r="N68" i="70" s="1"/>
  <c r="B68" i="70"/>
  <c r="G68" i="70" s="1"/>
  <c r="R67" i="70"/>
  <c r="Q67" i="70"/>
  <c r="O67" i="70"/>
  <c r="U67" i="70" s="1"/>
  <c r="I67" i="70"/>
  <c r="F67" i="70"/>
  <c r="C67" i="70"/>
  <c r="H67" i="70" s="1"/>
  <c r="N67" i="70" s="1"/>
  <c r="B67" i="70"/>
  <c r="G67" i="70" s="1"/>
  <c r="R66" i="70"/>
  <c r="Q66" i="70"/>
  <c r="O66" i="70"/>
  <c r="I66" i="70"/>
  <c r="F66" i="70"/>
  <c r="C66" i="70"/>
  <c r="H66" i="70" s="1"/>
  <c r="N66" i="70" s="1"/>
  <c r="B66" i="70"/>
  <c r="G66" i="70" s="1"/>
  <c r="R65" i="70"/>
  <c r="Q65" i="70"/>
  <c r="O65" i="70"/>
  <c r="U65" i="70" s="1"/>
  <c r="I65" i="70"/>
  <c r="F65" i="70"/>
  <c r="C65" i="70"/>
  <c r="H65" i="70" s="1"/>
  <c r="N65" i="70" s="1"/>
  <c r="B65" i="70"/>
  <c r="G65" i="70" s="1"/>
  <c r="R64" i="70"/>
  <c r="Q64" i="70"/>
  <c r="O64" i="70"/>
  <c r="U64" i="70" s="1"/>
  <c r="I64" i="70"/>
  <c r="F64" i="70"/>
  <c r="C64" i="70"/>
  <c r="H64" i="70" s="1"/>
  <c r="N64" i="70" s="1"/>
  <c r="B64" i="70"/>
  <c r="G64" i="70" s="1"/>
  <c r="R63" i="70"/>
  <c r="Q63" i="70"/>
  <c r="O63" i="70"/>
  <c r="U63" i="70" s="1"/>
  <c r="I63" i="70"/>
  <c r="F63" i="70"/>
  <c r="C63" i="70"/>
  <c r="H63" i="70" s="1"/>
  <c r="N63" i="70" s="1"/>
  <c r="B63" i="70"/>
  <c r="G63" i="70" s="1"/>
  <c r="R62" i="70"/>
  <c r="Q62" i="70"/>
  <c r="O62" i="70"/>
  <c r="I62" i="70"/>
  <c r="F62" i="70"/>
  <c r="C62" i="70"/>
  <c r="H62" i="70" s="1"/>
  <c r="N62" i="70" s="1"/>
  <c r="B62" i="70"/>
  <c r="G62" i="70" s="1"/>
  <c r="R61" i="70"/>
  <c r="Q61" i="70"/>
  <c r="O61" i="70"/>
  <c r="U61" i="70" s="1"/>
  <c r="I61" i="70"/>
  <c r="F61" i="70"/>
  <c r="C61" i="70"/>
  <c r="H61" i="70" s="1"/>
  <c r="N61" i="70" s="1"/>
  <c r="B61" i="70"/>
  <c r="G61" i="70" s="1"/>
  <c r="R60" i="70"/>
  <c r="Q60" i="70"/>
  <c r="O60" i="70"/>
  <c r="U60" i="70" s="1"/>
  <c r="I60" i="70"/>
  <c r="F60" i="70"/>
  <c r="C60" i="70"/>
  <c r="H60" i="70" s="1"/>
  <c r="N60" i="70" s="1"/>
  <c r="B60" i="70"/>
  <c r="G60" i="70" s="1"/>
  <c r="R59" i="70"/>
  <c r="Q59" i="70"/>
  <c r="O59" i="70"/>
  <c r="U59" i="70" s="1"/>
  <c r="I59" i="70"/>
  <c r="F59" i="70"/>
  <c r="C59" i="70"/>
  <c r="H59" i="70" s="1"/>
  <c r="N59" i="70" s="1"/>
  <c r="B59" i="70"/>
  <c r="G59" i="70" s="1"/>
  <c r="R58" i="70"/>
  <c r="Q58" i="70"/>
  <c r="O58" i="70"/>
  <c r="I58" i="70"/>
  <c r="F58" i="70"/>
  <c r="C58" i="70"/>
  <c r="H58" i="70" s="1"/>
  <c r="N58" i="70" s="1"/>
  <c r="B58" i="70"/>
  <c r="G58" i="70" s="1"/>
  <c r="R57" i="70"/>
  <c r="Q57" i="70"/>
  <c r="O57" i="70"/>
  <c r="U57" i="70" s="1"/>
  <c r="I57" i="70"/>
  <c r="F57" i="70"/>
  <c r="C57" i="70"/>
  <c r="H57" i="70" s="1"/>
  <c r="N57" i="70" s="1"/>
  <c r="B57" i="70"/>
  <c r="G57" i="70" s="1"/>
  <c r="R56" i="70"/>
  <c r="Q56" i="70"/>
  <c r="O56" i="70"/>
  <c r="U56" i="70" s="1"/>
  <c r="I56" i="70"/>
  <c r="F56" i="70"/>
  <c r="C56" i="70"/>
  <c r="H56" i="70" s="1"/>
  <c r="N56" i="70" s="1"/>
  <c r="B56" i="70"/>
  <c r="G56" i="70" s="1"/>
  <c r="R55" i="70"/>
  <c r="Q55" i="70"/>
  <c r="O55" i="70"/>
  <c r="U55" i="70" s="1"/>
  <c r="I55" i="70"/>
  <c r="F55" i="70"/>
  <c r="C55" i="70"/>
  <c r="H55" i="70" s="1"/>
  <c r="N55" i="70" s="1"/>
  <c r="B55" i="70"/>
  <c r="G55" i="70" s="1"/>
  <c r="R54" i="70"/>
  <c r="Q54" i="70"/>
  <c r="O54" i="70"/>
  <c r="I54" i="70"/>
  <c r="F54" i="70"/>
  <c r="C54" i="70"/>
  <c r="H54" i="70" s="1"/>
  <c r="N54" i="70" s="1"/>
  <c r="B54" i="70"/>
  <c r="G54" i="70" s="1"/>
  <c r="R53" i="70"/>
  <c r="Q53" i="70"/>
  <c r="O53" i="70"/>
  <c r="U53" i="70" s="1"/>
  <c r="I53" i="70"/>
  <c r="F53" i="70"/>
  <c r="C53" i="70"/>
  <c r="H53" i="70" s="1"/>
  <c r="N53" i="70" s="1"/>
  <c r="B53" i="70"/>
  <c r="G53" i="70" s="1"/>
  <c r="R52" i="70"/>
  <c r="Q52" i="70"/>
  <c r="O52" i="70"/>
  <c r="U52" i="70" s="1"/>
  <c r="I52" i="70"/>
  <c r="F52" i="70"/>
  <c r="C52" i="70"/>
  <c r="H52" i="70" s="1"/>
  <c r="N52" i="70" s="1"/>
  <c r="B52" i="70"/>
  <c r="G52" i="70" s="1"/>
  <c r="R51" i="70"/>
  <c r="Q51" i="70"/>
  <c r="O51" i="70"/>
  <c r="U51" i="70" s="1"/>
  <c r="I51" i="70"/>
  <c r="F51" i="70"/>
  <c r="C51" i="70"/>
  <c r="H51" i="70" s="1"/>
  <c r="N51" i="70" s="1"/>
  <c r="B51" i="70"/>
  <c r="G51" i="70" s="1"/>
  <c r="R50" i="70"/>
  <c r="Q50" i="70"/>
  <c r="O50" i="70"/>
  <c r="I50" i="70"/>
  <c r="F50" i="70"/>
  <c r="C50" i="70"/>
  <c r="H50" i="70" s="1"/>
  <c r="N50" i="70" s="1"/>
  <c r="B50" i="70"/>
  <c r="G50" i="70" s="1"/>
  <c r="R49" i="70"/>
  <c r="Q49" i="70"/>
  <c r="O49" i="70"/>
  <c r="U49" i="70" s="1"/>
  <c r="I49" i="70"/>
  <c r="F49" i="70"/>
  <c r="C49" i="70"/>
  <c r="H49" i="70" s="1"/>
  <c r="N49" i="70" s="1"/>
  <c r="B49" i="70"/>
  <c r="G49" i="70" s="1"/>
  <c r="R48" i="70"/>
  <c r="Q48" i="70"/>
  <c r="O48" i="70"/>
  <c r="U48" i="70" s="1"/>
  <c r="I48" i="70"/>
  <c r="F48" i="70"/>
  <c r="C48" i="70"/>
  <c r="H48" i="70" s="1"/>
  <c r="N48" i="70" s="1"/>
  <c r="B48" i="70"/>
  <c r="G48" i="70" s="1"/>
  <c r="R47" i="70"/>
  <c r="Q47" i="70"/>
  <c r="O47" i="70"/>
  <c r="U47" i="70" s="1"/>
  <c r="I47" i="70"/>
  <c r="F47" i="70"/>
  <c r="C47" i="70"/>
  <c r="H47" i="70" s="1"/>
  <c r="N47" i="70" s="1"/>
  <c r="B47" i="70"/>
  <c r="G47" i="70" s="1"/>
  <c r="R46" i="70"/>
  <c r="Q46" i="70"/>
  <c r="O46" i="70"/>
  <c r="I46" i="70"/>
  <c r="F46" i="70"/>
  <c r="C46" i="70"/>
  <c r="H46" i="70" s="1"/>
  <c r="N46" i="70" s="1"/>
  <c r="B46" i="70"/>
  <c r="G46" i="70" s="1"/>
  <c r="R45" i="70"/>
  <c r="Q45" i="70"/>
  <c r="O45" i="70"/>
  <c r="U45" i="70" s="1"/>
  <c r="I45" i="70"/>
  <c r="F45" i="70"/>
  <c r="C45" i="70"/>
  <c r="H45" i="70" s="1"/>
  <c r="N45" i="70" s="1"/>
  <c r="B45" i="70"/>
  <c r="G45" i="70" s="1"/>
  <c r="R44" i="70"/>
  <c r="Q44" i="70"/>
  <c r="O44" i="70"/>
  <c r="U44" i="70" s="1"/>
  <c r="I44" i="70"/>
  <c r="F44" i="70"/>
  <c r="C44" i="70"/>
  <c r="H44" i="70" s="1"/>
  <c r="N44" i="70" s="1"/>
  <c r="B44" i="70"/>
  <c r="G44" i="70" s="1"/>
  <c r="R43" i="70"/>
  <c r="Q43" i="70"/>
  <c r="O43" i="70"/>
  <c r="U43" i="70" s="1"/>
  <c r="I43" i="70"/>
  <c r="F43" i="70"/>
  <c r="C43" i="70"/>
  <c r="H43" i="70" s="1"/>
  <c r="N43" i="70" s="1"/>
  <c r="B43" i="70"/>
  <c r="G43" i="70" s="1"/>
  <c r="R42" i="70"/>
  <c r="Q42" i="70"/>
  <c r="O42" i="70"/>
  <c r="I42" i="70"/>
  <c r="F42" i="70"/>
  <c r="C42" i="70"/>
  <c r="H42" i="70" s="1"/>
  <c r="N42" i="70" s="1"/>
  <c r="B42" i="70"/>
  <c r="G42" i="70" s="1"/>
  <c r="R41" i="70"/>
  <c r="Q41" i="70"/>
  <c r="O41" i="70"/>
  <c r="U41" i="70" s="1"/>
  <c r="I41" i="70"/>
  <c r="F41" i="70"/>
  <c r="C41" i="70"/>
  <c r="H41" i="70" s="1"/>
  <c r="N41" i="70" s="1"/>
  <c r="B41" i="70"/>
  <c r="G41" i="70" s="1"/>
  <c r="R40" i="70"/>
  <c r="Q40" i="70"/>
  <c r="O40" i="70"/>
  <c r="U40" i="70" s="1"/>
  <c r="I40" i="70"/>
  <c r="F40" i="70"/>
  <c r="C40" i="70"/>
  <c r="H40" i="70" s="1"/>
  <c r="N40" i="70" s="1"/>
  <c r="B40" i="70"/>
  <c r="G40" i="70" s="1"/>
  <c r="R39" i="70"/>
  <c r="Q39" i="70"/>
  <c r="O39" i="70"/>
  <c r="U39" i="70" s="1"/>
  <c r="I39" i="70"/>
  <c r="F39" i="70"/>
  <c r="C39" i="70"/>
  <c r="H39" i="70" s="1"/>
  <c r="N39" i="70" s="1"/>
  <c r="B39" i="70"/>
  <c r="G39" i="70" s="1"/>
  <c r="R38" i="70"/>
  <c r="Q38" i="70"/>
  <c r="O38" i="70"/>
  <c r="I38" i="70"/>
  <c r="F38" i="70"/>
  <c r="C38" i="70"/>
  <c r="H38" i="70" s="1"/>
  <c r="N38" i="70" s="1"/>
  <c r="B38" i="70"/>
  <c r="G38" i="70" s="1"/>
  <c r="R37" i="70"/>
  <c r="Q37" i="70"/>
  <c r="O37" i="70"/>
  <c r="U37" i="70" s="1"/>
  <c r="I37" i="70"/>
  <c r="F37" i="70"/>
  <c r="C37" i="70"/>
  <c r="H37" i="70" s="1"/>
  <c r="N37" i="70" s="1"/>
  <c r="B37" i="70"/>
  <c r="G37" i="70" s="1"/>
  <c r="R36" i="70"/>
  <c r="Q36" i="70"/>
  <c r="O36" i="70"/>
  <c r="U36" i="70" s="1"/>
  <c r="I36" i="70"/>
  <c r="F36" i="70"/>
  <c r="C36" i="70"/>
  <c r="H36" i="70" s="1"/>
  <c r="N36" i="70" s="1"/>
  <c r="B36" i="70"/>
  <c r="G36" i="70" s="1"/>
  <c r="R35" i="70"/>
  <c r="Q35" i="70"/>
  <c r="O35" i="70"/>
  <c r="U35" i="70" s="1"/>
  <c r="I35" i="70"/>
  <c r="F35" i="70"/>
  <c r="C35" i="70"/>
  <c r="H35" i="70" s="1"/>
  <c r="N35" i="70" s="1"/>
  <c r="B35" i="70"/>
  <c r="G35" i="70" s="1"/>
  <c r="R34" i="70"/>
  <c r="Q34" i="70"/>
  <c r="O34" i="70"/>
  <c r="I34" i="70"/>
  <c r="F34" i="70"/>
  <c r="C34" i="70"/>
  <c r="H34" i="70" s="1"/>
  <c r="N34" i="70" s="1"/>
  <c r="B34" i="70"/>
  <c r="G34" i="70" s="1"/>
  <c r="R33" i="70"/>
  <c r="Q33" i="70"/>
  <c r="O33" i="70"/>
  <c r="U33" i="70" s="1"/>
  <c r="I33" i="70"/>
  <c r="F33" i="70"/>
  <c r="C33" i="70"/>
  <c r="H33" i="70" s="1"/>
  <c r="N33" i="70" s="1"/>
  <c r="B33" i="70"/>
  <c r="G33" i="70" s="1"/>
  <c r="R32" i="70"/>
  <c r="Q32" i="70"/>
  <c r="O32" i="70"/>
  <c r="U32" i="70" s="1"/>
  <c r="I32" i="70"/>
  <c r="F32" i="70"/>
  <c r="C32" i="70"/>
  <c r="H32" i="70" s="1"/>
  <c r="N32" i="70" s="1"/>
  <c r="B32" i="70"/>
  <c r="G32" i="70" s="1"/>
  <c r="R31" i="70"/>
  <c r="Q31" i="70"/>
  <c r="O31" i="70"/>
  <c r="U31" i="70" s="1"/>
  <c r="I31" i="70"/>
  <c r="F31" i="70"/>
  <c r="C31" i="70"/>
  <c r="H31" i="70" s="1"/>
  <c r="N31" i="70" s="1"/>
  <c r="B31" i="70"/>
  <c r="G31" i="70" s="1"/>
  <c r="R30" i="70"/>
  <c r="Q30" i="70"/>
  <c r="O30" i="70"/>
  <c r="I30" i="70"/>
  <c r="F30" i="70"/>
  <c r="C30" i="70"/>
  <c r="H30" i="70" s="1"/>
  <c r="N30" i="70" s="1"/>
  <c r="B30" i="70"/>
  <c r="G30" i="70" s="1"/>
  <c r="R29" i="70"/>
  <c r="Q29" i="70"/>
  <c r="O29" i="70"/>
  <c r="U29" i="70" s="1"/>
  <c r="I29" i="70"/>
  <c r="F29" i="70"/>
  <c r="C29" i="70"/>
  <c r="H29" i="70" s="1"/>
  <c r="N29" i="70" s="1"/>
  <c r="B29" i="70"/>
  <c r="G29" i="70" s="1"/>
  <c r="R28" i="70"/>
  <c r="Q28" i="70"/>
  <c r="O28" i="70"/>
  <c r="U28" i="70" s="1"/>
  <c r="I28" i="70"/>
  <c r="F28" i="70"/>
  <c r="C28" i="70"/>
  <c r="H28" i="70" s="1"/>
  <c r="N28" i="70" s="1"/>
  <c r="B28" i="70"/>
  <c r="G28" i="70" s="1"/>
  <c r="R27" i="70"/>
  <c r="Q27" i="70"/>
  <c r="O27" i="70"/>
  <c r="U27" i="70" s="1"/>
  <c r="I27" i="70"/>
  <c r="F27" i="70"/>
  <c r="C27" i="70"/>
  <c r="H27" i="70" s="1"/>
  <c r="N27" i="70" s="1"/>
  <c r="B27" i="70"/>
  <c r="G27" i="70" s="1"/>
  <c r="R26" i="70"/>
  <c r="Q26" i="70"/>
  <c r="O26" i="70"/>
  <c r="I26" i="70"/>
  <c r="F26" i="70"/>
  <c r="C26" i="70"/>
  <c r="H26" i="70" s="1"/>
  <c r="N26" i="70" s="1"/>
  <c r="B26" i="70"/>
  <c r="G26" i="70" s="1"/>
  <c r="R25" i="70"/>
  <c r="Q25" i="70"/>
  <c r="O25" i="70"/>
  <c r="U25" i="70" s="1"/>
  <c r="I25" i="70"/>
  <c r="F25" i="70"/>
  <c r="C25" i="70"/>
  <c r="H25" i="70" s="1"/>
  <c r="N25" i="70" s="1"/>
  <c r="B25" i="70"/>
  <c r="G25" i="70" s="1"/>
  <c r="R24" i="70"/>
  <c r="Q24" i="70"/>
  <c r="O24" i="70"/>
  <c r="U24" i="70" s="1"/>
  <c r="I24" i="70"/>
  <c r="F24" i="70"/>
  <c r="C24" i="70"/>
  <c r="H24" i="70" s="1"/>
  <c r="N24" i="70" s="1"/>
  <c r="B24" i="70"/>
  <c r="G24" i="70" s="1"/>
  <c r="R23" i="70"/>
  <c r="Q23" i="70"/>
  <c r="O23" i="70"/>
  <c r="U23" i="70" s="1"/>
  <c r="I23" i="70"/>
  <c r="F23" i="70"/>
  <c r="C23" i="70"/>
  <c r="H23" i="70" s="1"/>
  <c r="N23" i="70" s="1"/>
  <c r="B23" i="70"/>
  <c r="G23" i="70" s="1"/>
  <c r="R22" i="70"/>
  <c r="Q22" i="70"/>
  <c r="O22" i="70"/>
  <c r="I22" i="70"/>
  <c r="F22" i="70"/>
  <c r="C22" i="70"/>
  <c r="H22" i="70" s="1"/>
  <c r="N22" i="70" s="1"/>
  <c r="B22" i="70"/>
  <c r="G22" i="70" s="1"/>
  <c r="R21" i="70"/>
  <c r="Q21" i="70"/>
  <c r="O21" i="70"/>
  <c r="U21" i="70" s="1"/>
  <c r="I21" i="70"/>
  <c r="F21" i="70"/>
  <c r="C21" i="70"/>
  <c r="H21" i="70" s="1"/>
  <c r="N21" i="70" s="1"/>
  <c r="B21" i="70"/>
  <c r="G21" i="70" s="1"/>
  <c r="R20" i="70"/>
  <c r="Q20" i="70"/>
  <c r="O20" i="70"/>
  <c r="U20" i="70" s="1"/>
  <c r="I20" i="70"/>
  <c r="F20" i="70"/>
  <c r="C20" i="70"/>
  <c r="H20" i="70" s="1"/>
  <c r="N20" i="70" s="1"/>
  <c r="B20" i="70"/>
  <c r="G20" i="70" s="1"/>
  <c r="R19" i="70"/>
  <c r="Q19" i="70"/>
  <c r="O19" i="70"/>
  <c r="U19" i="70" s="1"/>
  <c r="I19" i="70"/>
  <c r="F19" i="70"/>
  <c r="C19" i="70"/>
  <c r="H19" i="70" s="1"/>
  <c r="N19" i="70" s="1"/>
  <c r="B19" i="70"/>
  <c r="G19" i="70" s="1"/>
  <c r="R18" i="70"/>
  <c r="Q18" i="70"/>
  <c r="O18" i="70"/>
  <c r="I18" i="70"/>
  <c r="F18" i="70"/>
  <c r="C18" i="70"/>
  <c r="H18" i="70" s="1"/>
  <c r="N18" i="70" s="1"/>
  <c r="B18" i="70"/>
  <c r="G18" i="70" s="1"/>
  <c r="R17" i="70"/>
  <c r="Q17" i="70"/>
  <c r="O17" i="70"/>
  <c r="U17" i="70" s="1"/>
  <c r="I17" i="70"/>
  <c r="F17" i="70"/>
  <c r="C17" i="70"/>
  <c r="H17" i="70" s="1"/>
  <c r="N17" i="70" s="1"/>
  <c r="B17" i="70"/>
  <c r="G17" i="70" s="1"/>
  <c r="R16" i="70"/>
  <c r="Q16" i="70"/>
  <c r="O16" i="70"/>
  <c r="U16" i="70" s="1"/>
  <c r="I16" i="70"/>
  <c r="F16" i="70"/>
  <c r="C16" i="70"/>
  <c r="H16" i="70" s="1"/>
  <c r="N16" i="70" s="1"/>
  <c r="B16" i="70"/>
  <c r="G16" i="70" s="1"/>
  <c r="R15" i="70"/>
  <c r="Q15" i="70"/>
  <c r="O15" i="70"/>
  <c r="U15" i="70" s="1"/>
  <c r="I15" i="70"/>
  <c r="F15" i="70"/>
  <c r="C15" i="70"/>
  <c r="H15" i="70" s="1"/>
  <c r="N15" i="70" s="1"/>
  <c r="B15" i="70"/>
  <c r="G15" i="70" s="1"/>
  <c r="R14" i="70"/>
  <c r="Q14" i="70"/>
  <c r="O14" i="70"/>
  <c r="I14" i="70"/>
  <c r="F14" i="70"/>
  <c r="C14" i="70"/>
  <c r="H14" i="70" s="1"/>
  <c r="N14" i="70" s="1"/>
  <c r="B14" i="70"/>
  <c r="G14" i="70" s="1"/>
  <c r="R13" i="70"/>
  <c r="Q13" i="70"/>
  <c r="O13" i="70"/>
  <c r="U13" i="70" s="1"/>
  <c r="I13" i="70"/>
  <c r="F13" i="70"/>
  <c r="C13" i="70"/>
  <c r="H13" i="70" s="1"/>
  <c r="N13" i="70" s="1"/>
  <c r="B13" i="70"/>
  <c r="G13" i="70" s="1"/>
  <c r="R12" i="70"/>
  <c r="Q12" i="70"/>
  <c r="O12" i="70"/>
  <c r="U12" i="70" s="1"/>
  <c r="I12" i="70"/>
  <c r="F12" i="70"/>
  <c r="C12" i="70"/>
  <c r="H12" i="70" s="1"/>
  <c r="N12" i="70" s="1"/>
  <c r="B12" i="70"/>
  <c r="G12" i="70" s="1"/>
  <c r="R11" i="70"/>
  <c r="Q11" i="70"/>
  <c r="O11" i="70"/>
  <c r="U11" i="70" s="1"/>
  <c r="I11" i="70"/>
  <c r="F11" i="70"/>
  <c r="C11" i="70"/>
  <c r="H11" i="70" s="1"/>
  <c r="N11" i="70" s="1"/>
  <c r="B11" i="70"/>
  <c r="G11" i="70" s="1"/>
  <c r="R10" i="70"/>
  <c r="Q10" i="70"/>
  <c r="O10" i="70"/>
  <c r="I10" i="70"/>
  <c r="F10" i="70"/>
  <c r="C10" i="70"/>
  <c r="H10" i="70" s="1"/>
  <c r="N10" i="70" s="1"/>
  <c r="B10" i="70"/>
  <c r="G10" i="70" s="1"/>
  <c r="R9" i="70"/>
  <c r="Q9" i="70"/>
  <c r="O9" i="70"/>
  <c r="U9" i="70" s="1"/>
  <c r="I9" i="70"/>
  <c r="F9" i="70"/>
  <c r="C9" i="70"/>
  <c r="H9" i="70" s="1"/>
  <c r="N9" i="70" s="1"/>
  <c r="B9" i="70"/>
  <c r="G9" i="70" s="1"/>
  <c r="R8" i="70"/>
  <c r="Q8" i="70"/>
  <c r="O8" i="70"/>
  <c r="U8" i="70" s="1"/>
  <c r="I8" i="70"/>
  <c r="F8" i="70"/>
  <c r="C8" i="70"/>
  <c r="H8" i="70" s="1"/>
  <c r="N8" i="70" s="1"/>
  <c r="B8" i="70"/>
  <c r="G8" i="70" s="1"/>
  <c r="R7" i="70"/>
  <c r="Q7" i="70"/>
  <c r="O7" i="70"/>
  <c r="U7" i="70" s="1"/>
  <c r="I7" i="70"/>
  <c r="F7" i="70"/>
  <c r="C7" i="70"/>
  <c r="H7" i="70" s="1"/>
  <c r="N7" i="70" s="1"/>
  <c r="B7" i="70"/>
  <c r="G7" i="70" s="1"/>
  <c r="R6" i="70"/>
  <c r="Q6" i="70"/>
  <c r="O6" i="70"/>
  <c r="I6" i="70"/>
  <c r="F6" i="70"/>
  <c r="C6" i="70"/>
  <c r="H6" i="70" s="1"/>
  <c r="N6" i="70" s="1"/>
  <c r="B6" i="70"/>
  <c r="G6" i="70" s="1"/>
  <c r="R5" i="70"/>
  <c r="Q5" i="70"/>
  <c r="O5" i="70"/>
  <c r="U5" i="70" s="1"/>
  <c r="I5" i="70"/>
  <c r="F5" i="70"/>
  <c r="C5" i="70"/>
  <c r="H5" i="70" s="1"/>
  <c r="N5" i="70" s="1"/>
  <c r="B5" i="70"/>
  <c r="G5" i="70" s="1"/>
  <c r="R4" i="70"/>
  <c r="Q4" i="70"/>
  <c r="O4" i="70"/>
  <c r="U4" i="70" s="1"/>
  <c r="I4" i="70"/>
  <c r="F4" i="70"/>
  <c r="C4" i="70"/>
  <c r="H4" i="70" s="1"/>
  <c r="N4" i="70" s="1"/>
  <c r="B4" i="70"/>
  <c r="G4" i="70" s="1"/>
  <c r="R3" i="70"/>
  <c r="Q3" i="70"/>
  <c r="O3" i="70"/>
  <c r="U3" i="70" s="1"/>
  <c r="I3" i="70"/>
  <c r="F3" i="70"/>
  <c r="C3" i="70"/>
  <c r="H3" i="70" s="1"/>
  <c r="N3" i="70" s="1"/>
  <c r="B3" i="70"/>
  <c r="G3" i="70" s="1"/>
  <c r="R103" i="69"/>
  <c r="Q103" i="69"/>
  <c r="O103" i="69"/>
  <c r="U103" i="69" s="1"/>
  <c r="I103" i="69"/>
  <c r="F103" i="69"/>
  <c r="C103" i="69"/>
  <c r="H103" i="69" s="1"/>
  <c r="N103" i="69" s="1"/>
  <c r="B103" i="69"/>
  <c r="G103" i="69" s="1"/>
  <c r="R102" i="69"/>
  <c r="Q102" i="69"/>
  <c r="O102" i="69"/>
  <c r="I102" i="69"/>
  <c r="F102" i="69"/>
  <c r="C102" i="69"/>
  <c r="H102" i="69" s="1"/>
  <c r="N102" i="69" s="1"/>
  <c r="B102" i="69"/>
  <c r="G102" i="69" s="1"/>
  <c r="R101" i="69"/>
  <c r="Q101" i="69"/>
  <c r="O101" i="69"/>
  <c r="U101" i="69" s="1"/>
  <c r="I101" i="69"/>
  <c r="F101" i="69"/>
  <c r="C101" i="69"/>
  <c r="H101" i="69" s="1"/>
  <c r="N101" i="69" s="1"/>
  <c r="B101" i="69"/>
  <c r="G101" i="69" s="1"/>
  <c r="R100" i="69"/>
  <c r="Q100" i="69"/>
  <c r="O100" i="69"/>
  <c r="U100" i="69" s="1"/>
  <c r="I100" i="69"/>
  <c r="F100" i="69"/>
  <c r="C100" i="69"/>
  <c r="H100" i="69" s="1"/>
  <c r="N100" i="69" s="1"/>
  <c r="B100" i="69"/>
  <c r="G100" i="69" s="1"/>
  <c r="R99" i="69"/>
  <c r="Q99" i="69"/>
  <c r="O99" i="69"/>
  <c r="U99" i="69" s="1"/>
  <c r="I99" i="69"/>
  <c r="F99" i="69"/>
  <c r="C99" i="69"/>
  <c r="H99" i="69" s="1"/>
  <c r="N99" i="69" s="1"/>
  <c r="B99" i="69"/>
  <c r="G99" i="69" s="1"/>
  <c r="R98" i="69"/>
  <c r="Q98" i="69"/>
  <c r="O98" i="69"/>
  <c r="I98" i="69"/>
  <c r="F98" i="69"/>
  <c r="C98" i="69"/>
  <c r="H98" i="69" s="1"/>
  <c r="N98" i="69" s="1"/>
  <c r="B98" i="69"/>
  <c r="G98" i="69" s="1"/>
  <c r="R97" i="69"/>
  <c r="Q97" i="69"/>
  <c r="O97" i="69"/>
  <c r="U97" i="69" s="1"/>
  <c r="I97" i="69"/>
  <c r="F97" i="69"/>
  <c r="C97" i="69"/>
  <c r="H97" i="69" s="1"/>
  <c r="N97" i="69" s="1"/>
  <c r="B97" i="69"/>
  <c r="G97" i="69" s="1"/>
  <c r="R96" i="69"/>
  <c r="Q96" i="69"/>
  <c r="O96" i="69"/>
  <c r="U96" i="69" s="1"/>
  <c r="I96" i="69"/>
  <c r="F96" i="69"/>
  <c r="C96" i="69"/>
  <c r="H96" i="69" s="1"/>
  <c r="N96" i="69" s="1"/>
  <c r="B96" i="69"/>
  <c r="G96" i="69" s="1"/>
  <c r="R95" i="69"/>
  <c r="Q95" i="69"/>
  <c r="O95" i="69"/>
  <c r="U95" i="69" s="1"/>
  <c r="I95" i="69"/>
  <c r="F95" i="69"/>
  <c r="C95" i="69"/>
  <c r="H95" i="69" s="1"/>
  <c r="N95" i="69" s="1"/>
  <c r="B95" i="69"/>
  <c r="G95" i="69" s="1"/>
  <c r="R94" i="69"/>
  <c r="Q94" i="69"/>
  <c r="O94" i="69"/>
  <c r="I94" i="69"/>
  <c r="F94" i="69"/>
  <c r="C94" i="69"/>
  <c r="H94" i="69" s="1"/>
  <c r="N94" i="69" s="1"/>
  <c r="B94" i="69"/>
  <c r="G94" i="69" s="1"/>
  <c r="R93" i="69"/>
  <c r="Q93" i="69"/>
  <c r="O93" i="69"/>
  <c r="U93" i="69" s="1"/>
  <c r="I93" i="69"/>
  <c r="F93" i="69"/>
  <c r="C93" i="69"/>
  <c r="H93" i="69" s="1"/>
  <c r="N93" i="69" s="1"/>
  <c r="B93" i="69"/>
  <c r="G93" i="69" s="1"/>
  <c r="R92" i="69"/>
  <c r="Q92" i="69"/>
  <c r="O92" i="69"/>
  <c r="U92" i="69" s="1"/>
  <c r="I92" i="69"/>
  <c r="F92" i="69"/>
  <c r="C92" i="69"/>
  <c r="H92" i="69" s="1"/>
  <c r="N92" i="69" s="1"/>
  <c r="B92" i="69"/>
  <c r="G92" i="69" s="1"/>
  <c r="R91" i="69"/>
  <c r="Q91" i="69"/>
  <c r="O91" i="69"/>
  <c r="U91" i="69" s="1"/>
  <c r="I91" i="69"/>
  <c r="F91" i="69"/>
  <c r="C91" i="69"/>
  <c r="H91" i="69" s="1"/>
  <c r="N91" i="69" s="1"/>
  <c r="B91" i="69"/>
  <c r="G91" i="69" s="1"/>
  <c r="R90" i="69"/>
  <c r="Q90" i="69"/>
  <c r="O90" i="69"/>
  <c r="I90" i="69"/>
  <c r="F90" i="69"/>
  <c r="C90" i="69"/>
  <c r="H90" i="69" s="1"/>
  <c r="N90" i="69" s="1"/>
  <c r="B90" i="69"/>
  <c r="G90" i="69" s="1"/>
  <c r="R89" i="69"/>
  <c r="Q89" i="69"/>
  <c r="O89" i="69"/>
  <c r="U89" i="69" s="1"/>
  <c r="I89" i="69"/>
  <c r="F89" i="69"/>
  <c r="C89" i="69"/>
  <c r="H89" i="69" s="1"/>
  <c r="N89" i="69" s="1"/>
  <c r="B89" i="69"/>
  <c r="G89" i="69" s="1"/>
  <c r="R88" i="69"/>
  <c r="Q88" i="69"/>
  <c r="O88" i="69"/>
  <c r="U88" i="69" s="1"/>
  <c r="I88" i="69"/>
  <c r="F88" i="69"/>
  <c r="C88" i="69"/>
  <c r="H88" i="69" s="1"/>
  <c r="N88" i="69" s="1"/>
  <c r="B88" i="69"/>
  <c r="G88" i="69" s="1"/>
  <c r="R87" i="69"/>
  <c r="Q87" i="69"/>
  <c r="O87" i="69"/>
  <c r="U87" i="69" s="1"/>
  <c r="I87" i="69"/>
  <c r="F87" i="69"/>
  <c r="C87" i="69"/>
  <c r="H87" i="69" s="1"/>
  <c r="N87" i="69" s="1"/>
  <c r="B87" i="69"/>
  <c r="G87" i="69" s="1"/>
  <c r="R86" i="69"/>
  <c r="Q86" i="69"/>
  <c r="O86" i="69"/>
  <c r="I86" i="69"/>
  <c r="F86" i="69"/>
  <c r="C86" i="69"/>
  <c r="H86" i="69" s="1"/>
  <c r="N86" i="69" s="1"/>
  <c r="B86" i="69"/>
  <c r="G86" i="69" s="1"/>
  <c r="R85" i="69"/>
  <c r="Q85" i="69"/>
  <c r="O85" i="69"/>
  <c r="U85" i="69" s="1"/>
  <c r="I85" i="69"/>
  <c r="F85" i="69"/>
  <c r="C85" i="69"/>
  <c r="H85" i="69" s="1"/>
  <c r="N85" i="69" s="1"/>
  <c r="B85" i="69"/>
  <c r="G85" i="69" s="1"/>
  <c r="R84" i="69"/>
  <c r="Q84" i="69"/>
  <c r="O84" i="69"/>
  <c r="U84" i="69" s="1"/>
  <c r="I84" i="69"/>
  <c r="F84" i="69"/>
  <c r="C84" i="69"/>
  <c r="H84" i="69" s="1"/>
  <c r="N84" i="69" s="1"/>
  <c r="B84" i="69"/>
  <c r="G84" i="69" s="1"/>
  <c r="R83" i="69"/>
  <c r="Q83" i="69"/>
  <c r="O83" i="69"/>
  <c r="U83" i="69" s="1"/>
  <c r="I83" i="69"/>
  <c r="F83" i="69"/>
  <c r="C83" i="69"/>
  <c r="H83" i="69" s="1"/>
  <c r="N83" i="69" s="1"/>
  <c r="B83" i="69"/>
  <c r="G83" i="69" s="1"/>
  <c r="R82" i="69"/>
  <c r="Q82" i="69"/>
  <c r="O82" i="69"/>
  <c r="I82" i="69"/>
  <c r="F82" i="69"/>
  <c r="C82" i="69"/>
  <c r="H82" i="69" s="1"/>
  <c r="N82" i="69" s="1"/>
  <c r="B82" i="69"/>
  <c r="G82" i="69" s="1"/>
  <c r="R81" i="69"/>
  <c r="Q81" i="69"/>
  <c r="O81" i="69"/>
  <c r="U81" i="69" s="1"/>
  <c r="I81" i="69"/>
  <c r="G81" i="69"/>
  <c r="F81" i="69"/>
  <c r="C81" i="69"/>
  <c r="H81" i="69" s="1"/>
  <c r="N81" i="69" s="1"/>
  <c r="B81" i="69"/>
  <c r="U80" i="69"/>
  <c r="R80" i="69"/>
  <c r="Q80" i="69"/>
  <c r="O80" i="69"/>
  <c r="I80" i="69"/>
  <c r="G80" i="69"/>
  <c r="F80" i="69"/>
  <c r="C80" i="69"/>
  <c r="H80" i="69" s="1"/>
  <c r="N80" i="69" s="1"/>
  <c r="B80" i="69"/>
  <c r="R79" i="69"/>
  <c r="Q79" i="69"/>
  <c r="O79" i="69"/>
  <c r="U79" i="69" s="1"/>
  <c r="I79" i="69"/>
  <c r="G79" i="69"/>
  <c r="F79" i="69"/>
  <c r="C79" i="69"/>
  <c r="H79" i="69" s="1"/>
  <c r="N79" i="69" s="1"/>
  <c r="B79" i="69"/>
  <c r="R78" i="69"/>
  <c r="Q78" i="69"/>
  <c r="O78" i="69"/>
  <c r="I78" i="69"/>
  <c r="F78" i="69"/>
  <c r="C78" i="69"/>
  <c r="H78" i="69" s="1"/>
  <c r="N78" i="69" s="1"/>
  <c r="B78" i="69"/>
  <c r="G78" i="69" s="1"/>
  <c r="R77" i="69"/>
  <c r="Q77" i="69"/>
  <c r="O77" i="69"/>
  <c r="U77" i="69" s="1"/>
  <c r="I77" i="69"/>
  <c r="G77" i="69"/>
  <c r="F77" i="69"/>
  <c r="C77" i="69"/>
  <c r="H77" i="69" s="1"/>
  <c r="N77" i="69" s="1"/>
  <c r="B77" i="69"/>
  <c r="R76" i="69"/>
  <c r="Q76" i="69"/>
  <c r="O76" i="69"/>
  <c r="U76" i="69" s="1"/>
  <c r="I76" i="69"/>
  <c r="F76" i="69"/>
  <c r="C76" i="69"/>
  <c r="H76" i="69" s="1"/>
  <c r="N76" i="69" s="1"/>
  <c r="B76" i="69"/>
  <c r="G76" i="69" s="1"/>
  <c r="R75" i="69"/>
  <c r="Q75" i="69"/>
  <c r="O75" i="69"/>
  <c r="U75" i="69" s="1"/>
  <c r="I75" i="69"/>
  <c r="H75" i="69"/>
  <c r="N75" i="69" s="1"/>
  <c r="F75" i="69"/>
  <c r="C75" i="69"/>
  <c r="B75" i="69"/>
  <c r="G75" i="69" s="1"/>
  <c r="R74" i="69"/>
  <c r="Q74" i="69"/>
  <c r="O74" i="69"/>
  <c r="I74" i="69"/>
  <c r="F74" i="69"/>
  <c r="C74" i="69"/>
  <c r="H74" i="69" s="1"/>
  <c r="N74" i="69" s="1"/>
  <c r="B74" i="69"/>
  <c r="G74" i="69" s="1"/>
  <c r="R73" i="69"/>
  <c r="Q73" i="69"/>
  <c r="O73" i="69"/>
  <c r="U73" i="69" s="1"/>
  <c r="I73" i="69"/>
  <c r="G73" i="69"/>
  <c r="F73" i="69"/>
  <c r="C73" i="69"/>
  <c r="H73" i="69" s="1"/>
  <c r="N73" i="69" s="1"/>
  <c r="B73" i="69"/>
  <c r="U72" i="69"/>
  <c r="R72" i="69"/>
  <c r="Q72" i="69"/>
  <c r="O72" i="69"/>
  <c r="I72" i="69"/>
  <c r="F72" i="69"/>
  <c r="C72" i="69"/>
  <c r="H72" i="69" s="1"/>
  <c r="N72" i="69" s="1"/>
  <c r="B72" i="69"/>
  <c r="G72" i="69" s="1"/>
  <c r="R71" i="69"/>
  <c r="Q71" i="69"/>
  <c r="O71" i="69"/>
  <c r="U71" i="69" s="1"/>
  <c r="I71" i="69"/>
  <c r="G71" i="69"/>
  <c r="F71" i="69"/>
  <c r="C71" i="69"/>
  <c r="H71" i="69" s="1"/>
  <c r="N71" i="69" s="1"/>
  <c r="B71" i="69"/>
  <c r="R70" i="69"/>
  <c r="Q70" i="69"/>
  <c r="O70" i="69"/>
  <c r="I70" i="69"/>
  <c r="F70" i="69"/>
  <c r="C70" i="69"/>
  <c r="H70" i="69" s="1"/>
  <c r="N70" i="69" s="1"/>
  <c r="B70" i="69"/>
  <c r="G70" i="69" s="1"/>
  <c r="R69" i="69"/>
  <c r="Q69" i="69"/>
  <c r="O69" i="69"/>
  <c r="U69" i="69" s="1"/>
  <c r="I69" i="69"/>
  <c r="F69" i="69"/>
  <c r="C69" i="69"/>
  <c r="H69" i="69" s="1"/>
  <c r="N69" i="69" s="1"/>
  <c r="B69" i="69"/>
  <c r="G69" i="69" s="1"/>
  <c r="R68" i="69"/>
  <c r="Q68" i="69"/>
  <c r="O68" i="69"/>
  <c r="U68" i="69" s="1"/>
  <c r="I68" i="69"/>
  <c r="G68" i="69"/>
  <c r="F68" i="69"/>
  <c r="C68" i="69"/>
  <c r="H68" i="69" s="1"/>
  <c r="N68" i="69" s="1"/>
  <c r="B68" i="69"/>
  <c r="U67" i="69"/>
  <c r="R67" i="69"/>
  <c r="Q67" i="69"/>
  <c r="O67" i="69"/>
  <c r="I67" i="69"/>
  <c r="F67" i="69"/>
  <c r="C67" i="69"/>
  <c r="H67" i="69" s="1"/>
  <c r="N67" i="69" s="1"/>
  <c r="B67" i="69"/>
  <c r="G67" i="69" s="1"/>
  <c r="R66" i="69"/>
  <c r="Q66" i="69"/>
  <c r="O66" i="69"/>
  <c r="I66" i="69"/>
  <c r="F66" i="69"/>
  <c r="C66" i="69"/>
  <c r="H66" i="69" s="1"/>
  <c r="N66" i="69" s="1"/>
  <c r="B66" i="69"/>
  <c r="G66" i="69" s="1"/>
  <c r="R65" i="69"/>
  <c r="Q65" i="69"/>
  <c r="O65" i="69"/>
  <c r="U65" i="69" s="1"/>
  <c r="I65" i="69"/>
  <c r="F65" i="69"/>
  <c r="C65" i="69"/>
  <c r="H65" i="69" s="1"/>
  <c r="N65" i="69" s="1"/>
  <c r="B65" i="69"/>
  <c r="G65" i="69" s="1"/>
  <c r="R64" i="69"/>
  <c r="Q64" i="69"/>
  <c r="O64" i="69"/>
  <c r="U64" i="69" s="1"/>
  <c r="I64" i="69"/>
  <c r="F64" i="69"/>
  <c r="C64" i="69"/>
  <c r="H64" i="69" s="1"/>
  <c r="N64" i="69" s="1"/>
  <c r="B64" i="69"/>
  <c r="G64" i="69" s="1"/>
  <c r="R63" i="69"/>
  <c r="Q63" i="69"/>
  <c r="O63" i="69"/>
  <c r="U63" i="69" s="1"/>
  <c r="I63" i="69"/>
  <c r="G63" i="69"/>
  <c r="F63" i="69"/>
  <c r="C63" i="69"/>
  <c r="H63" i="69" s="1"/>
  <c r="N63" i="69" s="1"/>
  <c r="B63" i="69"/>
  <c r="R62" i="69"/>
  <c r="Q62" i="69"/>
  <c r="O62" i="69"/>
  <c r="I62" i="69"/>
  <c r="G62" i="69"/>
  <c r="F62" i="69"/>
  <c r="C62" i="69"/>
  <c r="H62" i="69" s="1"/>
  <c r="N62" i="69" s="1"/>
  <c r="B62" i="69"/>
  <c r="U61" i="69"/>
  <c r="R61" i="69"/>
  <c r="Q61" i="69"/>
  <c r="O61" i="69"/>
  <c r="I61" i="69"/>
  <c r="F61" i="69"/>
  <c r="C61" i="69"/>
  <c r="H61" i="69" s="1"/>
  <c r="N61" i="69" s="1"/>
  <c r="B61" i="69"/>
  <c r="G61" i="69" s="1"/>
  <c r="U60" i="69"/>
  <c r="R60" i="69"/>
  <c r="Q60" i="69"/>
  <c r="O60" i="69"/>
  <c r="I60" i="69"/>
  <c r="F60" i="69"/>
  <c r="C60" i="69"/>
  <c r="H60" i="69" s="1"/>
  <c r="N60" i="69" s="1"/>
  <c r="B60" i="69"/>
  <c r="G60" i="69" s="1"/>
  <c r="U59" i="69"/>
  <c r="R59" i="69"/>
  <c r="Q59" i="69"/>
  <c r="O59" i="69"/>
  <c r="I59" i="69"/>
  <c r="F59" i="69"/>
  <c r="C59" i="69"/>
  <c r="H59" i="69" s="1"/>
  <c r="N59" i="69" s="1"/>
  <c r="B59" i="69"/>
  <c r="G59" i="69" s="1"/>
  <c r="R58" i="69"/>
  <c r="Q58" i="69"/>
  <c r="O58" i="69"/>
  <c r="I58" i="69"/>
  <c r="F58" i="69"/>
  <c r="C58" i="69"/>
  <c r="H58" i="69" s="1"/>
  <c r="N58" i="69" s="1"/>
  <c r="B58" i="69"/>
  <c r="G58" i="69" s="1"/>
  <c r="U57" i="69"/>
  <c r="R57" i="69"/>
  <c r="Q57" i="69"/>
  <c r="O57" i="69"/>
  <c r="I57" i="69"/>
  <c r="F57" i="69"/>
  <c r="C57" i="69"/>
  <c r="H57" i="69" s="1"/>
  <c r="N57" i="69" s="1"/>
  <c r="B57" i="69"/>
  <c r="G57" i="69" s="1"/>
  <c r="U56" i="69"/>
  <c r="R56" i="69"/>
  <c r="Q56" i="69"/>
  <c r="O56" i="69"/>
  <c r="I56" i="69"/>
  <c r="F56" i="69"/>
  <c r="C56" i="69"/>
  <c r="H56" i="69" s="1"/>
  <c r="N56" i="69" s="1"/>
  <c r="B56" i="69"/>
  <c r="G56" i="69" s="1"/>
  <c r="U55" i="69"/>
  <c r="R55" i="69"/>
  <c r="Q55" i="69"/>
  <c r="O55" i="69"/>
  <c r="I55" i="69"/>
  <c r="F55" i="69"/>
  <c r="C55" i="69"/>
  <c r="H55" i="69" s="1"/>
  <c r="N55" i="69" s="1"/>
  <c r="B55" i="69"/>
  <c r="G55" i="69" s="1"/>
  <c r="R54" i="69"/>
  <c r="Q54" i="69"/>
  <c r="O54" i="69"/>
  <c r="I54" i="69"/>
  <c r="F54" i="69"/>
  <c r="C54" i="69"/>
  <c r="H54" i="69" s="1"/>
  <c r="N54" i="69" s="1"/>
  <c r="B54" i="69"/>
  <c r="G54" i="69" s="1"/>
  <c r="U53" i="69"/>
  <c r="R53" i="69"/>
  <c r="Q53" i="69"/>
  <c r="O53" i="69"/>
  <c r="I53" i="69"/>
  <c r="H53" i="69"/>
  <c r="N53" i="69" s="1"/>
  <c r="F53" i="69"/>
  <c r="C53" i="69"/>
  <c r="B53" i="69"/>
  <c r="G53" i="69" s="1"/>
  <c r="U52" i="69"/>
  <c r="R52" i="69"/>
  <c r="Q52" i="69"/>
  <c r="O52" i="69"/>
  <c r="I52" i="69"/>
  <c r="F52" i="69"/>
  <c r="C52" i="69"/>
  <c r="H52" i="69" s="1"/>
  <c r="N52" i="69" s="1"/>
  <c r="B52" i="69"/>
  <c r="G52" i="69" s="1"/>
  <c r="U51" i="69"/>
  <c r="R51" i="69"/>
  <c r="Q51" i="69"/>
  <c r="O51" i="69"/>
  <c r="I51" i="69"/>
  <c r="F51" i="69"/>
  <c r="C51" i="69"/>
  <c r="H51" i="69" s="1"/>
  <c r="N51" i="69" s="1"/>
  <c r="B51" i="69"/>
  <c r="G51" i="69" s="1"/>
  <c r="R50" i="69"/>
  <c r="Q50" i="69"/>
  <c r="O50" i="69"/>
  <c r="I50" i="69"/>
  <c r="F50" i="69"/>
  <c r="C50" i="69"/>
  <c r="H50" i="69" s="1"/>
  <c r="N50" i="69" s="1"/>
  <c r="B50" i="69"/>
  <c r="G50" i="69" s="1"/>
  <c r="U49" i="69"/>
  <c r="R49" i="69"/>
  <c r="Q49" i="69"/>
  <c r="O49" i="69"/>
  <c r="I49" i="69"/>
  <c r="F49" i="69"/>
  <c r="C49" i="69"/>
  <c r="H49" i="69" s="1"/>
  <c r="N49" i="69" s="1"/>
  <c r="B49" i="69"/>
  <c r="G49" i="69" s="1"/>
  <c r="U48" i="69"/>
  <c r="R48" i="69"/>
  <c r="Q48" i="69"/>
  <c r="O48" i="69"/>
  <c r="I48" i="69"/>
  <c r="F48" i="69"/>
  <c r="C48" i="69"/>
  <c r="H48" i="69" s="1"/>
  <c r="N48" i="69" s="1"/>
  <c r="B48" i="69"/>
  <c r="G48" i="69" s="1"/>
  <c r="U47" i="69"/>
  <c r="R47" i="69"/>
  <c r="Q47" i="69"/>
  <c r="O47" i="69"/>
  <c r="I47" i="69"/>
  <c r="F47" i="69"/>
  <c r="C47" i="69"/>
  <c r="H47" i="69" s="1"/>
  <c r="N47" i="69" s="1"/>
  <c r="B47" i="69"/>
  <c r="G47" i="69" s="1"/>
  <c r="R46" i="69"/>
  <c r="Q46" i="69"/>
  <c r="O46" i="69"/>
  <c r="I46" i="69"/>
  <c r="F46" i="69"/>
  <c r="C46" i="69"/>
  <c r="H46" i="69" s="1"/>
  <c r="N46" i="69" s="1"/>
  <c r="B46" i="69"/>
  <c r="G46" i="69" s="1"/>
  <c r="U45" i="69"/>
  <c r="R45" i="69"/>
  <c r="Q45" i="69"/>
  <c r="O45" i="69"/>
  <c r="I45" i="69"/>
  <c r="F45" i="69"/>
  <c r="C45" i="69"/>
  <c r="H45" i="69" s="1"/>
  <c r="N45" i="69" s="1"/>
  <c r="B45" i="69"/>
  <c r="G45" i="69" s="1"/>
  <c r="U44" i="69"/>
  <c r="R44" i="69"/>
  <c r="Q44" i="69"/>
  <c r="O44" i="69"/>
  <c r="I44" i="69"/>
  <c r="F44" i="69"/>
  <c r="C44" i="69"/>
  <c r="H44" i="69" s="1"/>
  <c r="N44" i="69" s="1"/>
  <c r="B44" i="69"/>
  <c r="G44" i="69" s="1"/>
  <c r="U43" i="69"/>
  <c r="R43" i="69"/>
  <c r="Q43" i="69"/>
  <c r="O43" i="69"/>
  <c r="I43" i="69"/>
  <c r="F43" i="69"/>
  <c r="C43" i="69"/>
  <c r="H43" i="69" s="1"/>
  <c r="N43" i="69" s="1"/>
  <c r="B43" i="69"/>
  <c r="G43" i="69" s="1"/>
  <c r="R42" i="69"/>
  <c r="Q42" i="69"/>
  <c r="O42" i="69"/>
  <c r="I42" i="69"/>
  <c r="F42" i="69"/>
  <c r="C42" i="69"/>
  <c r="H42" i="69" s="1"/>
  <c r="N42" i="69" s="1"/>
  <c r="B42" i="69"/>
  <c r="G42" i="69" s="1"/>
  <c r="U41" i="69"/>
  <c r="R41" i="69"/>
  <c r="Q41" i="69"/>
  <c r="O41" i="69"/>
  <c r="I41" i="69"/>
  <c r="F41" i="69"/>
  <c r="C41" i="69"/>
  <c r="H41" i="69" s="1"/>
  <c r="N41" i="69" s="1"/>
  <c r="B41" i="69"/>
  <c r="G41" i="69" s="1"/>
  <c r="U40" i="69"/>
  <c r="R40" i="69"/>
  <c r="Q40" i="69"/>
  <c r="O40" i="69"/>
  <c r="I40" i="69"/>
  <c r="F40" i="69"/>
  <c r="C40" i="69"/>
  <c r="H40" i="69" s="1"/>
  <c r="N40" i="69" s="1"/>
  <c r="B40" i="69"/>
  <c r="G40" i="69" s="1"/>
  <c r="U39" i="69"/>
  <c r="R39" i="69"/>
  <c r="Q39" i="69"/>
  <c r="O39" i="69"/>
  <c r="I39" i="69"/>
  <c r="F39" i="69"/>
  <c r="C39" i="69"/>
  <c r="H39" i="69" s="1"/>
  <c r="N39" i="69" s="1"/>
  <c r="B39" i="69"/>
  <c r="G39" i="69" s="1"/>
  <c r="R38" i="69"/>
  <c r="Q38" i="69"/>
  <c r="O38" i="69"/>
  <c r="I38" i="69"/>
  <c r="F38" i="69"/>
  <c r="C38" i="69"/>
  <c r="H38" i="69" s="1"/>
  <c r="N38" i="69" s="1"/>
  <c r="B38" i="69"/>
  <c r="G38" i="69" s="1"/>
  <c r="U37" i="69"/>
  <c r="R37" i="69"/>
  <c r="Q37" i="69"/>
  <c r="O37" i="69"/>
  <c r="I37" i="69"/>
  <c r="F37" i="69"/>
  <c r="C37" i="69"/>
  <c r="H37" i="69" s="1"/>
  <c r="N37" i="69" s="1"/>
  <c r="B37" i="69"/>
  <c r="G37" i="69" s="1"/>
  <c r="U36" i="69"/>
  <c r="R36" i="69"/>
  <c r="Q36" i="69"/>
  <c r="O36" i="69"/>
  <c r="I36" i="69"/>
  <c r="F36" i="69"/>
  <c r="C36" i="69"/>
  <c r="H36" i="69" s="1"/>
  <c r="N36" i="69" s="1"/>
  <c r="B36" i="69"/>
  <c r="G36" i="69" s="1"/>
  <c r="U35" i="69"/>
  <c r="R35" i="69"/>
  <c r="Q35" i="69"/>
  <c r="O35" i="69"/>
  <c r="I35" i="69"/>
  <c r="F35" i="69"/>
  <c r="C35" i="69"/>
  <c r="H35" i="69" s="1"/>
  <c r="N35" i="69" s="1"/>
  <c r="B35" i="69"/>
  <c r="G35" i="69" s="1"/>
  <c r="R34" i="69"/>
  <c r="Q34" i="69"/>
  <c r="O34" i="69"/>
  <c r="I34" i="69"/>
  <c r="F34" i="69"/>
  <c r="C34" i="69"/>
  <c r="H34" i="69" s="1"/>
  <c r="N34" i="69" s="1"/>
  <c r="B34" i="69"/>
  <c r="G34" i="69" s="1"/>
  <c r="R33" i="69"/>
  <c r="Q33" i="69"/>
  <c r="O33" i="69"/>
  <c r="U33" i="69" s="1"/>
  <c r="I33" i="69"/>
  <c r="F33" i="69"/>
  <c r="C33" i="69"/>
  <c r="H33" i="69" s="1"/>
  <c r="N33" i="69" s="1"/>
  <c r="B33" i="69"/>
  <c r="G33" i="69" s="1"/>
  <c r="R32" i="69"/>
  <c r="Q32" i="69"/>
  <c r="O32" i="69"/>
  <c r="U32" i="69" s="1"/>
  <c r="I32" i="69"/>
  <c r="F32" i="69"/>
  <c r="C32" i="69"/>
  <c r="H32" i="69" s="1"/>
  <c r="N32" i="69" s="1"/>
  <c r="B32" i="69"/>
  <c r="G32" i="69" s="1"/>
  <c r="R31" i="69"/>
  <c r="Q31" i="69"/>
  <c r="O31" i="69"/>
  <c r="U31" i="69" s="1"/>
  <c r="I31" i="69"/>
  <c r="F31" i="69"/>
  <c r="C31" i="69"/>
  <c r="H31" i="69" s="1"/>
  <c r="N31" i="69" s="1"/>
  <c r="B31" i="69"/>
  <c r="G31" i="69" s="1"/>
  <c r="R30" i="69"/>
  <c r="Q30" i="69"/>
  <c r="O30" i="69"/>
  <c r="I30" i="69"/>
  <c r="F30" i="69"/>
  <c r="C30" i="69"/>
  <c r="H30" i="69" s="1"/>
  <c r="N30" i="69" s="1"/>
  <c r="B30" i="69"/>
  <c r="G30" i="69" s="1"/>
  <c r="R29" i="69"/>
  <c r="Q29" i="69"/>
  <c r="O29" i="69"/>
  <c r="U29" i="69" s="1"/>
  <c r="I29" i="69"/>
  <c r="F29" i="69"/>
  <c r="C29" i="69"/>
  <c r="H29" i="69" s="1"/>
  <c r="N29" i="69" s="1"/>
  <c r="B29" i="69"/>
  <c r="G29" i="69" s="1"/>
  <c r="R28" i="69"/>
  <c r="Q28" i="69"/>
  <c r="O28" i="69"/>
  <c r="U28" i="69" s="1"/>
  <c r="I28" i="69"/>
  <c r="F28" i="69"/>
  <c r="C28" i="69"/>
  <c r="H28" i="69" s="1"/>
  <c r="N28" i="69" s="1"/>
  <c r="B28" i="69"/>
  <c r="G28" i="69" s="1"/>
  <c r="R27" i="69"/>
  <c r="Q27" i="69"/>
  <c r="O27" i="69"/>
  <c r="U27" i="69" s="1"/>
  <c r="I27" i="69"/>
  <c r="F27" i="69"/>
  <c r="C27" i="69"/>
  <c r="H27" i="69" s="1"/>
  <c r="N27" i="69" s="1"/>
  <c r="B27" i="69"/>
  <c r="G27" i="69" s="1"/>
  <c r="R26" i="69"/>
  <c r="Q26" i="69"/>
  <c r="O26" i="69"/>
  <c r="I26" i="69"/>
  <c r="F26" i="69"/>
  <c r="C26" i="69"/>
  <c r="H26" i="69" s="1"/>
  <c r="N26" i="69" s="1"/>
  <c r="B26" i="69"/>
  <c r="G26" i="69" s="1"/>
  <c r="R25" i="69"/>
  <c r="Q25" i="69"/>
  <c r="O25" i="69"/>
  <c r="U25" i="69" s="1"/>
  <c r="I25" i="69"/>
  <c r="F25" i="69"/>
  <c r="C25" i="69"/>
  <c r="H25" i="69" s="1"/>
  <c r="N25" i="69" s="1"/>
  <c r="B25" i="69"/>
  <c r="G25" i="69" s="1"/>
  <c r="R24" i="69"/>
  <c r="Q24" i="69"/>
  <c r="O24" i="69"/>
  <c r="U24" i="69" s="1"/>
  <c r="I24" i="69"/>
  <c r="F24" i="69"/>
  <c r="C24" i="69"/>
  <c r="H24" i="69" s="1"/>
  <c r="N24" i="69" s="1"/>
  <c r="B24" i="69"/>
  <c r="G24" i="69" s="1"/>
  <c r="R23" i="69"/>
  <c r="Q23" i="69"/>
  <c r="O23" i="69"/>
  <c r="U23" i="69" s="1"/>
  <c r="I23" i="69"/>
  <c r="F23" i="69"/>
  <c r="C23" i="69"/>
  <c r="H23" i="69" s="1"/>
  <c r="N23" i="69" s="1"/>
  <c r="B23" i="69"/>
  <c r="G23" i="69" s="1"/>
  <c r="R22" i="69"/>
  <c r="Q22" i="69"/>
  <c r="O22" i="69"/>
  <c r="I22" i="69"/>
  <c r="F22" i="69"/>
  <c r="C22" i="69"/>
  <c r="H22" i="69" s="1"/>
  <c r="N22" i="69" s="1"/>
  <c r="B22" i="69"/>
  <c r="G22" i="69" s="1"/>
  <c r="R21" i="69"/>
  <c r="Q21" i="69"/>
  <c r="O21" i="69"/>
  <c r="U21" i="69" s="1"/>
  <c r="I21" i="69"/>
  <c r="F21" i="69"/>
  <c r="C21" i="69"/>
  <c r="H21" i="69" s="1"/>
  <c r="N21" i="69" s="1"/>
  <c r="B21" i="69"/>
  <c r="G21" i="69" s="1"/>
  <c r="R20" i="69"/>
  <c r="Q20" i="69"/>
  <c r="O20" i="69"/>
  <c r="U20" i="69" s="1"/>
  <c r="I20" i="69"/>
  <c r="F20" i="69"/>
  <c r="C20" i="69"/>
  <c r="H20" i="69" s="1"/>
  <c r="N20" i="69" s="1"/>
  <c r="B20" i="69"/>
  <c r="G20" i="69" s="1"/>
  <c r="R19" i="69"/>
  <c r="Q19" i="69"/>
  <c r="O19" i="69"/>
  <c r="U19" i="69" s="1"/>
  <c r="I19" i="69"/>
  <c r="F19" i="69"/>
  <c r="C19" i="69"/>
  <c r="H19" i="69" s="1"/>
  <c r="N19" i="69" s="1"/>
  <c r="B19" i="69"/>
  <c r="G19" i="69" s="1"/>
  <c r="R18" i="69"/>
  <c r="Q18" i="69"/>
  <c r="O18" i="69"/>
  <c r="I18" i="69"/>
  <c r="F18" i="69"/>
  <c r="C18" i="69"/>
  <c r="H18" i="69" s="1"/>
  <c r="N18" i="69" s="1"/>
  <c r="B18" i="69"/>
  <c r="G18" i="69" s="1"/>
  <c r="R17" i="69"/>
  <c r="Q17" i="69"/>
  <c r="O17" i="69"/>
  <c r="U17" i="69" s="1"/>
  <c r="I17" i="69"/>
  <c r="F17" i="69"/>
  <c r="C17" i="69"/>
  <c r="H17" i="69" s="1"/>
  <c r="N17" i="69" s="1"/>
  <c r="B17" i="69"/>
  <c r="G17" i="69" s="1"/>
  <c r="R16" i="69"/>
  <c r="Q16" i="69"/>
  <c r="O16" i="69"/>
  <c r="U16" i="69" s="1"/>
  <c r="I16" i="69"/>
  <c r="F16" i="69"/>
  <c r="C16" i="69"/>
  <c r="H16" i="69" s="1"/>
  <c r="N16" i="69" s="1"/>
  <c r="B16" i="69"/>
  <c r="G16" i="69" s="1"/>
  <c r="R15" i="69"/>
  <c r="Q15" i="69"/>
  <c r="O15" i="69"/>
  <c r="U15" i="69" s="1"/>
  <c r="I15" i="69"/>
  <c r="F15" i="69"/>
  <c r="C15" i="69"/>
  <c r="H15" i="69" s="1"/>
  <c r="N15" i="69" s="1"/>
  <c r="B15" i="69"/>
  <c r="G15" i="69" s="1"/>
  <c r="R14" i="69"/>
  <c r="Q14" i="69"/>
  <c r="O14" i="69"/>
  <c r="I14" i="69"/>
  <c r="F14" i="69"/>
  <c r="C14" i="69"/>
  <c r="H14" i="69" s="1"/>
  <c r="N14" i="69" s="1"/>
  <c r="B14" i="69"/>
  <c r="G14" i="69" s="1"/>
  <c r="R13" i="69"/>
  <c r="Q13" i="69"/>
  <c r="O13" i="69"/>
  <c r="U13" i="69" s="1"/>
  <c r="I13" i="69"/>
  <c r="F13" i="69"/>
  <c r="C13" i="69"/>
  <c r="H13" i="69" s="1"/>
  <c r="N13" i="69" s="1"/>
  <c r="B13" i="69"/>
  <c r="G13" i="69" s="1"/>
  <c r="R12" i="69"/>
  <c r="Q12" i="69"/>
  <c r="O12" i="69"/>
  <c r="U12" i="69" s="1"/>
  <c r="I12" i="69"/>
  <c r="F12" i="69"/>
  <c r="C12" i="69"/>
  <c r="H12" i="69" s="1"/>
  <c r="N12" i="69" s="1"/>
  <c r="B12" i="69"/>
  <c r="G12" i="69" s="1"/>
  <c r="R11" i="69"/>
  <c r="Q11" i="69"/>
  <c r="O11" i="69"/>
  <c r="U11" i="69" s="1"/>
  <c r="I11" i="69"/>
  <c r="F11" i="69"/>
  <c r="C11" i="69"/>
  <c r="H11" i="69" s="1"/>
  <c r="N11" i="69" s="1"/>
  <c r="B11" i="69"/>
  <c r="G11" i="69" s="1"/>
  <c r="R10" i="69"/>
  <c r="Q10" i="69"/>
  <c r="O10" i="69"/>
  <c r="I10" i="69"/>
  <c r="F10" i="69"/>
  <c r="C10" i="69"/>
  <c r="H10" i="69" s="1"/>
  <c r="N10" i="69" s="1"/>
  <c r="B10" i="69"/>
  <c r="G10" i="69" s="1"/>
  <c r="R9" i="69"/>
  <c r="Q9" i="69"/>
  <c r="O9" i="69"/>
  <c r="U9" i="69" s="1"/>
  <c r="I9" i="69"/>
  <c r="F9" i="69"/>
  <c r="C9" i="69"/>
  <c r="H9" i="69" s="1"/>
  <c r="N9" i="69" s="1"/>
  <c r="B9" i="69"/>
  <c r="G9" i="69" s="1"/>
  <c r="R8" i="69"/>
  <c r="Q8" i="69"/>
  <c r="O8" i="69"/>
  <c r="U8" i="69" s="1"/>
  <c r="I8" i="69"/>
  <c r="F8" i="69"/>
  <c r="C8" i="69"/>
  <c r="H8" i="69" s="1"/>
  <c r="N8" i="69" s="1"/>
  <c r="B8" i="69"/>
  <c r="G8" i="69" s="1"/>
  <c r="R7" i="69"/>
  <c r="Q7" i="69"/>
  <c r="O7" i="69"/>
  <c r="U7" i="69" s="1"/>
  <c r="I7" i="69"/>
  <c r="F7" i="69"/>
  <c r="C7" i="69"/>
  <c r="H7" i="69" s="1"/>
  <c r="N7" i="69" s="1"/>
  <c r="B7" i="69"/>
  <c r="G7" i="69" s="1"/>
  <c r="R6" i="69"/>
  <c r="Q6" i="69"/>
  <c r="O6" i="69"/>
  <c r="I6" i="69"/>
  <c r="F6" i="69"/>
  <c r="C6" i="69"/>
  <c r="H6" i="69" s="1"/>
  <c r="N6" i="69" s="1"/>
  <c r="B6" i="69"/>
  <c r="G6" i="69" s="1"/>
  <c r="R5" i="69"/>
  <c r="Q5" i="69"/>
  <c r="O5" i="69"/>
  <c r="U5" i="69" s="1"/>
  <c r="I5" i="69"/>
  <c r="F5" i="69"/>
  <c r="C5" i="69"/>
  <c r="H5" i="69" s="1"/>
  <c r="N5" i="69" s="1"/>
  <c r="B5" i="69"/>
  <c r="G5" i="69" s="1"/>
  <c r="R4" i="69"/>
  <c r="Q4" i="69"/>
  <c r="O4" i="69"/>
  <c r="U4" i="69" s="1"/>
  <c r="I4" i="69"/>
  <c r="F4" i="69"/>
  <c r="C4" i="69"/>
  <c r="H4" i="69" s="1"/>
  <c r="N4" i="69" s="1"/>
  <c r="B4" i="69"/>
  <c r="G4" i="69" s="1"/>
  <c r="R3" i="69"/>
  <c r="Q3" i="69"/>
  <c r="O3" i="69"/>
  <c r="U3" i="69" s="1"/>
  <c r="I3" i="69"/>
  <c r="F3" i="69"/>
  <c r="C3" i="69"/>
  <c r="H3" i="69" s="1"/>
  <c r="N3" i="69" s="1"/>
  <c r="B3" i="69"/>
  <c r="G3" i="69" s="1"/>
  <c r="R103" i="68"/>
  <c r="Q103" i="68"/>
  <c r="O103" i="68"/>
  <c r="I103" i="68"/>
  <c r="F103" i="68"/>
  <c r="C103" i="68"/>
  <c r="H103" i="68" s="1"/>
  <c r="N103" i="68" s="1"/>
  <c r="B103" i="68"/>
  <c r="G103" i="68" s="1"/>
  <c r="R102" i="68"/>
  <c r="Q102" i="68"/>
  <c r="O102" i="68"/>
  <c r="I102" i="68"/>
  <c r="F102" i="68"/>
  <c r="C102" i="68"/>
  <c r="H102" i="68" s="1"/>
  <c r="N102" i="68" s="1"/>
  <c r="B102" i="68"/>
  <c r="G102" i="68" s="1"/>
  <c r="R101" i="68"/>
  <c r="Q101" i="68"/>
  <c r="O101" i="68"/>
  <c r="U101" i="68" s="1"/>
  <c r="I101" i="68"/>
  <c r="F101" i="68"/>
  <c r="C101" i="68"/>
  <c r="H101" i="68" s="1"/>
  <c r="N101" i="68" s="1"/>
  <c r="B101" i="68"/>
  <c r="G101" i="68" s="1"/>
  <c r="R100" i="68"/>
  <c r="Q100" i="68"/>
  <c r="O100" i="68"/>
  <c r="U100" i="68" s="1"/>
  <c r="I100" i="68"/>
  <c r="F100" i="68"/>
  <c r="C100" i="68"/>
  <c r="H100" i="68" s="1"/>
  <c r="N100" i="68" s="1"/>
  <c r="B100" i="68"/>
  <c r="G100" i="68" s="1"/>
  <c r="R99" i="68"/>
  <c r="Q99" i="68"/>
  <c r="O99" i="68"/>
  <c r="I99" i="68"/>
  <c r="F99" i="68"/>
  <c r="C99" i="68"/>
  <c r="H99" i="68" s="1"/>
  <c r="N99" i="68" s="1"/>
  <c r="B99" i="68"/>
  <c r="G99" i="68" s="1"/>
  <c r="R98" i="68"/>
  <c r="Q98" i="68"/>
  <c r="O98" i="68"/>
  <c r="I98" i="68"/>
  <c r="F98" i="68"/>
  <c r="C98" i="68"/>
  <c r="H98" i="68" s="1"/>
  <c r="N98" i="68" s="1"/>
  <c r="B98" i="68"/>
  <c r="G98" i="68" s="1"/>
  <c r="R97" i="68"/>
  <c r="Q97" i="68"/>
  <c r="O97" i="68"/>
  <c r="U97" i="68" s="1"/>
  <c r="I97" i="68"/>
  <c r="F97" i="68"/>
  <c r="C97" i="68"/>
  <c r="H97" i="68" s="1"/>
  <c r="N97" i="68" s="1"/>
  <c r="B97" i="68"/>
  <c r="G97" i="68" s="1"/>
  <c r="R96" i="68"/>
  <c r="Q96" i="68"/>
  <c r="O96" i="68"/>
  <c r="U96" i="68" s="1"/>
  <c r="I96" i="68"/>
  <c r="F96" i="68"/>
  <c r="C96" i="68"/>
  <c r="H96" i="68" s="1"/>
  <c r="N96" i="68" s="1"/>
  <c r="B96" i="68"/>
  <c r="G96" i="68" s="1"/>
  <c r="R95" i="68"/>
  <c r="Q95" i="68"/>
  <c r="O95" i="68"/>
  <c r="I95" i="68"/>
  <c r="F95" i="68"/>
  <c r="C95" i="68"/>
  <c r="H95" i="68" s="1"/>
  <c r="N95" i="68" s="1"/>
  <c r="B95" i="68"/>
  <c r="G95" i="68" s="1"/>
  <c r="R94" i="68"/>
  <c r="Q94" i="68"/>
  <c r="O94" i="68"/>
  <c r="I94" i="68"/>
  <c r="F94" i="68"/>
  <c r="C94" i="68"/>
  <c r="H94" i="68" s="1"/>
  <c r="N94" i="68" s="1"/>
  <c r="B94" i="68"/>
  <c r="G94" i="68" s="1"/>
  <c r="R93" i="68"/>
  <c r="Q93" i="68"/>
  <c r="O93" i="68"/>
  <c r="U93" i="68" s="1"/>
  <c r="I93" i="68"/>
  <c r="F93" i="68"/>
  <c r="C93" i="68"/>
  <c r="H93" i="68" s="1"/>
  <c r="N93" i="68" s="1"/>
  <c r="B93" i="68"/>
  <c r="G93" i="68" s="1"/>
  <c r="R92" i="68"/>
  <c r="Q92" i="68"/>
  <c r="O92" i="68"/>
  <c r="U92" i="68" s="1"/>
  <c r="I92" i="68"/>
  <c r="F92" i="68"/>
  <c r="C92" i="68"/>
  <c r="H92" i="68" s="1"/>
  <c r="N92" i="68" s="1"/>
  <c r="B92" i="68"/>
  <c r="G92" i="68" s="1"/>
  <c r="R91" i="68"/>
  <c r="Q91" i="68"/>
  <c r="O91" i="68"/>
  <c r="I91" i="68"/>
  <c r="F91" i="68"/>
  <c r="C91" i="68"/>
  <c r="H91" i="68" s="1"/>
  <c r="N91" i="68" s="1"/>
  <c r="B91" i="68"/>
  <c r="G91" i="68" s="1"/>
  <c r="R90" i="68"/>
  <c r="Q90" i="68"/>
  <c r="O90" i="68"/>
  <c r="I90" i="68"/>
  <c r="F90" i="68"/>
  <c r="C90" i="68"/>
  <c r="H90" i="68" s="1"/>
  <c r="N90" i="68" s="1"/>
  <c r="B90" i="68"/>
  <c r="G90" i="68" s="1"/>
  <c r="R89" i="68"/>
  <c r="Q89" i="68"/>
  <c r="O89" i="68"/>
  <c r="U89" i="68" s="1"/>
  <c r="I89" i="68"/>
  <c r="F89" i="68"/>
  <c r="C89" i="68"/>
  <c r="H89" i="68" s="1"/>
  <c r="N89" i="68" s="1"/>
  <c r="B89" i="68"/>
  <c r="G89" i="68" s="1"/>
  <c r="R88" i="68"/>
  <c r="Q88" i="68"/>
  <c r="O88" i="68"/>
  <c r="U88" i="68" s="1"/>
  <c r="I88" i="68"/>
  <c r="F88" i="68"/>
  <c r="C88" i="68"/>
  <c r="H88" i="68" s="1"/>
  <c r="N88" i="68" s="1"/>
  <c r="B88" i="68"/>
  <c r="G88" i="68" s="1"/>
  <c r="R87" i="68"/>
  <c r="Q87" i="68"/>
  <c r="O87" i="68"/>
  <c r="I87" i="68"/>
  <c r="G87" i="68"/>
  <c r="F87" i="68"/>
  <c r="C87" i="68"/>
  <c r="H87" i="68" s="1"/>
  <c r="N87" i="68" s="1"/>
  <c r="B87" i="68"/>
  <c r="R86" i="68"/>
  <c r="Q86" i="68"/>
  <c r="O86" i="68"/>
  <c r="I86" i="68"/>
  <c r="F86" i="68"/>
  <c r="C86" i="68"/>
  <c r="H86" i="68" s="1"/>
  <c r="N86" i="68" s="1"/>
  <c r="B86" i="68"/>
  <c r="G86" i="68" s="1"/>
  <c r="R85" i="68"/>
  <c r="Q85" i="68"/>
  <c r="O85" i="68"/>
  <c r="I85" i="68"/>
  <c r="F85" i="68"/>
  <c r="C85" i="68"/>
  <c r="H85" i="68" s="1"/>
  <c r="N85" i="68" s="1"/>
  <c r="B85" i="68"/>
  <c r="G85" i="68" s="1"/>
  <c r="U84" i="68"/>
  <c r="R84" i="68"/>
  <c r="Q84" i="68"/>
  <c r="O84" i="68"/>
  <c r="I84" i="68"/>
  <c r="F84" i="68"/>
  <c r="C84" i="68"/>
  <c r="H84" i="68" s="1"/>
  <c r="N84" i="68" s="1"/>
  <c r="B84" i="68"/>
  <c r="G84" i="68" s="1"/>
  <c r="R83" i="68"/>
  <c r="Q83" i="68"/>
  <c r="O83" i="68"/>
  <c r="I83" i="68"/>
  <c r="F83" i="68"/>
  <c r="C83" i="68"/>
  <c r="H83" i="68" s="1"/>
  <c r="N83" i="68" s="1"/>
  <c r="B83" i="68"/>
  <c r="G83" i="68" s="1"/>
  <c r="R82" i="68"/>
  <c r="Q82" i="68"/>
  <c r="O82" i="68"/>
  <c r="I82" i="68"/>
  <c r="F82" i="68"/>
  <c r="C82" i="68"/>
  <c r="H82" i="68" s="1"/>
  <c r="N82" i="68" s="1"/>
  <c r="B82" i="68"/>
  <c r="G82" i="68" s="1"/>
  <c r="R81" i="68"/>
  <c r="Q81" i="68"/>
  <c r="O81" i="68"/>
  <c r="I81" i="68"/>
  <c r="F81" i="68"/>
  <c r="C81" i="68"/>
  <c r="H81" i="68" s="1"/>
  <c r="N81" i="68" s="1"/>
  <c r="B81" i="68"/>
  <c r="G81" i="68" s="1"/>
  <c r="U80" i="68"/>
  <c r="R80" i="68"/>
  <c r="Q80" i="68"/>
  <c r="O80" i="68"/>
  <c r="I80" i="68"/>
  <c r="G80" i="68"/>
  <c r="F80" i="68"/>
  <c r="C80" i="68"/>
  <c r="H80" i="68" s="1"/>
  <c r="N80" i="68" s="1"/>
  <c r="B80" i="68"/>
  <c r="R79" i="68"/>
  <c r="Q79" i="68"/>
  <c r="O79" i="68"/>
  <c r="I79" i="68"/>
  <c r="F79" i="68"/>
  <c r="C79" i="68"/>
  <c r="H79" i="68" s="1"/>
  <c r="N79" i="68" s="1"/>
  <c r="B79" i="68"/>
  <c r="G79" i="68" s="1"/>
  <c r="R78" i="68"/>
  <c r="Q78" i="68"/>
  <c r="O78" i="68"/>
  <c r="I78" i="68"/>
  <c r="F78" i="68"/>
  <c r="C78" i="68"/>
  <c r="H78" i="68" s="1"/>
  <c r="N78" i="68" s="1"/>
  <c r="B78" i="68"/>
  <c r="G78" i="68" s="1"/>
  <c r="R77" i="68"/>
  <c r="Q77" i="68"/>
  <c r="O77" i="68"/>
  <c r="I77" i="68"/>
  <c r="F77" i="68"/>
  <c r="C77" i="68"/>
  <c r="H77" i="68" s="1"/>
  <c r="N77" i="68" s="1"/>
  <c r="B77" i="68"/>
  <c r="G77" i="68" s="1"/>
  <c r="U76" i="68"/>
  <c r="R76" i="68"/>
  <c r="Q76" i="68"/>
  <c r="O76" i="68"/>
  <c r="I76" i="68"/>
  <c r="F76" i="68"/>
  <c r="C76" i="68"/>
  <c r="H76" i="68" s="1"/>
  <c r="N76" i="68" s="1"/>
  <c r="B76" i="68"/>
  <c r="G76" i="68" s="1"/>
  <c r="R75" i="68"/>
  <c r="Q75" i="68"/>
  <c r="O75" i="68"/>
  <c r="I75" i="68"/>
  <c r="F75" i="68"/>
  <c r="C75" i="68"/>
  <c r="H75" i="68" s="1"/>
  <c r="N75" i="68" s="1"/>
  <c r="B75" i="68"/>
  <c r="G75" i="68" s="1"/>
  <c r="R74" i="68"/>
  <c r="Q74" i="68"/>
  <c r="O74" i="68"/>
  <c r="I74" i="68"/>
  <c r="F74" i="68"/>
  <c r="C74" i="68"/>
  <c r="H74" i="68" s="1"/>
  <c r="N74" i="68" s="1"/>
  <c r="B74" i="68"/>
  <c r="G74" i="68" s="1"/>
  <c r="R73" i="68"/>
  <c r="Q73" i="68"/>
  <c r="O73" i="68"/>
  <c r="I73" i="68"/>
  <c r="F73" i="68"/>
  <c r="C73" i="68"/>
  <c r="H73" i="68" s="1"/>
  <c r="N73" i="68" s="1"/>
  <c r="B73" i="68"/>
  <c r="G73" i="68" s="1"/>
  <c r="U72" i="68"/>
  <c r="R72" i="68"/>
  <c r="Q72" i="68"/>
  <c r="O72" i="68"/>
  <c r="I72" i="68"/>
  <c r="F72" i="68"/>
  <c r="C72" i="68"/>
  <c r="H72" i="68" s="1"/>
  <c r="N72" i="68" s="1"/>
  <c r="B72" i="68"/>
  <c r="G72" i="68" s="1"/>
  <c r="R71" i="68"/>
  <c r="Q71" i="68"/>
  <c r="O71" i="68"/>
  <c r="I71" i="68"/>
  <c r="F71" i="68"/>
  <c r="C71" i="68"/>
  <c r="H71" i="68" s="1"/>
  <c r="N71" i="68" s="1"/>
  <c r="B71" i="68"/>
  <c r="G71" i="68" s="1"/>
  <c r="R70" i="68"/>
  <c r="Q70" i="68"/>
  <c r="O70" i="68"/>
  <c r="I70" i="68"/>
  <c r="F70" i="68"/>
  <c r="C70" i="68"/>
  <c r="H70" i="68" s="1"/>
  <c r="N70" i="68" s="1"/>
  <c r="B70" i="68"/>
  <c r="G70" i="68" s="1"/>
  <c r="R69" i="68"/>
  <c r="Q69" i="68"/>
  <c r="O69" i="68"/>
  <c r="I69" i="68"/>
  <c r="F69" i="68"/>
  <c r="C69" i="68"/>
  <c r="H69" i="68" s="1"/>
  <c r="N69" i="68" s="1"/>
  <c r="B69" i="68"/>
  <c r="G69" i="68" s="1"/>
  <c r="U68" i="68"/>
  <c r="R68" i="68"/>
  <c r="Q68" i="68"/>
  <c r="O68" i="68"/>
  <c r="I68" i="68"/>
  <c r="G68" i="68"/>
  <c r="F68" i="68"/>
  <c r="C68" i="68"/>
  <c r="H68" i="68" s="1"/>
  <c r="N68" i="68" s="1"/>
  <c r="B68" i="68"/>
  <c r="R67" i="68"/>
  <c r="Q67" i="68"/>
  <c r="O67" i="68"/>
  <c r="I67" i="68"/>
  <c r="G67" i="68"/>
  <c r="F67" i="68"/>
  <c r="C67" i="68"/>
  <c r="H67" i="68" s="1"/>
  <c r="N67" i="68" s="1"/>
  <c r="B67" i="68"/>
  <c r="R66" i="68"/>
  <c r="Q66" i="68"/>
  <c r="O66" i="68"/>
  <c r="I66" i="68"/>
  <c r="G66" i="68"/>
  <c r="F66" i="68"/>
  <c r="C66" i="68"/>
  <c r="H66" i="68" s="1"/>
  <c r="N66" i="68" s="1"/>
  <c r="B66" i="68"/>
  <c r="R65" i="68"/>
  <c r="Q65" i="68"/>
  <c r="O65" i="68"/>
  <c r="I65" i="68"/>
  <c r="G65" i="68"/>
  <c r="F65" i="68"/>
  <c r="C65" i="68"/>
  <c r="H65" i="68" s="1"/>
  <c r="N65" i="68" s="1"/>
  <c r="B65" i="68"/>
  <c r="U64" i="68"/>
  <c r="R64" i="68"/>
  <c r="Q64" i="68"/>
  <c r="O64" i="68"/>
  <c r="I64" i="68"/>
  <c r="F64" i="68"/>
  <c r="C64" i="68"/>
  <c r="H64" i="68" s="1"/>
  <c r="N64" i="68" s="1"/>
  <c r="B64" i="68"/>
  <c r="G64" i="68" s="1"/>
  <c r="R63" i="68"/>
  <c r="Q63" i="68"/>
  <c r="O63" i="68"/>
  <c r="I63" i="68"/>
  <c r="F63" i="68"/>
  <c r="C63" i="68"/>
  <c r="H63" i="68" s="1"/>
  <c r="N63" i="68" s="1"/>
  <c r="B63" i="68"/>
  <c r="G63" i="68" s="1"/>
  <c r="R62" i="68"/>
  <c r="Q62" i="68"/>
  <c r="O62" i="68"/>
  <c r="I62" i="68"/>
  <c r="F62" i="68"/>
  <c r="C62" i="68"/>
  <c r="H62" i="68" s="1"/>
  <c r="N62" i="68" s="1"/>
  <c r="B62" i="68"/>
  <c r="G62" i="68" s="1"/>
  <c r="R61" i="68"/>
  <c r="Q61" i="68"/>
  <c r="O61" i="68"/>
  <c r="I61" i="68"/>
  <c r="F61" i="68"/>
  <c r="C61" i="68"/>
  <c r="H61" i="68" s="1"/>
  <c r="N61" i="68" s="1"/>
  <c r="B61" i="68"/>
  <c r="G61" i="68" s="1"/>
  <c r="U60" i="68"/>
  <c r="R60" i="68"/>
  <c r="Q60" i="68"/>
  <c r="O60" i="68"/>
  <c r="I60" i="68"/>
  <c r="F60" i="68"/>
  <c r="C60" i="68"/>
  <c r="H60" i="68" s="1"/>
  <c r="N60" i="68" s="1"/>
  <c r="B60" i="68"/>
  <c r="G60" i="68" s="1"/>
  <c r="R59" i="68"/>
  <c r="Q59" i="68"/>
  <c r="O59" i="68"/>
  <c r="I59" i="68"/>
  <c r="F59" i="68"/>
  <c r="C59" i="68"/>
  <c r="H59" i="68" s="1"/>
  <c r="N59" i="68" s="1"/>
  <c r="B59" i="68"/>
  <c r="G59" i="68" s="1"/>
  <c r="R58" i="68"/>
  <c r="Q58" i="68"/>
  <c r="O58" i="68"/>
  <c r="I58" i="68"/>
  <c r="F58" i="68"/>
  <c r="C58" i="68"/>
  <c r="H58" i="68" s="1"/>
  <c r="N58" i="68" s="1"/>
  <c r="B58" i="68"/>
  <c r="G58" i="68" s="1"/>
  <c r="R57" i="68"/>
  <c r="Q57" i="68"/>
  <c r="O57" i="68"/>
  <c r="I57" i="68"/>
  <c r="F57" i="68"/>
  <c r="C57" i="68"/>
  <c r="H57" i="68" s="1"/>
  <c r="N57" i="68" s="1"/>
  <c r="B57" i="68"/>
  <c r="G57" i="68" s="1"/>
  <c r="U56" i="68"/>
  <c r="R56" i="68"/>
  <c r="Q56" i="68"/>
  <c r="O56" i="68"/>
  <c r="I56" i="68"/>
  <c r="F56" i="68"/>
  <c r="C56" i="68"/>
  <c r="H56" i="68" s="1"/>
  <c r="N56" i="68" s="1"/>
  <c r="B56" i="68"/>
  <c r="G56" i="68" s="1"/>
  <c r="R55" i="68"/>
  <c r="Q55" i="68"/>
  <c r="O55" i="68"/>
  <c r="I55" i="68"/>
  <c r="F55" i="68"/>
  <c r="C55" i="68"/>
  <c r="H55" i="68" s="1"/>
  <c r="N55" i="68" s="1"/>
  <c r="B55" i="68"/>
  <c r="G55" i="68" s="1"/>
  <c r="R54" i="68"/>
  <c r="Q54" i="68"/>
  <c r="O54" i="68"/>
  <c r="I54" i="68"/>
  <c r="F54" i="68"/>
  <c r="C54" i="68"/>
  <c r="H54" i="68" s="1"/>
  <c r="N54" i="68" s="1"/>
  <c r="B54" i="68"/>
  <c r="G54" i="68" s="1"/>
  <c r="R53" i="68"/>
  <c r="Q53" i="68"/>
  <c r="O53" i="68"/>
  <c r="I53" i="68"/>
  <c r="F53" i="68"/>
  <c r="C53" i="68"/>
  <c r="H53" i="68" s="1"/>
  <c r="N53" i="68" s="1"/>
  <c r="B53" i="68"/>
  <c r="G53" i="68" s="1"/>
  <c r="R52" i="68"/>
  <c r="Q52" i="68"/>
  <c r="O52" i="68"/>
  <c r="U52" i="68" s="1"/>
  <c r="I52" i="68"/>
  <c r="F52" i="68"/>
  <c r="C52" i="68"/>
  <c r="H52" i="68" s="1"/>
  <c r="N52" i="68" s="1"/>
  <c r="B52" i="68"/>
  <c r="G52" i="68" s="1"/>
  <c r="R51" i="68"/>
  <c r="Q51" i="68"/>
  <c r="O51" i="68"/>
  <c r="I51" i="68"/>
  <c r="F51" i="68"/>
  <c r="C51" i="68"/>
  <c r="H51" i="68" s="1"/>
  <c r="N51" i="68" s="1"/>
  <c r="B51" i="68"/>
  <c r="G51" i="68" s="1"/>
  <c r="R50" i="68"/>
  <c r="Q50" i="68"/>
  <c r="O50" i="68"/>
  <c r="I50" i="68"/>
  <c r="F50" i="68"/>
  <c r="C50" i="68"/>
  <c r="H50" i="68" s="1"/>
  <c r="N50" i="68" s="1"/>
  <c r="B50" i="68"/>
  <c r="G50" i="68" s="1"/>
  <c r="R49" i="68"/>
  <c r="Q49" i="68"/>
  <c r="O49" i="68"/>
  <c r="I49" i="68"/>
  <c r="F49" i="68"/>
  <c r="C49" i="68"/>
  <c r="H49" i="68" s="1"/>
  <c r="N49" i="68" s="1"/>
  <c r="B49" i="68"/>
  <c r="G49" i="68" s="1"/>
  <c r="R48" i="68"/>
  <c r="Q48" i="68"/>
  <c r="O48" i="68"/>
  <c r="U48" i="68" s="1"/>
  <c r="I48" i="68"/>
  <c r="F48" i="68"/>
  <c r="C48" i="68"/>
  <c r="H48" i="68" s="1"/>
  <c r="N48" i="68" s="1"/>
  <c r="B48" i="68"/>
  <c r="G48" i="68" s="1"/>
  <c r="R47" i="68"/>
  <c r="Q47" i="68"/>
  <c r="O47" i="68"/>
  <c r="I47" i="68"/>
  <c r="F47" i="68"/>
  <c r="C47" i="68"/>
  <c r="H47" i="68" s="1"/>
  <c r="N47" i="68" s="1"/>
  <c r="B47" i="68"/>
  <c r="G47" i="68" s="1"/>
  <c r="R46" i="68"/>
  <c r="Q46" i="68"/>
  <c r="O46" i="68"/>
  <c r="I46" i="68"/>
  <c r="F46" i="68"/>
  <c r="C46" i="68"/>
  <c r="H46" i="68" s="1"/>
  <c r="N46" i="68" s="1"/>
  <c r="B46" i="68"/>
  <c r="G46" i="68" s="1"/>
  <c r="R45" i="68"/>
  <c r="Q45" i="68"/>
  <c r="O45" i="68"/>
  <c r="I45" i="68"/>
  <c r="F45" i="68"/>
  <c r="C45" i="68"/>
  <c r="H45" i="68" s="1"/>
  <c r="N45" i="68" s="1"/>
  <c r="B45" i="68"/>
  <c r="G45" i="68" s="1"/>
  <c r="R44" i="68"/>
  <c r="Q44" i="68"/>
  <c r="O44" i="68"/>
  <c r="U44" i="68" s="1"/>
  <c r="I44" i="68"/>
  <c r="F44" i="68"/>
  <c r="C44" i="68"/>
  <c r="H44" i="68" s="1"/>
  <c r="N44" i="68" s="1"/>
  <c r="B44" i="68"/>
  <c r="G44" i="68" s="1"/>
  <c r="R43" i="68"/>
  <c r="Q43" i="68"/>
  <c r="O43" i="68"/>
  <c r="I43" i="68"/>
  <c r="F43" i="68"/>
  <c r="C43" i="68"/>
  <c r="H43" i="68" s="1"/>
  <c r="N43" i="68" s="1"/>
  <c r="B43" i="68"/>
  <c r="G43" i="68" s="1"/>
  <c r="R42" i="68"/>
  <c r="Q42" i="68"/>
  <c r="O42" i="68"/>
  <c r="I42" i="68"/>
  <c r="F42" i="68"/>
  <c r="C42" i="68"/>
  <c r="H42" i="68" s="1"/>
  <c r="N42" i="68" s="1"/>
  <c r="B42" i="68"/>
  <c r="G42" i="68" s="1"/>
  <c r="R41" i="68"/>
  <c r="Q41" i="68"/>
  <c r="O41" i="68"/>
  <c r="I41" i="68"/>
  <c r="F41" i="68"/>
  <c r="C41" i="68"/>
  <c r="H41" i="68" s="1"/>
  <c r="N41" i="68" s="1"/>
  <c r="B41" i="68"/>
  <c r="G41" i="68" s="1"/>
  <c r="R40" i="68"/>
  <c r="Q40" i="68"/>
  <c r="O40" i="68"/>
  <c r="U40" i="68" s="1"/>
  <c r="I40" i="68"/>
  <c r="F40" i="68"/>
  <c r="C40" i="68"/>
  <c r="H40" i="68" s="1"/>
  <c r="N40" i="68" s="1"/>
  <c r="B40" i="68"/>
  <c r="G40" i="68" s="1"/>
  <c r="R39" i="68"/>
  <c r="Q39" i="68"/>
  <c r="O39" i="68"/>
  <c r="I39" i="68"/>
  <c r="F39" i="68"/>
  <c r="C39" i="68"/>
  <c r="H39" i="68" s="1"/>
  <c r="N39" i="68" s="1"/>
  <c r="B39" i="68"/>
  <c r="G39" i="68" s="1"/>
  <c r="R38" i="68"/>
  <c r="Q38" i="68"/>
  <c r="O38" i="68"/>
  <c r="I38" i="68"/>
  <c r="F38" i="68"/>
  <c r="C38" i="68"/>
  <c r="H38" i="68" s="1"/>
  <c r="N38" i="68" s="1"/>
  <c r="B38" i="68"/>
  <c r="G38" i="68" s="1"/>
  <c r="R37" i="68"/>
  <c r="Q37" i="68"/>
  <c r="O37" i="68"/>
  <c r="I37" i="68"/>
  <c r="F37" i="68"/>
  <c r="C37" i="68"/>
  <c r="H37" i="68" s="1"/>
  <c r="N37" i="68" s="1"/>
  <c r="B37" i="68"/>
  <c r="G37" i="68" s="1"/>
  <c r="R36" i="68"/>
  <c r="Q36" i="68"/>
  <c r="O36" i="68"/>
  <c r="U36" i="68" s="1"/>
  <c r="I36" i="68"/>
  <c r="F36" i="68"/>
  <c r="C36" i="68"/>
  <c r="H36" i="68" s="1"/>
  <c r="N36" i="68" s="1"/>
  <c r="B36" i="68"/>
  <c r="G36" i="68" s="1"/>
  <c r="R35" i="68"/>
  <c r="Q35" i="68"/>
  <c r="O35" i="68"/>
  <c r="I35" i="68"/>
  <c r="F35" i="68"/>
  <c r="C35" i="68"/>
  <c r="H35" i="68" s="1"/>
  <c r="N35" i="68" s="1"/>
  <c r="B35" i="68"/>
  <c r="G35" i="68" s="1"/>
  <c r="R34" i="68"/>
  <c r="Q34" i="68"/>
  <c r="O34" i="68"/>
  <c r="I34" i="68"/>
  <c r="F34" i="68"/>
  <c r="C34" i="68"/>
  <c r="H34" i="68" s="1"/>
  <c r="N34" i="68" s="1"/>
  <c r="B34" i="68"/>
  <c r="G34" i="68" s="1"/>
  <c r="R33" i="68"/>
  <c r="Q33" i="68"/>
  <c r="O33" i="68"/>
  <c r="I33" i="68"/>
  <c r="F33" i="68"/>
  <c r="C33" i="68"/>
  <c r="H33" i="68" s="1"/>
  <c r="N33" i="68" s="1"/>
  <c r="B33" i="68"/>
  <c r="G33" i="68" s="1"/>
  <c r="R32" i="68"/>
  <c r="Q32" i="68"/>
  <c r="O32" i="68"/>
  <c r="U32" i="68" s="1"/>
  <c r="I32" i="68"/>
  <c r="F32" i="68"/>
  <c r="C32" i="68"/>
  <c r="H32" i="68" s="1"/>
  <c r="N32" i="68" s="1"/>
  <c r="B32" i="68"/>
  <c r="G32" i="68" s="1"/>
  <c r="R31" i="68"/>
  <c r="Q31" i="68"/>
  <c r="O31" i="68"/>
  <c r="I31" i="68"/>
  <c r="F31" i="68"/>
  <c r="C31" i="68"/>
  <c r="H31" i="68" s="1"/>
  <c r="N31" i="68" s="1"/>
  <c r="B31" i="68"/>
  <c r="G31" i="68" s="1"/>
  <c r="R30" i="68"/>
  <c r="Q30" i="68"/>
  <c r="O30" i="68"/>
  <c r="I30" i="68"/>
  <c r="F30" i="68"/>
  <c r="C30" i="68"/>
  <c r="H30" i="68" s="1"/>
  <c r="N30" i="68" s="1"/>
  <c r="B30" i="68"/>
  <c r="G30" i="68" s="1"/>
  <c r="R29" i="68"/>
  <c r="Q29" i="68"/>
  <c r="O29" i="68"/>
  <c r="I29" i="68"/>
  <c r="F29" i="68"/>
  <c r="C29" i="68"/>
  <c r="H29" i="68" s="1"/>
  <c r="N29" i="68" s="1"/>
  <c r="B29" i="68"/>
  <c r="G29" i="68" s="1"/>
  <c r="R28" i="68"/>
  <c r="Q28" i="68"/>
  <c r="O28" i="68"/>
  <c r="U28" i="68" s="1"/>
  <c r="I28" i="68"/>
  <c r="F28" i="68"/>
  <c r="C28" i="68"/>
  <c r="H28" i="68" s="1"/>
  <c r="N28" i="68" s="1"/>
  <c r="B28" i="68"/>
  <c r="G28" i="68" s="1"/>
  <c r="R27" i="68"/>
  <c r="Q27" i="68"/>
  <c r="O27" i="68"/>
  <c r="I27" i="68"/>
  <c r="F27" i="68"/>
  <c r="C27" i="68"/>
  <c r="H27" i="68" s="1"/>
  <c r="N27" i="68" s="1"/>
  <c r="B27" i="68"/>
  <c r="G27" i="68" s="1"/>
  <c r="R26" i="68"/>
  <c r="Q26" i="68"/>
  <c r="O26" i="68"/>
  <c r="I26" i="68"/>
  <c r="F26" i="68"/>
  <c r="C26" i="68"/>
  <c r="H26" i="68" s="1"/>
  <c r="N26" i="68" s="1"/>
  <c r="B26" i="68"/>
  <c r="G26" i="68" s="1"/>
  <c r="R25" i="68"/>
  <c r="Q25" i="68"/>
  <c r="O25" i="68"/>
  <c r="I25" i="68"/>
  <c r="F25" i="68"/>
  <c r="C25" i="68"/>
  <c r="H25" i="68" s="1"/>
  <c r="N25" i="68" s="1"/>
  <c r="B25" i="68"/>
  <c r="G25" i="68" s="1"/>
  <c r="R24" i="68"/>
  <c r="Q24" i="68"/>
  <c r="O24" i="68"/>
  <c r="U24" i="68" s="1"/>
  <c r="I24" i="68"/>
  <c r="F24" i="68"/>
  <c r="C24" i="68"/>
  <c r="H24" i="68" s="1"/>
  <c r="N24" i="68" s="1"/>
  <c r="B24" i="68"/>
  <c r="G24" i="68" s="1"/>
  <c r="R23" i="68"/>
  <c r="Q23" i="68"/>
  <c r="O23" i="68"/>
  <c r="I23" i="68"/>
  <c r="F23" i="68"/>
  <c r="C23" i="68"/>
  <c r="H23" i="68" s="1"/>
  <c r="N23" i="68" s="1"/>
  <c r="B23" i="68"/>
  <c r="G23" i="68" s="1"/>
  <c r="R22" i="68"/>
  <c r="Q22" i="68"/>
  <c r="O22" i="68"/>
  <c r="I22" i="68"/>
  <c r="F22" i="68"/>
  <c r="C22" i="68"/>
  <c r="H22" i="68" s="1"/>
  <c r="N22" i="68" s="1"/>
  <c r="B22" i="68"/>
  <c r="G22" i="68" s="1"/>
  <c r="R21" i="68"/>
  <c r="Q21" i="68"/>
  <c r="O21" i="68"/>
  <c r="I21" i="68"/>
  <c r="G21" i="68"/>
  <c r="F21" i="68"/>
  <c r="C21" i="68"/>
  <c r="H21" i="68" s="1"/>
  <c r="N21" i="68" s="1"/>
  <c r="B21" i="68"/>
  <c r="U20" i="68"/>
  <c r="R20" i="68"/>
  <c r="Q20" i="68"/>
  <c r="O20" i="68"/>
  <c r="I20" i="68"/>
  <c r="F20" i="68"/>
  <c r="C20" i="68"/>
  <c r="H20" i="68" s="1"/>
  <c r="N20" i="68" s="1"/>
  <c r="B20" i="68"/>
  <c r="G20" i="68" s="1"/>
  <c r="R19" i="68"/>
  <c r="Q19" i="68"/>
  <c r="O19" i="68"/>
  <c r="I19" i="68"/>
  <c r="F19" i="68"/>
  <c r="C19" i="68"/>
  <c r="H19" i="68" s="1"/>
  <c r="N19" i="68" s="1"/>
  <c r="B19" i="68"/>
  <c r="G19" i="68" s="1"/>
  <c r="R18" i="68"/>
  <c r="Q18" i="68"/>
  <c r="O18" i="68"/>
  <c r="I18" i="68"/>
  <c r="F18" i="68"/>
  <c r="C18" i="68"/>
  <c r="H18" i="68" s="1"/>
  <c r="N18" i="68" s="1"/>
  <c r="B18" i="68"/>
  <c r="G18" i="68" s="1"/>
  <c r="R17" i="68"/>
  <c r="Q17" i="68"/>
  <c r="O17" i="68"/>
  <c r="U17" i="68" s="1"/>
  <c r="I17" i="68"/>
  <c r="F17" i="68"/>
  <c r="C17" i="68"/>
  <c r="H17" i="68" s="1"/>
  <c r="N17" i="68" s="1"/>
  <c r="B17" i="68"/>
  <c r="G17" i="68" s="1"/>
  <c r="U16" i="68"/>
  <c r="R16" i="68"/>
  <c r="Q16" i="68"/>
  <c r="O16" i="68"/>
  <c r="I16" i="68"/>
  <c r="F16" i="68"/>
  <c r="C16" i="68"/>
  <c r="H16" i="68" s="1"/>
  <c r="N16" i="68" s="1"/>
  <c r="B16" i="68"/>
  <c r="G16" i="68" s="1"/>
  <c r="R15" i="68"/>
  <c r="Q15" i="68"/>
  <c r="O15" i="68"/>
  <c r="I15" i="68"/>
  <c r="G15" i="68"/>
  <c r="F15" i="68"/>
  <c r="C15" i="68"/>
  <c r="H15" i="68" s="1"/>
  <c r="N15" i="68" s="1"/>
  <c r="B15" i="68"/>
  <c r="R14" i="68"/>
  <c r="Q14" i="68"/>
  <c r="O14" i="68"/>
  <c r="I14" i="68"/>
  <c r="F14" i="68"/>
  <c r="C14" i="68"/>
  <c r="H14" i="68" s="1"/>
  <c r="N14" i="68" s="1"/>
  <c r="B14" i="68"/>
  <c r="G14" i="68" s="1"/>
  <c r="R13" i="68"/>
  <c r="Q13" i="68"/>
  <c r="O13" i="68"/>
  <c r="U13" i="68" s="1"/>
  <c r="I13" i="68"/>
  <c r="F13" i="68"/>
  <c r="C13" i="68"/>
  <c r="H13" i="68" s="1"/>
  <c r="N13" i="68" s="1"/>
  <c r="B13" i="68"/>
  <c r="G13" i="68" s="1"/>
  <c r="U12" i="68"/>
  <c r="R12" i="68"/>
  <c r="Q12" i="68"/>
  <c r="O12" i="68"/>
  <c r="I12" i="68"/>
  <c r="F12" i="68"/>
  <c r="C12" i="68"/>
  <c r="H12" i="68" s="1"/>
  <c r="N12" i="68" s="1"/>
  <c r="B12" i="68"/>
  <c r="G12" i="68" s="1"/>
  <c r="R11" i="68"/>
  <c r="Q11" i="68"/>
  <c r="O11" i="68"/>
  <c r="I11" i="68"/>
  <c r="G11" i="68"/>
  <c r="F11" i="68"/>
  <c r="C11" i="68"/>
  <c r="H11" i="68" s="1"/>
  <c r="N11" i="68" s="1"/>
  <c r="B11" i="68"/>
  <c r="R10" i="68"/>
  <c r="Q10" i="68"/>
  <c r="O10" i="68"/>
  <c r="I10" i="68"/>
  <c r="F10" i="68"/>
  <c r="C10" i="68"/>
  <c r="H10" i="68" s="1"/>
  <c r="N10" i="68" s="1"/>
  <c r="B10" i="68"/>
  <c r="G10" i="68" s="1"/>
  <c r="R9" i="68"/>
  <c r="Q9" i="68"/>
  <c r="O9" i="68"/>
  <c r="U9" i="68" s="1"/>
  <c r="I9" i="68"/>
  <c r="F9" i="68"/>
  <c r="C9" i="68"/>
  <c r="H9" i="68" s="1"/>
  <c r="N9" i="68" s="1"/>
  <c r="B9" i="68"/>
  <c r="G9" i="68" s="1"/>
  <c r="U8" i="68"/>
  <c r="R8" i="68"/>
  <c r="Q8" i="68"/>
  <c r="O8" i="68"/>
  <c r="I8" i="68"/>
  <c r="F8" i="68"/>
  <c r="C8" i="68"/>
  <c r="H8" i="68" s="1"/>
  <c r="N8" i="68" s="1"/>
  <c r="B8" i="68"/>
  <c r="G8" i="68" s="1"/>
  <c r="R7" i="68"/>
  <c r="Q7" i="68"/>
  <c r="O7" i="68"/>
  <c r="U7" i="68" s="1"/>
  <c r="I7" i="68"/>
  <c r="F7" i="68"/>
  <c r="C7" i="68"/>
  <c r="H7" i="68" s="1"/>
  <c r="N7" i="68" s="1"/>
  <c r="B7" i="68"/>
  <c r="G7" i="68" s="1"/>
  <c r="R6" i="68"/>
  <c r="Q6" i="68"/>
  <c r="O6" i="68"/>
  <c r="I6" i="68"/>
  <c r="F6" i="68"/>
  <c r="C6" i="68"/>
  <c r="H6" i="68" s="1"/>
  <c r="N6" i="68" s="1"/>
  <c r="B6" i="68"/>
  <c r="G6" i="68" s="1"/>
  <c r="R5" i="68"/>
  <c r="Q5" i="68"/>
  <c r="O5" i="68"/>
  <c r="U5" i="68" s="1"/>
  <c r="I5" i="68"/>
  <c r="G5" i="68"/>
  <c r="F5" i="68"/>
  <c r="C5" i="68"/>
  <c r="H5" i="68" s="1"/>
  <c r="N5" i="68" s="1"/>
  <c r="B5" i="68"/>
  <c r="U4" i="68"/>
  <c r="R4" i="68"/>
  <c r="Q4" i="68"/>
  <c r="O4" i="68"/>
  <c r="I4" i="68"/>
  <c r="G4" i="68"/>
  <c r="F4" i="68"/>
  <c r="C4" i="68"/>
  <c r="H4" i="68" s="1"/>
  <c r="N4" i="68" s="1"/>
  <c r="B4" i="68"/>
  <c r="R3" i="68"/>
  <c r="Q3" i="68"/>
  <c r="O3" i="68"/>
  <c r="I3" i="68"/>
  <c r="F3" i="68"/>
  <c r="C3" i="68"/>
  <c r="H3" i="68" s="1"/>
  <c r="N3" i="68" s="1"/>
  <c r="B3" i="68"/>
  <c r="G3" i="68" s="1"/>
  <c r="S4" i="31"/>
  <c r="S5" i="31"/>
  <c r="S6" i="31"/>
  <c r="U6" i="31" s="1"/>
  <c r="S7" i="31"/>
  <c r="U7" i="31" s="1"/>
  <c r="S8" i="31"/>
  <c r="U8" i="31" s="1"/>
  <c r="S9" i="31"/>
  <c r="U9" i="31" s="1"/>
  <c r="S10" i="31"/>
  <c r="U10" i="31" s="1"/>
  <c r="S11" i="31"/>
  <c r="U11" i="31" s="1"/>
  <c r="S12" i="31"/>
  <c r="U12" i="31" s="1"/>
  <c r="S13" i="31"/>
  <c r="U13" i="31" s="1"/>
  <c r="S14" i="31"/>
  <c r="U14" i="31" s="1"/>
  <c r="S15" i="31"/>
  <c r="U15" i="31" s="1"/>
  <c r="S16" i="31"/>
  <c r="U16" i="31" s="1"/>
  <c r="S17" i="31"/>
  <c r="U17" i="31" s="1"/>
  <c r="S18" i="31"/>
  <c r="U18" i="31" s="1"/>
  <c r="S19" i="31"/>
  <c r="U19" i="31" s="1"/>
  <c r="S20" i="31"/>
  <c r="U20" i="31" s="1"/>
  <c r="S21" i="31"/>
  <c r="U21" i="31" s="1"/>
  <c r="S22" i="31"/>
  <c r="U22" i="31" s="1"/>
  <c r="S23" i="31"/>
  <c r="U23" i="31" s="1"/>
  <c r="S24" i="31"/>
  <c r="U24" i="31" s="1"/>
  <c r="S25" i="31"/>
  <c r="U25" i="31" s="1"/>
  <c r="S26" i="31"/>
  <c r="U26" i="31" s="1"/>
  <c r="S27" i="31"/>
  <c r="U27" i="31" s="1"/>
  <c r="S28" i="31"/>
  <c r="U28" i="31" s="1"/>
  <c r="S29" i="31"/>
  <c r="U29" i="31" s="1"/>
  <c r="S30" i="31"/>
  <c r="U30" i="31" s="1"/>
  <c r="S31" i="31"/>
  <c r="U31" i="31" s="1"/>
  <c r="S32" i="31"/>
  <c r="U32" i="31" s="1"/>
  <c r="S33" i="31"/>
  <c r="U33" i="31" s="1"/>
  <c r="S34" i="31"/>
  <c r="U34" i="31" s="1"/>
  <c r="S35" i="31"/>
  <c r="U35" i="31" s="1"/>
  <c r="S36" i="31"/>
  <c r="U36" i="31" s="1"/>
  <c r="S37" i="31"/>
  <c r="U37" i="31" s="1"/>
  <c r="S38" i="31"/>
  <c r="U38" i="31" s="1"/>
  <c r="S39" i="31"/>
  <c r="U39" i="31" s="1"/>
  <c r="S40" i="31"/>
  <c r="U40" i="31" s="1"/>
  <c r="S41" i="31"/>
  <c r="U41" i="31" s="1"/>
  <c r="S42" i="31"/>
  <c r="U42" i="31" s="1"/>
  <c r="S43" i="31"/>
  <c r="U43" i="31" s="1"/>
  <c r="S44" i="31"/>
  <c r="U44" i="31" s="1"/>
  <c r="S45" i="31"/>
  <c r="U45" i="31" s="1"/>
  <c r="S46" i="31"/>
  <c r="U46" i="31" s="1"/>
  <c r="S47" i="31"/>
  <c r="U47" i="31" s="1"/>
  <c r="S48" i="31"/>
  <c r="U48" i="31" s="1"/>
  <c r="S49" i="31"/>
  <c r="U49" i="31" s="1"/>
  <c r="S50" i="31"/>
  <c r="U50" i="31" s="1"/>
  <c r="S51" i="31"/>
  <c r="U51" i="31" s="1"/>
  <c r="S52" i="31"/>
  <c r="U52" i="31" s="1"/>
  <c r="S53" i="31"/>
  <c r="U53" i="31" s="1"/>
  <c r="S54" i="31"/>
  <c r="U54" i="31" s="1"/>
  <c r="S55" i="31"/>
  <c r="U55" i="31" s="1"/>
  <c r="S56" i="31"/>
  <c r="U56" i="31" s="1"/>
  <c r="S57" i="31"/>
  <c r="U57" i="31" s="1"/>
  <c r="S58" i="31"/>
  <c r="U58" i="31" s="1"/>
  <c r="S59" i="31"/>
  <c r="U59" i="31" s="1"/>
  <c r="S60" i="31"/>
  <c r="U60" i="31" s="1"/>
  <c r="S61" i="31"/>
  <c r="U61" i="31" s="1"/>
  <c r="S62" i="31"/>
  <c r="U62" i="31" s="1"/>
  <c r="S63" i="31"/>
  <c r="U63" i="31" s="1"/>
  <c r="S64" i="31"/>
  <c r="U64" i="31" s="1"/>
  <c r="S65" i="31"/>
  <c r="U65" i="31" s="1"/>
  <c r="S66" i="31"/>
  <c r="U66" i="31" s="1"/>
  <c r="S67" i="31"/>
  <c r="U67" i="31" s="1"/>
  <c r="S68" i="31"/>
  <c r="U68" i="31" s="1"/>
  <c r="S69" i="31"/>
  <c r="U69" i="31" s="1"/>
  <c r="S70" i="31"/>
  <c r="U70" i="31" s="1"/>
  <c r="S71" i="31"/>
  <c r="U71" i="31" s="1"/>
  <c r="S72" i="31"/>
  <c r="U72" i="31" s="1"/>
  <c r="S73" i="31"/>
  <c r="U73" i="31" s="1"/>
  <c r="S74" i="31"/>
  <c r="U74" i="31" s="1"/>
  <c r="S75" i="31"/>
  <c r="U75" i="31" s="1"/>
  <c r="S76" i="31"/>
  <c r="U76" i="31" s="1"/>
  <c r="S77" i="31"/>
  <c r="U77" i="31" s="1"/>
  <c r="S78" i="31"/>
  <c r="U78" i="31" s="1"/>
  <c r="S79" i="31"/>
  <c r="U79" i="31" s="1"/>
  <c r="S80" i="31"/>
  <c r="U80" i="31" s="1"/>
  <c r="S81" i="31"/>
  <c r="U81" i="31" s="1"/>
  <c r="S82" i="31"/>
  <c r="U82" i="31" s="1"/>
  <c r="S83" i="31"/>
  <c r="U83" i="31" s="1"/>
  <c r="S84" i="31"/>
  <c r="U84" i="31" s="1"/>
  <c r="S85" i="31"/>
  <c r="U85" i="31" s="1"/>
  <c r="S86" i="31"/>
  <c r="U86" i="31" s="1"/>
  <c r="S87" i="31"/>
  <c r="U87" i="31" s="1"/>
  <c r="S88" i="31"/>
  <c r="U88" i="31" s="1"/>
  <c r="S89" i="31"/>
  <c r="U89" i="31" s="1"/>
  <c r="S90" i="31"/>
  <c r="U90" i="31" s="1"/>
  <c r="S91" i="31"/>
  <c r="U91" i="31" s="1"/>
  <c r="S92" i="31"/>
  <c r="U92" i="31" s="1"/>
  <c r="S93" i="31"/>
  <c r="U93" i="31" s="1"/>
  <c r="S94" i="31"/>
  <c r="U94" i="31" s="1"/>
  <c r="S95" i="31"/>
  <c r="U95" i="31" s="1"/>
  <c r="S96" i="31"/>
  <c r="U96" i="31" s="1"/>
  <c r="S97" i="31"/>
  <c r="U97" i="31" s="1"/>
  <c r="S98" i="31"/>
  <c r="U98" i="31" s="1"/>
  <c r="S99" i="31"/>
  <c r="U99" i="31" s="1"/>
  <c r="S100" i="31"/>
  <c r="U100" i="31" s="1"/>
  <c r="S101" i="31"/>
  <c r="S102" i="31"/>
  <c r="U102" i="31" s="1"/>
  <c r="S103" i="31"/>
  <c r="U103" i="31" s="1"/>
  <c r="U4" i="31"/>
  <c r="U5" i="31"/>
  <c r="U101" i="31"/>
  <c r="R4" i="31"/>
  <c r="R5" i="31"/>
  <c r="R6" i="31"/>
  <c r="R7" i="31"/>
  <c r="R8" i="31"/>
  <c r="R9" i="31"/>
  <c r="R10" i="31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34" i="31"/>
  <c r="R35" i="31"/>
  <c r="R36" i="31"/>
  <c r="R37" i="31"/>
  <c r="R38" i="31"/>
  <c r="R39" i="31"/>
  <c r="R40" i="31"/>
  <c r="R41" i="31"/>
  <c r="R42" i="31"/>
  <c r="R43" i="31"/>
  <c r="R44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3" i="31"/>
  <c r="R64" i="31"/>
  <c r="R65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1" i="31"/>
  <c r="R82" i="31"/>
  <c r="R83" i="31"/>
  <c r="R84" i="31"/>
  <c r="R85" i="31"/>
  <c r="R86" i="31"/>
  <c r="R87" i="31"/>
  <c r="R88" i="31"/>
  <c r="R89" i="31"/>
  <c r="R90" i="31"/>
  <c r="R91" i="31"/>
  <c r="R92" i="31"/>
  <c r="R93" i="31"/>
  <c r="R94" i="31"/>
  <c r="R95" i="31"/>
  <c r="R96" i="31"/>
  <c r="R97" i="31"/>
  <c r="R98" i="31"/>
  <c r="R99" i="31"/>
  <c r="R100" i="31"/>
  <c r="R101" i="31"/>
  <c r="R102" i="31"/>
  <c r="R103" i="31"/>
  <c r="R3" i="31"/>
  <c r="Q4" i="31"/>
  <c r="Q5" i="31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Q68" i="31"/>
  <c r="Q69" i="31"/>
  <c r="Q70" i="31"/>
  <c r="Q71" i="31"/>
  <c r="Q72" i="31"/>
  <c r="Q73" i="31"/>
  <c r="Q74" i="31"/>
  <c r="Q75" i="31"/>
  <c r="Q76" i="31"/>
  <c r="Q77" i="31"/>
  <c r="Q78" i="31"/>
  <c r="Q79" i="31"/>
  <c r="Q80" i="31"/>
  <c r="Q81" i="31"/>
  <c r="Q82" i="31"/>
  <c r="Q83" i="31"/>
  <c r="Q84" i="31"/>
  <c r="Q85" i="31"/>
  <c r="Q86" i="31"/>
  <c r="Q87" i="31"/>
  <c r="Q88" i="31"/>
  <c r="Q89" i="31"/>
  <c r="Q90" i="31"/>
  <c r="Q91" i="31"/>
  <c r="Q92" i="31"/>
  <c r="Q93" i="31"/>
  <c r="Q94" i="31"/>
  <c r="Q95" i="31"/>
  <c r="Q96" i="31"/>
  <c r="Q97" i="31"/>
  <c r="Q98" i="31"/>
  <c r="Q99" i="31"/>
  <c r="Q100" i="31"/>
  <c r="Q101" i="31"/>
  <c r="Q102" i="31"/>
  <c r="Q103" i="31"/>
  <c r="Q3" i="3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U78" i="73" l="1"/>
  <c r="U82" i="73"/>
  <c r="U86" i="73"/>
  <c r="U90" i="73"/>
  <c r="U94" i="73"/>
  <c r="U98" i="73"/>
  <c r="U102" i="73"/>
  <c r="U78" i="71"/>
  <c r="U6" i="71"/>
  <c r="U77" i="71"/>
  <c r="U5" i="71"/>
  <c r="U13" i="71"/>
  <c r="U14" i="71"/>
  <c r="U18" i="71"/>
  <c r="U22" i="71"/>
  <c r="U26" i="71"/>
  <c r="U30" i="71"/>
  <c r="U34" i="71"/>
  <c r="U38" i="71"/>
  <c r="U42" i="71"/>
  <c r="U46" i="71"/>
  <c r="U81" i="71"/>
  <c r="U82" i="71"/>
  <c r="U85" i="71"/>
  <c r="U86" i="71"/>
  <c r="U89" i="71"/>
  <c r="U90" i="71"/>
  <c r="U93" i="71"/>
  <c r="U94" i="71"/>
  <c r="U97" i="71"/>
  <c r="U98" i="71"/>
  <c r="U101" i="71"/>
  <c r="U102" i="71"/>
  <c r="U62" i="69"/>
  <c r="U66" i="69"/>
  <c r="U78" i="69"/>
  <c r="U82" i="69"/>
  <c r="U86" i="69"/>
  <c r="U90" i="69"/>
  <c r="U94" i="69"/>
  <c r="U98" i="69"/>
  <c r="U102" i="69"/>
  <c r="U6" i="69"/>
  <c r="U10" i="69"/>
  <c r="U14" i="69"/>
  <c r="U18" i="69"/>
  <c r="U22" i="69"/>
  <c r="U26" i="69"/>
  <c r="U30" i="69"/>
  <c r="U34" i="69"/>
  <c r="U74" i="69"/>
  <c r="U6" i="70"/>
  <c r="U10" i="70"/>
  <c r="U14" i="70"/>
  <c r="U18" i="70"/>
  <c r="U22" i="70"/>
  <c r="U26" i="70"/>
  <c r="U30" i="70"/>
  <c r="U34" i="70"/>
  <c r="U38" i="70"/>
  <c r="U42" i="70"/>
  <c r="U46" i="70"/>
  <c r="U50" i="70"/>
  <c r="U54" i="70"/>
  <c r="U58" i="70"/>
  <c r="U62" i="70"/>
  <c r="U66" i="70"/>
  <c r="U70" i="70"/>
  <c r="U74" i="70"/>
  <c r="U78" i="70"/>
  <c r="U82" i="70"/>
  <c r="U86" i="70"/>
  <c r="U90" i="70"/>
  <c r="U94" i="70"/>
  <c r="U98" i="70"/>
  <c r="U102" i="70"/>
  <c r="U79" i="71"/>
  <c r="U3" i="71"/>
  <c r="U7" i="71"/>
  <c r="U47" i="72"/>
  <c r="U51" i="72"/>
  <c r="U55" i="72"/>
  <c r="U63" i="72"/>
  <c r="U67" i="72"/>
  <c r="U71" i="72"/>
  <c r="U75" i="72"/>
  <c r="U79" i="72"/>
  <c r="U83" i="72"/>
  <c r="U87" i="72"/>
  <c r="U91" i="72"/>
  <c r="U95" i="72"/>
  <c r="U99" i="72"/>
  <c r="U103" i="72"/>
  <c r="U6" i="73"/>
  <c r="U22" i="73"/>
  <c r="U26" i="73"/>
  <c r="U34" i="73"/>
  <c r="U46" i="73"/>
  <c r="U50" i="73"/>
  <c r="U54" i="73"/>
  <c r="U62" i="73"/>
  <c r="U21" i="73"/>
  <c r="U25" i="73"/>
  <c r="U29" i="73"/>
  <c r="U33" i="73"/>
  <c r="U37" i="73"/>
  <c r="U41" i="73"/>
  <c r="U45" i="73"/>
  <c r="U49" i="73"/>
  <c r="U53" i="73"/>
  <c r="U57" i="73"/>
  <c r="U61" i="73"/>
  <c r="U66" i="73"/>
  <c r="U70" i="73"/>
  <c r="U10" i="73"/>
  <c r="U14" i="73"/>
  <c r="U18" i="73"/>
  <c r="U30" i="73"/>
  <c r="U38" i="73"/>
  <c r="U42" i="73"/>
  <c r="U58" i="73"/>
  <c r="U65" i="73"/>
  <c r="U69" i="73"/>
  <c r="U74" i="73"/>
  <c r="U79" i="74"/>
  <c r="U83" i="74"/>
  <c r="U87" i="74"/>
  <c r="U91" i="74"/>
  <c r="U95" i="74"/>
  <c r="U99" i="74"/>
  <c r="U103" i="74"/>
  <c r="U15" i="74"/>
  <c r="U19" i="74"/>
  <c r="U23" i="74"/>
  <c r="U27" i="74"/>
  <c r="U31" i="74"/>
  <c r="U35" i="74"/>
  <c r="U39" i="74"/>
  <c r="U43" i="74"/>
  <c r="U47" i="74"/>
  <c r="U71" i="74"/>
  <c r="U78" i="77"/>
  <c r="U82" i="77"/>
  <c r="U86" i="77"/>
  <c r="U90" i="77"/>
  <c r="U94" i="77"/>
  <c r="U98" i="77"/>
  <c r="U102" i="77"/>
  <c r="U62" i="77"/>
  <c r="U66" i="77"/>
  <c r="U70" i="77"/>
  <c r="U74" i="77"/>
  <c r="U19" i="68"/>
  <c r="U91" i="68"/>
  <c r="U95" i="68"/>
  <c r="U99" i="68"/>
  <c r="U103" i="68"/>
  <c r="U11" i="68"/>
  <c r="U15" i="68"/>
  <c r="U23" i="68"/>
  <c r="U27" i="68"/>
  <c r="U31" i="68"/>
  <c r="U35" i="68"/>
  <c r="U39" i="68"/>
  <c r="U43" i="68"/>
  <c r="U47" i="68"/>
  <c r="U51" i="68"/>
  <c r="U90" i="68"/>
  <c r="U94" i="68"/>
  <c r="U98" i="68"/>
  <c r="U102" i="68"/>
  <c r="U22" i="68"/>
  <c r="U26" i="68"/>
  <c r="U30" i="68"/>
  <c r="U34" i="68"/>
  <c r="U21" i="68"/>
  <c r="U25" i="68"/>
  <c r="U29" i="68"/>
  <c r="U33" i="68"/>
  <c r="U37" i="68"/>
  <c r="U38" i="68"/>
  <c r="U41" i="68"/>
  <c r="U42" i="68"/>
  <c r="U45" i="68"/>
  <c r="U46" i="68"/>
  <c r="U49" i="68"/>
  <c r="U50" i="68"/>
  <c r="U53" i="68"/>
  <c r="U54" i="68"/>
  <c r="B3" i="31"/>
  <c r="G3" i="31" s="1"/>
  <c r="C3" i="31"/>
  <c r="O3" i="31" l="1"/>
  <c r="O4" i="31"/>
  <c r="O5" i="31"/>
  <c r="O6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O43" i="31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O85" i="31"/>
  <c r="O86" i="31"/>
  <c r="O87" i="31"/>
  <c r="O88" i="31"/>
  <c r="O89" i="31"/>
  <c r="O90" i="31"/>
  <c r="O91" i="31"/>
  <c r="O92" i="31"/>
  <c r="O93" i="31"/>
  <c r="O94" i="31"/>
  <c r="O95" i="31"/>
  <c r="O96" i="31"/>
  <c r="O97" i="31"/>
  <c r="O98" i="31"/>
  <c r="O99" i="31"/>
  <c r="O100" i="31"/>
  <c r="O101" i="31"/>
  <c r="O102" i="31"/>
  <c r="O103" i="31"/>
  <c r="S3" i="31" l="1"/>
  <c r="U3" i="31" s="1"/>
  <c r="B59" i="31"/>
  <c r="G59" i="31" s="1"/>
  <c r="B60" i="31"/>
  <c r="G60" i="31" s="1"/>
  <c r="B61" i="31"/>
  <c r="G61" i="31" s="1"/>
  <c r="B62" i="31"/>
  <c r="G62" i="31" s="1"/>
  <c r="B63" i="31"/>
  <c r="G63" i="31" s="1"/>
  <c r="B64" i="31"/>
  <c r="G64" i="31" s="1"/>
  <c r="B65" i="31"/>
  <c r="G65" i="31" s="1"/>
  <c r="B66" i="31"/>
  <c r="G66" i="31" s="1"/>
  <c r="B67" i="31"/>
  <c r="G67" i="31" s="1"/>
  <c r="B68" i="31"/>
  <c r="G68" i="31" s="1"/>
  <c r="B69" i="31"/>
  <c r="G69" i="31" s="1"/>
  <c r="B70" i="31"/>
  <c r="G70" i="31" s="1"/>
  <c r="B71" i="31"/>
  <c r="G71" i="31" s="1"/>
  <c r="B72" i="31"/>
  <c r="G72" i="31" s="1"/>
  <c r="B73" i="31"/>
  <c r="G73" i="31" s="1"/>
  <c r="B74" i="31"/>
  <c r="G74" i="31" s="1"/>
  <c r="B75" i="31"/>
  <c r="G75" i="31" s="1"/>
  <c r="B76" i="31"/>
  <c r="G76" i="31" s="1"/>
  <c r="B77" i="31"/>
  <c r="G77" i="31" s="1"/>
  <c r="B78" i="31"/>
  <c r="G78" i="31" s="1"/>
  <c r="B79" i="31"/>
  <c r="G79" i="31" s="1"/>
  <c r="B80" i="31"/>
  <c r="G80" i="31" s="1"/>
  <c r="B81" i="31"/>
  <c r="G81" i="31" s="1"/>
  <c r="B82" i="31"/>
  <c r="G82" i="31" s="1"/>
  <c r="B83" i="31"/>
  <c r="G83" i="31" s="1"/>
  <c r="B84" i="31"/>
  <c r="G84" i="31" s="1"/>
  <c r="B85" i="31"/>
  <c r="G85" i="31" s="1"/>
  <c r="B86" i="31"/>
  <c r="G86" i="31" s="1"/>
  <c r="B87" i="31"/>
  <c r="G87" i="31" s="1"/>
  <c r="B88" i="31"/>
  <c r="G88" i="31" s="1"/>
  <c r="B89" i="31"/>
  <c r="G89" i="31" s="1"/>
  <c r="B90" i="31"/>
  <c r="G90" i="31" s="1"/>
  <c r="B91" i="31"/>
  <c r="G91" i="31" s="1"/>
  <c r="B92" i="31"/>
  <c r="G92" i="31" s="1"/>
  <c r="B93" i="31"/>
  <c r="G93" i="31" s="1"/>
  <c r="B94" i="31"/>
  <c r="G94" i="31" s="1"/>
  <c r="B95" i="31"/>
  <c r="G95" i="31" s="1"/>
  <c r="B96" i="31"/>
  <c r="G96" i="31" s="1"/>
  <c r="B97" i="31"/>
  <c r="G97" i="31" s="1"/>
  <c r="B98" i="31"/>
  <c r="G98" i="31" s="1"/>
  <c r="B99" i="31"/>
  <c r="G99" i="31" s="1"/>
  <c r="B100" i="31"/>
  <c r="G100" i="31" s="1"/>
  <c r="B101" i="31"/>
  <c r="G101" i="31" s="1"/>
  <c r="B102" i="31"/>
  <c r="G102" i="31" s="1"/>
  <c r="B103" i="31"/>
  <c r="G103" i="31" s="1"/>
  <c r="C59" i="31"/>
  <c r="H59" i="31" s="1"/>
  <c r="C60" i="31"/>
  <c r="H60" i="31" s="1"/>
  <c r="C61" i="31"/>
  <c r="H61" i="31" s="1"/>
  <c r="C62" i="31"/>
  <c r="H62" i="31" s="1"/>
  <c r="C63" i="31"/>
  <c r="H63" i="31" s="1"/>
  <c r="C64" i="31"/>
  <c r="H64" i="31" s="1"/>
  <c r="C65" i="31"/>
  <c r="H65" i="31" s="1"/>
  <c r="C66" i="31"/>
  <c r="H66" i="31" s="1"/>
  <c r="C67" i="31"/>
  <c r="H67" i="31" s="1"/>
  <c r="C68" i="31"/>
  <c r="H68" i="31" s="1"/>
  <c r="C69" i="31"/>
  <c r="H69" i="31" s="1"/>
  <c r="C70" i="31"/>
  <c r="H70" i="31" s="1"/>
  <c r="C71" i="31"/>
  <c r="H71" i="31" s="1"/>
  <c r="C72" i="31"/>
  <c r="H72" i="31" s="1"/>
  <c r="C73" i="31"/>
  <c r="H73" i="31" s="1"/>
  <c r="C74" i="31"/>
  <c r="H74" i="31" s="1"/>
  <c r="C75" i="31"/>
  <c r="H75" i="31" s="1"/>
  <c r="C76" i="31"/>
  <c r="H76" i="31" s="1"/>
  <c r="C77" i="31"/>
  <c r="H77" i="31" s="1"/>
  <c r="C78" i="31"/>
  <c r="H78" i="31" s="1"/>
  <c r="C79" i="31"/>
  <c r="H79" i="31" s="1"/>
  <c r="C80" i="31"/>
  <c r="H80" i="31" s="1"/>
  <c r="C81" i="31"/>
  <c r="H81" i="31" s="1"/>
  <c r="C82" i="31"/>
  <c r="H82" i="31" s="1"/>
  <c r="C83" i="31"/>
  <c r="H83" i="31" s="1"/>
  <c r="C84" i="31"/>
  <c r="H84" i="31" s="1"/>
  <c r="C85" i="31"/>
  <c r="H85" i="31" s="1"/>
  <c r="C86" i="31"/>
  <c r="H86" i="31" s="1"/>
  <c r="C87" i="31"/>
  <c r="H87" i="31" s="1"/>
  <c r="C88" i="31"/>
  <c r="H88" i="31" s="1"/>
  <c r="C89" i="31"/>
  <c r="H89" i="31" s="1"/>
  <c r="C90" i="31"/>
  <c r="H90" i="31" s="1"/>
  <c r="C91" i="31"/>
  <c r="H91" i="31" s="1"/>
  <c r="C92" i="31"/>
  <c r="H92" i="31" s="1"/>
  <c r="C93" i="31"/>
  <c r="H93" i="31" s="1"/>
  <c r="C94" i="31"/>
  <c r="H94" i="31" s="1"/>
  <c r="C95" i="31"/>
  <c r="H95" i="31" s="1"/>
  <c r="C96" i="31"/>
  <c r="H96" i="31" s="1"/>
  <c r="C97" i="31"/>
  <c r="H97" i="31" s="1"/>
  <c r="C98" i="31"/>
  <c r="H98" i="31" s="1"/>
  <c r="C99" i="31"/>
  <c r="H99" i="31" s="1"/>
  <c r="C100" i="31"/>
  <c r="H100" i="31" s="1"/>
  <c r="C101" i="31"/>
  <c r="H101" i="31" s="1"/>
  <c r="C102" i="31"/>
  <c r="H102" i="31" s="1"/>
  <c r="C103" i="31"/>
  <c r="H103" i="31" s="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I59" i="31"/>
  <c r="I60" i="31"/>
  <c r="I61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79" i="31"/>
  <c r="I80" i="31"/>
  <c r="I81" i="31"/>
  <c r="I82" i="31"/>
  <c r="I83" i="31"/>
  <c r="I84" i="31"/>
  <c r="I85" i="31"/>
  <c r="I86" i="31"/>
  <c r="I87" i="31"/>
  <c r="I88" i="31"/>
  <c r="I89" i="31"/>
  <c r="I90" i="31"/>
  <c r="I91" i="31"/>
  <c r="I92" i="31"/>
  <c r="I93" i="31"/>
  <c r="I94" i="31"/>
  <c r="I95" i="31"/>
  <c r="I96" i="31"/>
  <c r="I97" i="31"/>
  <c r="I98" i="31"/>
  <c r="I99" i="31"/>
  <c r="I100" i="31"/>
  <c r="I101" i="31"/>
  <c r="I102" i="31"/>
  <c r="I103" i="31"/>
  <c r="B58" i="31"/>
  <c r="G58" i="31" s="1"/>
  <c r="C58" i="31"/>
  <c r="H58" i="31" s="1"/>
  <c r="F58" i="31"/>
  <c r="I58" i="31"/>
  <c r="B57" i="31"/>
  <c r="G57" i="31" s="1"/>
  <c r="C57" i="31"/>
  <c r="H57" i="31" s="1"/>
  <c r="F57" i="31"/>
  <c r="I57" i="31"/>
  <c r="B56" i="31"/>
  <c r="G56" i="31" s="1"/>
  <c r="C56" i="31"/>
  <c r="H56" i="31" s="1"/>
  <c r="F56" i="31"/>
  <c r="I56" i="31"/>
  <c r="B55" i="31"/>
  <c r="G55" i="31" s="1"/>
  <c r="C55" i="31"/>
  <c r="H55" i="31" s="1"/>
  <c r="F55" i="31"/>
  <c r="I55" i="31"/>
  <c r="B54" i="31"/>
  <c r="G54" i="31" s="1"/>
  <c r="C54" i="31"/>
  <c r="H54" i="31" s="1"/>
  <c r="F54" i="31"/>
  <c r="I54" i="31"/>
  <c r="B53" i="31"/>
  <c r="G53" i="31" s="1"/>
  <c r="C53" i="31"/>
  <c r="F53" i="31"/>
  <c r="B52" i="31"/>
  <c r="G52" i="31" s="1"/>
  <c r="C52" i="31"/>
  <c r="F52" i="31"/>
  <c r="B51" i="31"/>
  <c r="G51" i="31" s="1"/>
  <c r="C51" i="31"/>
  <c r="F51" i="31"/>
  <c r="F50" i="31"/>
  <c r="C50" i="31"/>
  <c r="B50" i="31"/>
  <c r="G50" i="31" s="1"/>
  <c r="F49" i="31"/>
  <c r="C49" i="31"/>
  <c r="B49" i="31"/>
  <c r="G49" i="31" s="1"/>
  <c r="F48" i="31"/>
  <c r="C48" i="31"/>
  <c r="B48" i="31"/>
  <c r="G48" i="31" s="1"/>
  <c r="F47" i="31"/>
  <c r="C47" i="31"/>
  <c r="B47" i="31"/>
  <c r="G47" i="31" s="1"/>
  <c r="F46" i="31"/>
  <c r="C46" i="31"/>
  <c r="B46" i="31"/>
  <c r="G46" i="31" s="1"/>
  <c r="F45" i="31"/>
  <c r="C45" i="31"/>
  <c r="B45" i="31"/>
  <c r="G45" i="31" s="1"/>
  <c r="C44" i="31"/>
  <c r="B44" i="31"/>
  <c r="G44" i="31" s="1"/>
  <c r="C43" i="31"/>
  <c r="B43" i="31"/>
  <c r="G43" i="31" s="1"/>
  <c r="C42" i="31"/>
  <c r="B42" i="31"/>
  <c r="G42" i="31" s="1"/>
  <c r="C41" i="31"/>
  <c r="B41" i="31"/>
  <c r="G41" i="31" s="1"/>
  <c r="C40" i="31"/>
  <c r="B40" i="31"/>
  <c r="G40" i="31" s="1"/>
  <c r="C39" i="31"/>
  <c r="B39" i="31"/>
  <c r="G39" i="31" s="1"/>
  <c r="C38" i="31"/>
  <c r="B38" i="31"/>
  <c r="G38" i="31" s="1"/>
  <c r="C37" i="31"/>
  <c r="B37" i="31"/>
  <c r="G37" i="31" s="1"/>
  <c r="C36" i="31"/>
  <c r="B36" i="31"/>
  <c r="G36" i="31" s="1"/>
  <c r="C35" i="31"/>
  <c r="B35" i="31"/>
  <c r="G35" i="31" s="1"/>
  <c r="C34" i="31"/>
  <c r="B34" i="31"/>
  <c r="G34" i="31" s="1"/>
  <c r="C33" i="31"/>
  <c r="H33" i="31" s="1"/>
  <c r="B33" i="31"/>
  <c r="G33" i="31" s="1"/>
  <c r="C32" i="31"/>
  <c r="B32" i="31"/>
  <c r="G32" i="31" s="1"/>
  <c r="C31" i="31"/>
  <c r="H31" i="31" s="1"/>
  <c r="B31" i="31"/>
  <c r="G31" i="31" s="1"/>
  <c r="C30" i="31"/>
  <c r="B30" i="31"/>
  <c r="G30" i="31" s="1"/>
  <c r="C29" i="31"/>
  <c r="B29" i="31"/>
  <c r="G29" i="31" s="1"/>
  <c r="C28" i="31"/>
  <c r="B28" i="31"/>
  <c r="G28" i="31" s="1"/>
  <c r="C27" i="31"/>
  <c r="H27" i="31" s="1"/>
  <c r="B27" i="31"/>
  <c r="G27" i="31" s="1"/>
  <c r="C26" i="31"/>
  <c r="B26" i="31"/>
  <c r="G26" i="31" s="1"/>
  <c r="C25" i="31"/>
  <c r="B25" i="31"/>
  <c r="G25" i="31" s="1"/>
  <c r="C24" i="31"/>
  <c r="B24" i="31"/>
  <c r="G24" i="31" s="1"/>
  <c r="C23" i="31"/>
  <c r="B23" i="31"/>
  <c r="G23" i="31" s="1"/>
  <c r="C22" i="31"/>
  <c r="H22" i="31" s="1"/>
  <c r="B22" i="31"/>
  <c r="G22" i="31" s="1"/>
  <c r="C21" i="31"/>
  <c r="B21" i="31"/>
  <c r="G21" i="31" s="1"/>
  <c r="C20" i="31"/>
  <c r="H20" i="31" s="1"/>
  <c r="B20" i="31"/>
  <c r="G20" i="31" s="1"/>
  <c r="C19" i="31"/>
  <c r="B19" i="31"/>
  <c r="G19" i="31" s="1"/>
  <c r="C18" i="31"/>
  <c r="B18" i="31"/>
  <c r="G18" i="31" s="1"/>
  <c r="C17" i="31"/>
  <c r="B17" i="31"/>
  <c r="G17" i="31" s="1"/>
  <c r="C16" i="31"/>
  <c r="B16" i="31"/>
  <c r="G16" i="31" s="1"/>
  <c r="C15" i="31"/>
  <c r="B15" i="31"/>
  <c r="G15" i="31" s="1"/>
  <c r="C14" i="31"/>
  <c r="B14" i="31"/>
  <c r="G14" i="31" s="1"/>
  <c r="C13" i="31"/>
  <c r="B13" i="31"/>
  <c r="G13" i="31" s="1"/>
  <c r="C12" i="31"/>
  <c r="B12" i="31"/>
  <c r="G12" i="31" s="1"/>
  <c r="C11" i="31"/>
  <c r="B11" i="31"/>
  <c r="G11" i="31" s="1"/>
  <c r="C10" i="31"/>
  <c r="B10" i="31"/>
  <c r="G10" i="31" s="1"/>
  <c r="C9" i="31"/>
  <c r="B9" i="31"/>
  <c r="G9" i="31" s="1"/>
  <c r="C8" i="31"/>
  <c r="B8" i="31"/>
  <c r="G8" i="31" s="1"/>
  <c r="C7" i="31"/>
  <c r="B7" i="31"/>
  <c r="G7" i="31" s="1"/>
  <c r="C6" i="31"/>
  <c r="B6" i="31"/>
  <c r="G6" i="31" s="1"/>
  <c r="C5" i="31"/>
  <c r="B5" i="31"/>
  <c r="G5" i="31" s="1"/>
  <c r="C4" i="31"/>
  <c r="B4" i="31"/>
  <c r="G4" i="31" s="1"/>
  <c r="H3" i="31" l="1"/>
  <c r="I3" i="31" s="1"/>
  <c r="I3" i="2"/>
  <c r="H53" i="31"/>
  <c r="I53" i="31" s="1"/>
  <c r="H52" i="31"/>
  <c r="I52" i="31" s="1"/>
  <c r="N54" i="31"/>
  <c r="N55" i="31"/>
  <c r="N56" i="31"/>
  <c r="N57" i="31"/>
  <c r="N58" i="31"/>
  <c r="H51" i="31"/>
  <c r="N101" i="31"/>
  <c r="N93" i="31"/>
  <c r="N81" i="31"/>
  <c r="N65" i="31"/>
  <c r="N102" i="31"/>
  <c r="N98" i="31"/>
  <c r="N94" i="31"/>
  <c r="N90" i="31"/>
  <c r="N86" i="31"/>
  <c r="N82" i="31"/>
  <c r="N78" i="31"/>
  <c r="N74" i="31"/>
  <c r="N70" i="31"/>
  <c r="N66" i="31"/>
  <c r="N62" i="31"/>
  <c r="N89" i="31"/>
  <c r="N77" i="31"/>
  <c r="N69" i="31"/>
  <c r="N100" i="31"/>
  <c r="N96" i="31"/>
  <c r="N92" i="31"/>
  <c r="N88" i="31"/>
  <c r="N84" i="31"/>
  <c r="N80" i="31"/>
  <c r="N76" i="31"/>
  <c r="N72" i="31"/>
  <c r="N68" i="31"/>
  <c r="N64" i="31"/>
  <c r="N60" i="31"/>
  <c r="N97" i="31"/>
  <c r="N85" i="31"/>
  <c r="N73" i="31"/>
  <c r="N61" i="31"/>
  <c r="N103" i="31"/>
  <c r="N99" i="31"/>
  <c r="N95" i="31"/>
  <c r="N91" i="31"/>
  <c r="N87" i="31"/>
  <c r="N83" i="31"/>
  <c r="N79" i="31"/>
  <c r="N75" i="31"/>
  <c r="N71" i="31"/>
  <c r="N67" i="31"/>
  <c r="N63" i="31"/>
  <c r="N59" i="31"/>
  <c r="I4" i="2"/>
  <c r="K9" i="2"/>
  <c r="H2" i="2" l="1"/>
  <c r="S3" i="68"/>
  <c r="U3" i="68" s="1"/>
  <c r="H5" i="31"/>
  <c r="H43" i="31"/>
  <c r="I43" i="31" s="1"/>
  <c r="H28" i="31"/>
  <c r="I28" i="31" s="1"/>
  <c r="H10" i="31"/>
  <c r="N10" i="31" s="1"/>
  <c r="H36" i="31"/>
  <c r="N36" i="31" s="1"/>
  <c r="H11" i="31"/>
  <c r="N11" i="31" s="1"/>
  <c r="H41" i="31"/>
  <c r="H34" i="31"/>
  <c r="N34" i="31" s="1"/>
  <c r="H25" i="31"/>
  <c r="N25" i="31" s="1"/>
  <c r="H16" i="31"/>
  <c r="I16" i="31" s="1"/>
  <c r="H7" i="31"/>
  <c r="I7" i="31" s="1"/>
  <c r="H42" i="31"/>
  <c r="H30" i="31"/>
  <c r="N30" i="31" s="1"/>
  <c r="H18" i="31"/>
  <c r="I18" i="31" s="1"/>
  <c r="H9" i="31"/>
  <c r="N9" i="31" s="1"/>
  <c r="H39" i="31"/>
  <c r="I39" i="31" s="1"/>
  <c r="H32" i="31"/>
  <c r="N32" i="31" s="1"/>
  <c r="H23" i="31"/>
  <c r="I23" i="31" s="1"/>
  <c r="H14" i="31"/>
  <c r="I14" i="31" s="1"/>
  <c r="H6" i="31"/>
  <c r="I6" i="31" s="1"/>
  <c r="H40" i="31"/>
  <c r="I40" i="31" s="1"/>
  <c r="H26" i="31"/>
  <c r="I26" i="31" s="1"/>
  <c r="H15" i="31"/>
  <c r="H8" i="31"/>
  <c r="N8" i="31" s="1"/>
  <c r="H35" i="31"/>
  <c r="I35" i="31" s="1"/>
  <c r="H17" i="31"/>
  <c r="N17" i="31" s="1"/>
  <c r="H44" i="31"/>
  <c r="N44" i="31" s="1"/>
  <c r="H19" i="31"/>
  <c r="I19" i="31" s="1"/>
  <c r="H38" i="31"/>
  <c r="H29" i="31"/>
  <c r="N29" i="31" s="1"/>
  <c r="H21" i="31"/>
  <c r="N21" i="31" s="1"/>
  <c r="H12" i="31"/>
  <c r="N12" i="31" s="1"/>
  <c r="H4" i="31"/>
  <c r="H37" i="31"/>
  <c r="N37" i="31" s="1"/>
  <c r="H24" i="31"/>
  <c r="I24" i="31" s="1"/>
  <c r="H13" i="31"/>
  <c r="N13" i="31" s="1"/>
  <c r="N53" i="31"/>
  <c r="H50" i="31"/>
  <c r="N50" i="31" s="1"/>
  <c r="N52" i="31"/>
  <c r="I51" i="31"/>
  <c r="N51" i="31"/>
  <c r="I50" i="31"/>
  <c r="H49" i="31"/>
  <c r="I49" i="31" s="1"/>
  <c r="H48" i="31"/>
  <c r="I48" i="31" s="1"/>
  <c r="H47" i="31"/>
  <c r="I47" i="31" s="1"/>
  <c r="H45" i="31"/>
  <c r="I45" i="31" s="1"/>
  <c r="H46" i="31"/>
  <c r="N46" i="31" s="1"/>
  <c r="I42" i="31"/>
  <c r="I38" i="31"/>
  <c r="I33" i="31"/>
  <c r="I31" i="31"/>
  <c r="N27" i="31"/>
  <c r="N22" i="31"/>
  <c r="I20" i="31"/>
  <c r="I5" i="31"/>
  <c r="J4" i="2"/>
  <c r="L4" i="2" s="1"/>
  <c r="I8" i="2"/>
  <c r="J8" i="2" s="1"/>
  <c r="L8" i="2" s="1"/>
  <c r="I6" i="2"/>
  <c r="J6" i="2" s="1"/>
  <c r="J3" i="2"/>
  <c r="L3" i="2" s="1"/>
  <c r="N48" i="31" l="1"/>
  <c r="N49" i="31"/>
  <c r="N47" i="31"/>
  <c r="N45" i="31"/>
  <c r="I46" i="31"/>
  <c r="N42" i="31"/>
  <c r="I44" i="31"/>
  <c r="I37" i="31"/>
  <c r="N39" i="31"/>
  <c r="N43" i="31"/>
  <c r="N40" i="31"/>
  <c r="I41" i="31"/>
  <c r="N41" i="31"/>
  <c r="I36" i="31"/>
  <c r="N38" i="31"/>
  <c r="I34" i="31"/>
  <c r="N31" i="31"/>
  <c r="N35" i="31"/>
  <c r="I32" i="31"/>
  <c r="N33" i="31"/>
  <c r="I30" i="31"/>
  <c r="I27" i="31"/>
  <c r="I29" i="31"/>
  <c r="N28" i="31"/>
  <c r="N26" i="31"/>
  <c r="N24" i="31"/>
  <c r="I25" i="31"/>
  <c r="N23" i="31"/>
  <c r="I22" i="31"/>
  <c r="I21" i="31"/>
  <c r="N18" i="31"/>
  <c r="N20" i="31"/>
  <c r="N16" i="31"/>
  <c r="N19" i="31"/>
  <c r="I17" i="31"/>
  <c r="N14" i="31"/>
  <c r="I8" i="31"/>
  <c r="I15" i="31"/>
  <c r="N15" i="31"/>
  <c r="I10" i="31"/>
  <c r="I11" i="31"/>
  <c r="I13" i="31"/>
  <c r="I12" i="31"/>
  <c r="I9" i="31"/>
  <c r="N6" i="31"/>
  <c r="N7" i="31"/>
  <c r="N5" i="31"/>
  <c r="I4" i="31"/>
  <c r="N4" i="31"/>
  <c r="N3" i="31"/>
  <c r="L6" i="2"/>
  <c r="I2" i="2" l="1"/>
  <c r="I7" i="2"/>
  <c r="J7" i="2" s="1"/>
  <c r="L7" i="2" s="1"/>
  <c r="I5" i="2"/>
  <c r="H9" i="2" l="1"/>
  <c r="J2" i="2"/>
  <c r="L2" i="2" s="1"/>
  <c r="J5" i="2" l="1"/>
  <c r="I9" i="2"/>
  <c r="L5" i="2" l="1"/>
  <c r="L9" i="2" s="1"/>
  <c r="J9" i="2"/>
  <c r="H14" i="2" l="1"/>
  <c r="H13" i="2"/>
</calcChain>
</file>

<file path=xl/sharedStrings.xml><?xml version="1.0" encoding="utf-8"?>
<sst xmlns="http://schemas.openxmlformats.org/spreadsheetml/2006/main" count="320" uniqueCount="75">
  <si>
    <t>Hospitalist Group</t>
  </si>
  <si>
    <t>Date</t>
  </si>
  <si>
    <t>SysID</t>
  </si>
  <si>
    <t>Provider Name (Last)</t>
  </si>
  <si>
    <t>Role</t>
  </si>
  <si>
    <t>Shift</t>
  </si>
  <si>
    <t>Shift Hours</t>
  </si>
  <si>
    <t>Pay Rate</t>
  </si>
  <si>
    <t>Pay Amount</t>
  </si>
  <si>
    <t>Notes</t>
  </si>
  <si>
    <t>FPP Payroll</t>
  </si>
  <si>
    <t>Paid Out Date</t>
  </si>
  <si>
    <t>Payroll Type</t>
  </si>
  <si>
    <t>Flag</t>
  </si>
  <si>
    <t>Payout</t>
  </si>
  <si>
    <t>Moonlighting</t>
  </si>
  <si>
    <t>Amount Paid</t>
  </si>
  <si>
    <t>Actuals</t>
  </si>
  <si>
    <t>Fringe</t>
  </si>
  <si>
    <t>Total Actuals</t>
  </si>
  <si>
    <t>AY20 Budget</t>
  </si>
  <si>
    <t>GAP</t>
  </si>
  <si>
    <t>Differential Pay</t>
  </si>
  <si>
    <t>Jeopardy</t>
  </si>
  <si>
    <t>FPF Jeopardy</t>
  </si>
  <si>
    <t>Obs Swing</t>
  </si>
  <si>
    <t>FPF Obs Swing</t>
  </si>
  <si>
    <t>Total</t>
  </si>
  <si>
    <t>Base Pay (MD)</t>
  </si>
  <si>
    <t>Pro-Pay (MD)</t>
  </si>
  <si>
    <t>Base Pay (NP)</t>
  </si>
  <si>
    <t>Pro-Pay (NP)</t>
  </si>
  <si>
    <t>Jeopardy (MD)</t>
  </si>
  <si>
    <t>Jeopardy (NP)</t>
  </si>
  <si>
    <t>Month: July</t>
  </si>
  <si>
    <t>Rate Check</t>
  </si>
  <si>
    <t>Types of Shift</t>
  </si>
  <si>
    <t>OBS Swing</t>
  </si>
  <si>
    <t>%Spent</t>
  </si>
  <si>
    <t>Differential Payout</t>
  </si>
  <si>
    <t>% with Differential Payout</t>
  </si>
  <si>
    <t>SUMIF(July!E:E,Relay!G7,July!I:I)+SUMIF(Aug!E:E,Relay!G7,Aug!I:I)+SUMIF(Sept!E:E,Relay!G7,Sept!I:I)+SUMIF(Oct!E:E,Relay!G7,Oct!I:I)+SUMIF(Nov!E:E,Relay!G7,Nov!I:I)+SUMIF(Dec!E:E,Relay!G7,Dec!I:I)+SUMIF(Jan!E:E,Relay!G7,Jan!I:I)+SUMIF(Feb!E:E,Relay!G7,Feb!I:I)+SUMIF(March!E:E,Relay!G7,March!I:I)+SUMIF(April!E:E,Relay!G7,April!I:I)+SUMIF(May!E:E,Relay!G7,May!I:I)+SUMIF(June!E:E,Relay!G7,June!I:I)</t>
  </si>
  <si>
    <t>Relay</t>
  </si>
  <si>
    <t>Sheets</t>
  </si>
  <si>
    <t>VLOOKUP(A3,Relay!$A$1:$B$50,2,FALSE)</t>
  </si>
  <si>
    <t>VLOOKUP(A3,Relay!$A$2:$C$51,3,FALSE)</t>
  </si>
  <si>
    <t>IF(E3="Moonlighting", 12, "INS")</t>
  </si>
  <si>
    <t>Jep Check</t>
  </si>
  <si>
    <t>Date Check</t>
  </si>
  <si>
    <t>IF(COUNT([@Date])&gt;0,IF([@Date]&gt;14,"Yes","No"),"N/A")</t>
  </si>
  <si>
    <t>Month: August</t>
  </si>
  <si>
    <t>Month: September</t>
  </si>
  <si>
    <t>Month: October</t>
  </si>
  <si>
    <t>Month: November</t>
  </si>
  <si>
    <t>Month: December</t>
  </si>
  <si>
    <t>Month: January</t>
  </si>
  <si>
    <t>Month: February</t>
  </si>
  <si>
    <t>Month: March</t>
  </si>
  <si>
    <t>Month: April</t>
  </si>
  <si>
    <t>Month: May</t>
  </si>
  <si>
    <t>Month: June</t>
  </si>
  <si>
    <t>APP Moonlighting</t>
  </si>
  <si>
    <t>APP Moonlighting (MD)</t>
  </si>
  <si>
    <t>APP Moonlighting (NP)</t>
  </si>
  <si>
    <t>IF(OR(E3="Jeopardy",E3="APP Moonlighting",E3="Differential Pay"),"",[@SysID])</t>
  </si>
  <si>
    <t>Moonlighting Actuals</t>
  </si>
  <si>
    <t>SUMIF(July!E:E,Relay!G2,July!I:I)+SUMIF(Aug!E:E,Relay!G2,Aug!I:I)+SUMIF(Sept!E:E,Relay!G2,Sept!I:I)+SUMIF(Oct!E:E,Relay!G2,Oct!I:I)+SUMIF(Nov!E:E,Relay!G2,Nov!I:I)+SUMIF(Dec!E:E,Relay!G2,Dec!I:I)+SUMIF(Jan!E:E,Relay!G2,Jan!I:I)+SUMIF(Feb!E:E,Relay!G2,Feb!I:I)+SUMIF(March!E:E,Relay!G2,March!I:I)+SUMIF(April!E:E,Relay!G2,April!I:I)+SUMIF(May!E:E,Relay!G2,May!I:I)+SUMIF(June!E:E,Relay!G2,June!I:I)+SUMIF(July!E:E,Relay!D15,July!I:I)+SUMIF(Aug!E:E,Relay!D15,Aug!I:I)+SUMIF(Sept!E:E,Relay!D15,Sept!I:I)+SUMIF(Oct!E:E,Relay!D15,Oct!I:I)+SUMIF(Nov!E:E,Relay!D15,Nov!I:I)+SUMIF(Dec!E:E,Relay!D15,Dec!I:I)+SUMIF(Jan!E:E,Relay!D15,Jan!I:I)+SUMIF(Feb!E:E,Relay!D15,Feb!I:I)+SUMIF(March!E:E,Relay!D15,March!I:I)+SUMIF(April!E:E,Relay!D15,April!I:I)+SUMIF(May!E:E,Relay!D15,May!I:I)+SUMIF(June!E:E,Relay!D15,June!I:I)</t>
  </si>
  <si>
    <t>Payout M15-J30</t>
  </si>
  <si>
    <t>Payout 1-14</t>
  </si>
  <si>
    <t>Provider Name</t>
  </si>
  <si>
    <t>After the 14th?</t>
  </si>
  <si>
    <t>Payout 15-14</t>
  </si>
  <si>
    <t>IF(Aug[After the 14th?]="No",SUMIF(Aug[SysID],R3,Aug[Pay Amount]),0)+IF(July[After the 14th?]="Yes",SUMIF(July[SysID],R3,July[Pay Amount]),0)</t>
  </si>
  <si>
    <t>Payment Amount</t>
  </si>
  <si>
    <t>IF(E4="Jeopardy",IF(C4="MD",Relay!$E$7,Relay!$E$8),IF(C4="MD",IF(COUNTIF(G:G,B4)&gt;1,Relay!$E$2,Relay!$E$1),IF(AND(COUNTIF(G:G,B4)&gt;1,COUNTA(A4)&gt;0),Relay!$E$5,Relay!$E$4)))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</si>
</sst>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4" fillId="0" borderId="0" xfId="0" applyFont="1"/>
    <xf numFmtId="0" fontId="5" fillId="0" borderId="0" xfId="0" applyFont="1"/>
    <xf numFmtId="44" fontId="0" fillId="4" borderId="0" xfId="2" applyFont="1" applyFill="1"/>
    <xf numFmtId="44" fontId="4" fillId="0" borderId="0" xfId="2" applyFont="1"/>
    <xf numFmtId="44" fontId="5" fillId="0" borderId="0" xfId="2" applyFont="1"/>
    <xf numFmtId="44" fontId="0" fillId="0" borderId="0" xfId="2" applyFont="1"/>
    <xf numFmtId="0" fontId="6" fillId="0" borderId="0" xfId="0" applyFont="1"/>
    <xf numFmtId="0" fontId="7" fillId="0" borderId="0" xfId="0" applyFont="1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3" fillId="3" borderId="0" xfId="0" applyFont="1" applyFill="1" applyBorder="1"/>
    <xf numFmtId="0" fontId="0" fillId="5" borderId="4" xfId="0" applyFill="1" applyBorder="1"/>
    <xf numFmtId="44" fontId="0" fillId="5" borderId="0" xfId="2" applyFont="1" applyFill="1" applyBorder="1"/>
    <xf numFmtId="44" fontId="0" fillId="5" borderId="9" xfId="2" applyFont="1" applyFill="1" applyBorder="1"/>
    <xf numFmtId="44" fontId="0" fillId="5" borderId="11" xfId="2" applyFont="1" applyFill="1" applyBorder="1"/>
    <xf numFmtId="44" fontId="0" fillId="5" borderId="12" xfId="2" applyFont="1" applyFill="1" applyBorder="1"/>
    <xf numFmtId="0" fontId="8" fillId="5" borderId="5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44" fontId="0" fillId="5" borderId="12" xfId="0" applyNumberFormat="1" applyFill="1" applyBorder="1"/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44" fontId="0" fillId="7" borderId="0" xfId="2" applyFont="1" applyFill="1" applyBorder="1"/>
    <xf numFmtId="44" fontId="0" fillId="7" borderId="9" xfId="2" applyFont="1" applyFill="1" applyBorder="1"/>
    <xf numFmtId="49" fontId="0" fillId="0" borderId="0" xfId="0" applyNumberFormat="1"/>
    <xf numFmtId="0" fontId="3" fillId="0" borderId="0" xfId="0" applyFont="1"/>
    <xf numFmtId="0" fontId="5" fillId="0" borderId="0" xfId="0" applyNumberFormat="1" applyFont="1"/>
    <xf numFmtId="0" fontId="3" fillId="4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0" fillId="4" borderId="0" xfId="1" applyNumberFormat="1" applyFont="1" applyFill="1" applyProtection="1">
      <protection locked="0"/>
    </xf>
    <xf numFmtId="0" fontId="4" fillId="0" borderId="0" xfId="1" applyNumberFormat="1" applyFont="1" applyProtection="1">
      <protection locked="0"/>
    </xf>
    <xf numFmtId="0" fontId="5" fillId="0" borderId="0" xfId="1" applyNumberFormat="1" applyFont="1" applyProtection="1">
      <protection locked="0"/>
    </xf>
    <xf numFmtId="0" fontId="0" fillId="0" borderId="0" xfId="1" applyNumberFormat="1" applyFont="1" applyProtection="1">
      <protection locked="0"/>
    </xf>
    <xf numFmtId="0" fontId="0" fillId="4" borderId="0" xfId="0" applyFill="1" applyProtection="1">
      <protection locked="0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44" fontId="2" fillId="2" borderId="1" xfId="3" applyNumberFormat="1" applyProtection="1">
      <protection locked="0"/>
    </xf>
    <xf numFmtId="44" fontId="2" fillId="2" borderId="3" xfId="3" applyNumberFormat="1" applyBorder="1" applyProtection="1">
      <protection locked="0"/>
    </xf>
    <xf numFmtId="0" fontId="2" fillId="2" borderId="1" xfId="3" applyProtection="1">
      <protection locked="0"/>
    </xf>
    <xf numFmtId="44" fontId="2" fillId="2" borderId="1" xfId="2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0" fontId="5" fillId="0" borderId="1" xfId="3" applyFont="1" applyFill="1" applyProtection="1">
      <protection locked="0"/>
    </xf>
    <xf numFmtId="0" fontId="5" fillId="0" borderId="3" xfId="3" applyFon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1" xfId="3" applyFill="1" applyProtection="1">
      <protection locked="0"/>
    </xf>
    <xf numFmtId="0" fontId="5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9" fillId="0" borderId="0" xfId="0" applyFont="1" applyProtection="1">
      <protection locked="0"/>
    </xf>
    <xf numFmtId="0" fontId="0" fillId="0" borderId="0" xfId="0" applyNumberFormat="1"/>
    <xf numFmtId="0" fontId="0" fillId="0" borderId="0" xfId="0" applyFont="1"/>
    <xf numFmtId="0" fontId="5" fillId="0" borderId="0" xfId="0" applyNumberFormat="1" applyFont="1" applyProtection="1">
      <protection locked="0"/>
    </xf>
    <xf numFmtId="44" fontId="2" fillId="2" borderId="15" xfId="3" applyNumberFormat="1" applyBorder="1" applyProtection="1">
      <protection locked="0"/>
    </xf>
    <xf numFmtId="0" fontId="3" fillId="5" borderId="13" xfId="0" applyFont="1" applyFill="1" applyBorder="1"/>
    <xf numFmtId="44" fontId="0" fillId="5" borderId="16" xfId="2" applyFont="1" applyFill="1" applyBorder="1"/>
    <xf numFmtId="44" fontId="0" fillId="5" borderId="16" xfId="0" applyNumberFormat="1" applyFill="1" applyBorder="1"/>
    <xf numFmtId="44" fontId="0" fillId="5" borderId="14" xfId="0" applyNumberFormat="1" applyFill="1" applyBorder="1"/>
    <xf numFmtId="0" fontId="0" fillId="8" borderId="0" xfId="0" applyFill="1"/>
    <xf numFmtId="0" fontId="3" fillId="8" borderId="0" xfId="0" applyFont="1" applyFill="1"/>
    <xf numFmtId="44" fontId="2" fillId="2" borderId="1" xfId="3" applyNumberFormat="1"/>
    <xf numFmtId="0" fontId="3" fillId="0" borderId="0" xfId="0" applyFont="1" applyFill="1"/>
    <xf numFmtId="10" fontId="0" fillId="0" borderId="14" xfId="4" applyNumberFormat="1" applyFont="1" applyBorder="1"/>
    <xf numFmtId="0" fontId="4" fillId="3" borderId="0" xfId="3" applyFont="1" applyFill="1" applyBorder="1" applyProtection="1">
      <protection locked="0"/>
    </xf>
    <xf numFmtId="44" fontId="2" fillId="2" borderId="1" xfId="2" applyFont="1" applyFill="1" applyBorder="1"/>
    <xf numFmtId="0" fontId="5" fillId="4" borderId="0" xfId="0" applyFont="1" applyFill="1"/>
  </cellXfs>
  <cellStyles count="5">
    <cellStyle name="Comma" xfId="1" builtinId="3"/>
    <cellStyle name="Currency" xfId="2" builtinId="4"/>
    <cellStyle name="Input" xfId="3" builtinId="20"/>
    <cellStyle name="Normal" xfId="0" builtinId="0"/>
    <cellStyle name="Percent" xfId="4" builtinId="5"/>
  </cellStyles>
  <dxfs count="484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able2" displayName="Table2" ref="A1:C101" totalsRowShown="0" headerRowDxfId="483" dataDxfId="482">
  <autoFilter ref="A1:C101"/>
  <tableColumns count="3">
    <tableColumn id="1" name="Hospitalist Group" dataDxfId="481" dataCellStyle="Input"/>
    <tableColumn id="2" name="SysID" dataDxfId="480"/>
    <tableColumn id="3" name="Role" dataDxfId="47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0" name="Nov" displayName="Nov" ref="A2:O103" totalsRowShown="0" headerRowDxfId="313" dataDxfId="312">
  <autoFilter ref="A2:O103"/>
  <tableColumns count="15">
    <tableColumn id="1" name="Provider Name (Last)" dataDxfId="311" totalsRowDxfId="310"/>
    <tableColumn id="2" name="SysID" dataDxfId="309" totalsRowDxfId="308">
      <calculatedColumnFormula>VLOOKUP(A3,Relay!$A$1:$B$50,2,FALSE)</calculatedColumnFormula>
    </tableColumn>
    <tableColumn id="3" name="Role" dataDxfId="307" totalsRowDxfId="306">
      <calculatedColumnFormula>VLOOKUP(A3,Relay!$A$2:$C$101,3,FALSE)</calculatedColumnFormula>
    </tableColumn>
    <tableColumn id="4" name="Date" dataDxfId="305" totalsRowDxfId="304" dataCellStyle="Comma"/>
    <tableColumn id="5" name="Shift" dataDxfId="303" totalsRowDxfId="302"/>
    <tableColumn id="6" name="Shift Hours" dataDxfId="301" totalsRowDxfId="300">
      <calculatedColumnFormula>IF(E3="Moonlighting", 12, "INS")</calculatedColumnFormula>
    </tableColumn>
    <tableColumn id="15" name="Rate Check" dataDxfId="299" totalsRowDxfId="298">
      <calculatedColumnFormula>IF(OR(E3="Jeopardy",E3="APP Moonlighting",E3="Differential Pay"),"",Nov[[#This Row],[SysID]])</calculatedColumnFormula>
    </tableColumn>
    <tableColumn id="7" name="Pay Rate" dataDxfId="297" totalsRowDxfId="296">
      <calculatedColumnFormula>IF(E3="Jeopardy",IF(C3="MD",Relay!$E$7,Relay!$E$8),IF(C3="MD",IF(COUNTIF(G:G,B3)&gt;1,Relay!$E$2,Relay!$E$1),IF(AND(COUNTIF(G:G,B3)&gt;1,COUNTA(A3)&gt;0),Relay!$E$5,Relay!$E$4)))</calculatedColumnFormula>
    </tableColumn>
    <tableColumn id="8" name="Pay Amount" dataDxfId="295" totalsRowDxfId="294" dataCellStyle="Currency">
      <calculatedColumnFormula>IF(COUNTA(A3)&gt;0,H3*F3,0)</calculatedColumnFormula>
    </tableColumn>
    <tableColumn id="9" name="Notes" dataDxfId="293" totalsRowDxfId="292"/>
    <tableColumn id="10" name="FPP Payroll" dataDxfId="291" totalsRowDxfId="290"/>
    <tableColumn id="11" name="Paid Out Date" dataDxfId="289" totalsRowDxfId="288"/>
    <tableColumn id="12" name="Payroll Type" dataDxfId="287" totalsRowDxfId="286"/>
    <tableColumn id="13" name="Flag" dataDxfId="285" totalsRowDxfId="284">
      <calculatedColumnFormula>IF(H3=Nov!$E$2,"N",IF(AND(COUNTIF(B:B,B3)=1,D3&gt;14),"Y","N"))</calculatedColumnFormula>
    </tableColumn>
    <tableColumn id="14" name="After the 14th?" dataDxfId="283" totalsRowDxfId="282">
      <calculatedColumnFormula>IF(COUNT(Nov[[#This Row],[Date]])&gt;0,IF(Nov[[#This Row],[Date]]&gt;14,"Yes","No"),"N/A")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21" name="Table422" displayName="Table422" ref="Q2:U103" totalsRowShown="0">
  <autoFilter ref="Q2:U103"/>
  <tableColumns count="5">
    <tableColumn id="1" name="Provider Name">
      <calculatedColumnFormula>Relay!A2</calculatedColumnFormula>
    </tableColumn>
    <tableColumn id="2" name="SysID">
      <calculatedColumnFormula>Relay!B2</calculatedColumnFormula>
    </tableColumn>
    <tableColumn id="3" name="Payout 15-14" dataDxfId="281" dataCellStyle="Currency">
      <calculatedColumnFormula>IF(Nov[After the 14th?]="No",SUMIF(Nov[SysID],R3,Nov[Pay Amount]),0)+IF(Oct[After the 14th?]="Yes",SUMIF(Oct[SysID],R3,Oct[Pay Amount]),0)</calculatedColumnFormula>
    </tableColumn>
    <tableColumn id="4" name="Amount Paid" dataCellStyle="Currency"/>
    <tableColumn id="5" name="Flag" dataDxfId="280">
      <calculatedColumnFormula>IF(S3=T3,"N","Y")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8" name="Dec" displayName="Dec" ref="A2:O103" totalsRowShown="0" headerRowDxfId="273" dataDxfId="272">
  <autoFilter ref="A2:O103"/>
  <tableColumns count="15">
    <tableColumn id="1" name="Provider Name (Last)" dataDxfId="271" totalsRowDxfId="270"/>
    <tableColumn id="2" name="SysID" dataDxfId="269" totalsRowDxfId="268">
      <calculatedColumnFormula>VLOOKUP(A3,Relay!$A$1:$B$50,2,FALSE)</calculatedColumnFormula>
    </tableColumn>
    <tableColumn id="3" name="Role" dataDxfId="267" totalsRowDxfId="266">
      <calculatedColumnFormula>VLOOKUP(A3,Relay!$A$2:$C$101,3,FALSE)</calculatedColumnFormula>
    </tableColumn>
    <tableColumn id="4" name="Date" dataDxfId="265" totalsRowDxfId="264" dataCellStyle="Comma"/>
    <tableColumn id="5" name="Shift" dataDxfId="263" totalsRowDxfId="262"/>
    <tableColumn id="6" name="Shift Hours" dataDxfId="261" totalsRowDxfId="260">
      <calculatedColumnFormula>IF(E3="Moonlighting", 12, "INS")</calculatedColumnFormula>
    </tableColumn>
    <tableColumn id="15" name="Rate Check" dataDxfId="259" totalsRowDxfId="258">
      <calculatedColumnFormula>IF(OR(E3="Jeopardy",E3="APP Moonlighting",E3="Differential Pay"),"",Dec[[#This Row],[SysID]])</calculatedColumnFormula>
    </tableColumn>
    <tableColumn id="7" name="Pay Rate" dataDxfId="257" totalsRowDxfId="256">
      <calculatedColumnFormula>IF(E3="Jeopardy",IF(C3="MD",Relay!$E$7,Relay!$E$8),IF(C3="MD",IF(COUNTIF(G:G,B3)&gt;1,Relay!$E$2,Relay!$E$1),IF(AND(COUNTIF(G:G,B3)&gt;1,COUNTA(A3)&gt;0),Relay!$E$5,Relay!$E$4)))</calculatedColumnFormula>
    </tableColumn>
    <tableColumn id="8" name="Pay Amount" dataDxfId="255" totalsRowDxfId="254" dataCellStyle="Currency">
      <calculatedColumnFormula>IF(COUNTA(A3)&gt;0,H3*F3,0)</calculatedColumnFormula>
    </tableColumn>
    <tableColumn id="9" name="Notes" dataDxfId="253" totalsRowDxfId="252"/>
    <tableColumn id="10" name="FPP Payroll" dataDxfId="251" totalsRowDxfId="250"/>
    <tableColumn id="11" name="Paid Out Date" dataDxfId="249" totalsRowDxfId="248"/>
    <tableColumn id="12" name="Payroll Type" dataDxfId="247" totalsRowDxfId="246"/>
    <tableColumn id="13" name="Flag" dataDxfId="245" totalsRowDxfId="244">
      <calculatedColumnFormula>IF(H3=Dec!$E$2,"N",IF(AND(COUNTIF(B:B,B3)=1,D3&gt;14),"Y","N"))</calculatedColumnFormula>
    </tableColumn>
    <tableColumn id="14" name="After the 14th?" dataDxfId="243" totalsRowDxfId="242">
      <calculatedColumnFormula>IF(COUNT(Dec[[#This Row],[Date]])&gt;0,IF(Dec[[#This Row],[Date]]&gt;14,"Yes","No"),"N/A")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9" name="Table420" displayName="Table420" ref="Q2:U103" totalsRowShown="0">
  <autoFilter ref="Q2:U103"/>
  <tableColumns count="5">
    <tableColumn id="1" name="Provider Name">
      <calculatedColumnFormula>Relay!A2</calculatedColumnFormula>
    </tableColumn>
    <tableColumn id="2" name="SysID">
      <calculatedColumnFormula>Relay!B2</calculatedColumnFormula>
    </tableColumn>
    <tableColumn id="3" name="Payout 15-14" dataDxfId="241" dataCellStyle="Currency">
      <calculatedColumnFormula>IF(Dec[After the 14th?]="No",SUMIF(Dec[SysID],R3,Dec[Pay Amount]),0)+IF(Nov[After the 14th?]="Yes",SUMIF(Nov[SysID],R3,Nov[Pay Amount]),0)</calculatedColumnFormula>
    </tableColumn>
    <tableColumn id="4" name="Amount Paid" dataCellStyle="Currency"/>
    <tableColumn id="5" name="Flag" dataDxfId="240">
      <calculatedColumnFormula>IF(S3=T3,"N","Y")</calculatedColumnFormula>
    </tableColumn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16" name="Jan" displayName="Jan" ref="A2:O103" totalsRowShown="0" headerRowDxfId="233" dataDxfId="232">
  <autoFilter ref="A2:O103"/>
  <tableColumns count="15">
    <tableColumn id="1" name="Provider Name (Last)" dataDxfId="231" totalsRowDxfId="230"/>
    <tableColumn id="2" name="SysID" dataDxfId="229" totalsRowDxfId="228">
      <calculatedColumnFormula>VLOOKUP(A3,Relay!$A$1:$B$50,2,FALSE)</calculatedColumnFormula>
    </tableColumn>
    <tableColumn id="3" name="Role" dataDxfId="227" totalsRowDxfId="226">
      <calculatedColumnFormula>VLOOKUP(A3,Relay!$A$2:$C$101,3,FALSE)</calculatedColumnFormula>
    </tableColumn>
    <tableColumn id="4" name="Date" dataDxfId="225" totalsRowDxfId="224" dataCellStyle="Comma"/>
    <tableColumn id="5" name="Shift" dataDxfId="223" totalsRowDxfId="222"/>
    <tableColumn id="6" name="Shift Hours" dataDxfId="221" totalsRowDxfId="220">
      <calculatedColumnFormula>IF(E3="Moonlighting", 12, "INS")</calculatedColumnFormula>
    </tableColumn>
    <tableColumn id="15" name="Rate Check" dataDxfId="219" totalsRowDxfId="218">
      <calculatedColumnFormula>IF(OR(E3="Jeopardy",E3="APP Moonlighting",E3="Differential Pay"),"",Jan[[#This Row],[SysID]])</calculatedColumnFormula>
    </tableColumn>
    <tableColumn id="7" name="Pay Rate" dataDxfId="217" totalsRowDxfId="216">
      <calculatedColumnFormula>IF(E3="Jeopardy",IF(C3="MD",Relay!$E$7,Relay!$E$8),IF(C3="MD",IF(COUNTIF(G:G,B3)&gt;1,Relay!$E$2,Relay!$E$1),IF(AND(COUNTIF(G:G,B3)&gt;1,COUNTA(A3)&gt;0),Relay!$E$5,Relay!$E$4)))</calculatedColumnFormula>
    </tableColumn>
    <tableColumn id="8" name="Pay Amount" dataDxfId="215" totalsRowDxfId="214" dataCellStyle="Currency">
      <calculatedColumnFormula>IF(COUNTA(A3)&gt;0,H3*F3,0)</calculatedColumnFormula>
    </tableColumn>
    <tableColumn id="9" name="Notes" dataDxfId="213" totalsRowDxfId="212"/>
    <tableColumn id="10" name="FPP Payroll" dataDxfId="211" totalsRowDxfId="210"/>
    <tableColumn id="11" name="Paid Out Date" dataDxfId="209" totalsRowDxfId="208"/>
    <tableColumn id="12" name="Payroll Type" dataDxfId="207" totalsRowDxfId="206"/>
    <tableColumn id="13" name="Flag" dataDxfId="205" totalsRowDxfId="204">
      <calculatedColumnFormula>IF(H3=Jan!$E$2,"N",IF(AND(COUNTIF(B:B,B3)=1,D3&gt;14),"Y","N"))</calculatedColumnFormula>
    </tableColumn>
    <tableColumn id="14" name="After the 14th?" dataDxfId="203" totalsRowDxfId="202">
      <calculatedColumnFormula>IF(COUNT(Jan[[#This Row],[Date]])&gt;0,IF(Jan[[#This Row],[Date]]&gt;14,"Yes","No"),"N/A")</calculatedColumnFormula>
    </tableColumn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id="17" name="Table418" displayName="Table418" ref="Q2:U103" totalsRowShown="0">
  <autoFilter ref="Q2:U103"/>
  <tableColumns count="5">
    <tableColumn id="1" name="Provider Name">
      <calculatedColumnFormula>Relay!A2</calculatedColumnFormula>
    </tableColumn>
    <tableColumn id="2" name="SysID">
      <calculatedColumnFormula>Relay!B2</calculatedColumnFormula>
    </tableColumn>
    <tableColumn id="3" name="Payout 15-14" dataDxfId="201" dataCellStyle="Currency">
      <calculatedColumnFormula>IF(Jan[After the 14th?]="No",SUMIF(Jan[SysID],R3,Jan[Pay Amount]),0)+IF(Dec[After the 14th?]="Yes",SUMIF(Dec[SysID],R3,Dec[Pay Amount]),0)</calculatedColumnFormula>
    </tableColumn>
    <tableColumn id="4" name="Amount Paid" dataCellStyle="Currency"/>
    <tableColumn id="5" name="Flag" dataDxfId="200">
      <calculatedColumnFormula>IF(S3=T3,"N","Y")</calculatedColumnFormula>
    </tableColumn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id="14" name="Feb" displayName="Feb" ref="A2:O103" totalsRowShown="0" headerRowDxfId="193" dataDxfId="192">
  <autoFilter ref="A2:O103"/>
  <tableColumns count="15">
    <tableColumn id="1" name="Provider Name (Last)" dataDxfId="191" totalsRowDxfId="190"/>
    <tableColumn id="2" name="SysID" dataDxfId="189" totalsRowDxfId="188">
      <calculatedColumnFormula>VLOOKUP(A3,Relay!$A$1:$B$50,2,FALSE)</calculatedColumnFormula>
    </tableColumn>
    <tableColumn id="3" name="Role" dataDxfId="187" totalsRowDxfId="186">
      <calculatedColumnFormula>VLOOKUP(A3,Relay!$A$2:$C$101,3,FALSE)</calculatedColumnFormula>
    </tableColumn>
    <tableColumn id="4" name="Date" dataDxfId="185" totalsRowDxfId="184" dataCellStyle="Comma"/>
    <tableColumn id="5" name="Shift" dataDxfId="183" totalsRowDxfId="182"/>
    <tableColumn id="6" name="Shift Hours" dataDxfId="181" totalsRowDxfId="180">
      <calculatedColumnFormula>IF(E3="Moonlighting", 12, "INS")</calculatedColumnFormula>
    </tableColumn>
    <tableColumn id="15" name="Rate Check" dataDxfId="179" totalsRowDxfId="178">
      <calculatedColumnFormula>IF(OR(E3="Jeopardy",E3="APP Moonlighting",E3="Differential Pay"),"",Feb[[#This Row],[SysID]])</calculatedColumnFormula>
    </tableColumn>
    <tableColumn id="7" name="Pay Rate" dataDxfId="177" totalsRowDxfId="176">
      <calculatedColumnFormula>IF(E3="Jeopardy",IF(C3="MD",Relay!$E$7,Relay!$E$8),IF(C3="MD",IF(COUNTIF(G:G,B3)&gt;1,Relay!$E$2,Relay!$E$1),IF(AND(COUNTIF(G:G,B3)&gt;1,COUNTA(A3)&gt;0),Relay!$E$5,Relay!$E$4)))</calculatedColumnFormula>
    </tableColumn>
    <tableColumn id="8" name="Pay Amount" dataDxfId="175" totalsRowDxfId="174" dataCellStyle="Currency">
      <calculatedColumnFormula>IF(COUNTA(A3)&gt;0,H3*F3,0)</calculatedColumnFormula>
    </tableColumn>
    <tableColumn id="9" name="Notes" dataDxfId="173" totalsRowDxfId="172"/>
    <tableColumn id="10" name="FPP Payroll" dataDxfId="171" totalsRowDxfId="170"/>
    <tableColumn id="11" name="Paid Out Date" dataDxfId="169" totalsRowDxfId="168"/>
    <tableColumn id="12" name="Payroll Type" dataDxfId="167" totalsRowDxfId="166"/>
    <tableColumn id="13" name="Flag" dataDxfId="165" totalsRowDxfId="164">
      <calculatedColumnFormula>IF(H3=Feb!$E$2,"N",IF(AND(COUNTIF(B:B,B3)=1,D3&gt;14),"Y","N"))</calculatedColumnFormula>
    </tableColumn>
    <tableColumn id="14" name="After the 14th?" dataDxfId="163" totalsRowDxfId="162">
      <calculatedColumnFormula>IF(COUNT(Feb[[#This Row],[Date]])&gt;0,IF(Feb[[#This Row],[Date]]&gt;14,"Yes","No"),"N/A")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id="15" name="Table416" displayName="Table416" ref="Q2:U103" totalsRowShown="0">
  <autoFilter ref="Q2:U103"/>
  <tableColumns count="5">
    <tableColumn id="1" name="Provider Name">
      <calculatedColumnFormula>Relay!A2</calculatedColumnFormula>
    </tableColumn>
    <tableColumn id="2" name="SysID">
      <calculatedColumnFormula>Relay!B2</calculatedColumnFormula>
    </tableColumn>
    <tableColumn id="3" name="Payout 15-14" dataDxfId="161" dataCellStyle="Currency">
      <calculatedColumnFormula>IF(Feb[After the 14th?]="No",SUMIF(Feb[SysID],R3,Feb[Pay Amount]),0)+IF(Jan[After the 14th?]="Yes",SUMIF(Jan[SysID],R3,Jan[Pay Amount]),0)</calculatedColumnFormula>
    </tableColumn>
    <tableColumn id="4" name="Amount Paid" dataCellStyle="Currency"/>
    <tableColumn id="5" name="Flag" dataDxfId="160">
      <calculatedColumnFormula>IF(S3=T3,"N","Y")</calculatedColumnFormula>
    </tableColumn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id="12" name="March" displayName="March" ref="A2:O103" totalsRowShown="0" headerRowDxfId="153" dataDxfId="152">
  <autoFilter ref="A2:O103"/>
  <tableColumns count="15">
    <tableColumn id="1" name="Provider Name (Last)" dataDxfId="151" totalsRowDxfId="150"/>
    <tableColumn id="2" name="SysID" dataDxfId="149" totalsRowDxfId="148">
      <calculatedColumnFormula>VLOOKUP(A3,Relay!$A$1:$B$50,2,FALSE)</calculatedColumnFormula>
    </tableColumn>
    <tableColumn id="3" name="Role" dataDxfId="147" totalsRowDxfId="146">
      <calculatedColumnFormula>VLOOKUP(A3,Relay!$A$2:$C$101,3,FALSE)</calculatedColumnFormula>
    </tableColumn>
    <tableColumn id="4" name="Date" dataDxfId="145" totalsRowDxfId="144" dataCellStyle="Comma"/>
    <tableColumn id="5" name="Shift" dataDxfId="143" totalsRowDxfId="142"/>
    <tableColumn id="6" name="Shift Hours" dataDxfId="141" totalsRowDxfId="140">
      <calculatedColumnFormula>IF(E3="Moonlighting", 12, "INS")</calculatedColumnFormula>
    </tableColumn>
    <tableColumn id="15" name="Rate Check" dataDxfId="139" totalsRowDxfId="138">
      <calculatedColumnFormula>IF(OR(E3="Jeopardy",E3="APP Moonlighting",E3="Differential Pay"),"",March[[#This Row],[SysID]])</calculatedColumnFormula>
    </tableColumn>
    <tableColumn id="7" name="Pay Rate" dataDxfId="137" totalsRowDxfId="136">
      <calculatedColumnFormula>IF(E3="Jeopardy",IF(C3="MD",Relay!$E$7,Relay!$E$8),IF(C3="MD",IF(COUNTIF(G:G,B3)&gt;1,Relay!$E$2,Relay!$E$1),IF(AND(COUNTIF(G:G,B3)&gt;1,COUNTA(A3)&gt;0),Relay!$E$5,Relay!$E$4)))</calculatedColumnFormula>
    </tableColumn>
    <tableColumn id="8" name="Pay Amount" dataDxfId="135" totalsRowDxfId="134" dataCellStyle="Currency">
      <calculatedColumnFormula>IF(COUNTA(A3)&gt;0,H3*F3,0)</calculatedColumnFormula>
    </tableColumn>
    <tableColumn id="9" name="Notes" dataDxfId="133" totalsRowDxfId="132"/>
    <tableColumn id="10" name="FPP Payroll" dataDxfId="131" totalsRowDxfId="130"/>
    <tableColumn id="11" name="Paid Out Date" dataDxfId="129" totalsRowDxfId="128"/>
    <tableColumn id="12" name="Payroll Type" dataDxfId="127" totalsRowDxfId="126"/>
    <tableColumn id="13" name="Flag" dataDxfId="125" totalsRowDxfId="124">
      <calculatedColumnFormula>IF(H3=March!$E$2,"N",IF(AND(COUNTIF(B:B,B3)=1,D3&gt;14),"Y","N"))</calculatedColumnFormula>
    </tableColumn>
    <tableColumn id="14" name="After the 14th?" dataDxfId="123" totalsRowDxfId="122">
      <calculatedColumnFormula>IF(COUNT(March[[#This Row],[Date]])&gt;0,IF(March[[#This Row],[Date]]&gt;14,"Yes","No"),"N/A")</calculatedColumnFormula>
    </tableColumn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id="13" name="Table414" displayName="Table414" ref="Q2:U103" totalsRowShown="0">
  <autoFilter ref="Q2:U103"/>
  <tableColumns count="5">
    <tableColumn id="1" name="Provider Name">
      <calculatedColumnFormula>Relay!A2</calculatedColumnFormula>
    </tableColumn>
    <tableColumn id="2" name="SysID">
      <calculatedColumnFormula>Relay!B2</calculatedColumnFormula>
    </tableColumn>
    <tableColumn id="3" name="Payout 15-14" dataDxfId="121" dataCellStyle="Currency">
      <calculatedColumnFormula>IF(March[After the 14th?]="No",SUMIF(March[SysID],R3,March[Pay Amount]),0)+IF(Feb[After the 14th?]="Yes",SUMIF(Feb[SysID],R3,Feb[Pay Amount]),0)</calculatedColumnFormula>
    </tableColumn>
    <tableColumn id="4" name="Amount Paid" dataCellStyle="Currency"/>
    <tableColumn id="5" name="Flag" dataDxfId="120">
      <calculatedColumnFormula>IF(S3=T3,"N","Y")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July" displayName="July" ref="A2:O103" totalsRowShown="0" headerRowDxfId="472" dataDxfId="471">
  <autoFilter ref="A2:O103"/>
  <tableColumns count="15">
    <tableColumn id="1" name="Provider Name (Last)" dataDxfId="470" totalsRowDxfId="469"/>
    <tableColumn id="2" name="SysID" dataDxfId="468" totalsRowDxfId="467">
      <calculatedColumnFormula>VLOOKUP(A3,Relay!$A$1:$B$50,2,FALSE)</calculatedColumnFormula>
    </tableColumn>
    <tableColumn id="3" name="Role" dataDxfId="466" totalsRowDxfId="465">
      <calculatedColumnFormula>VLOOKUP(A3,Relay!$A$2:$C$101,3,FALSE)</calculatedColumnFormula>
    </tableColumn>
    <tableColumn id="4" name="Date" dataDxfId="464" totalsRowDxfId="463" dataCellStyle="Comma"/>
    <tableColumn id="5" name="Shift" dataDxfId="462" totalsRowDxfId="461"/>
    <tableColumn id="6" name="Shift Hours" dataDxfId="460" totalsRowDxfId="459">
      <calculatedColumnFormula>IF(E3="Moonlighting", 12, "INS")</calculatedColumnFormula>
    </tableColumn>
    <tableColumn id="15" name="Rate Check" dataDxfId="458" totalsRowDxfId="457">
      <calculatedColumnFormula>IF(OR(E3="Jeopardy",E3="APP Moonlighting",E3="Differential Pay"),"",July[[#This Row],[SysID]])</calculatedColumnFormula>
    </tableColumn>
    <tableColumn id="7" name="Pay Rate" dataDxfId="456" totalsRowDxfId="455">
      <calculatedColumnFormula>IF(E3="Jeopardy",IF(C3="MD",Relay!$E$7,Relay!$E$8),IF(C3="MD",IF(COUNTIF(G:G,B3)&gt;1,Relay!$E$2,Relay!$E$1),IF(AND(COUNTIF(G:G,B3)&gt;1,COUNTA(A3)&gt;0),Relay!$E$5,Relay!$E$4)))</calculatedColumnFormula>
    </tableColumn>
    <tableColumn id="8" name="Pay Amount" dataDxfId="454" totalsRowDxfId="453" dataCellStyle="Currency">
      <calculatedColumnFormula>IF(COUNTA(A3)&gt;0,H3*F3,0)</calculatedColumnFormula>
    </tableColumn>
    <tableColumn id="9" name="Notes" dataDxfId="452" totalsRowDxfId="451"/>
    <tableColumn id="10" name="FPP Payroll" dataDxfId="450" totalsRowDxfId="449"/>
    <tableColumn id="11" name="Paid Out Date" dataDxfId="448" totalsRowDxfId="447"/>
    <tableColumn id="12" name="Payroll Type" dataDxfId="446" totalsRowDxfId="445"/>
    <tableColumn id="13" name="Flag" dataDxfId="444" totalsRowDxfId="443">
      <calculatedColumnFormula>IF(H3=July!$E$2,"N",IF(AND(COUNTIF(B:B,B3)=1,D3&gt;14),"Y","N"))</calculatedColumnFormula>
    </tableColumn>
    <tableColumn id="14" name="After the 14th?" dataDxfId="442" totalsRowDxfId="441">
      <calculatedColumnFormula>IF(COUNT(July[[#This Row],[Date]])&gt;0,IF(July[[#This Row],[Date]]&gt;14,"Yes","No"),"N/A")</calculatedColumnFormula>
    </tableColumn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id="10" name="April" displayName="April" ref="A2:O103" totalsRowShown="0" headerRowDxfId="113" dataDxfId="112">
  <autoFilter ref="A2:O103"/>
  <tableColumns count="15">
    <tableColumn id="1" name="Provider Name (Last)" dataDxfId="111" totalsRowDxfId="110"/>
    <tableColumn id="2" name="SysID" dataDxfId="109" totalsRowDxfId="108">
      <calculatedColumnFormula>VLOOKUP(A3,Relay!$A$1:$B$50,2,FALSE)</calculatedColumnFormula>
    </tableColumn>
    <tableColumn id="3" name="Role" dataDxfId="107" totalsRowDxfId="106">
      <calculatedColumnFormula>VLOOKUP(A3,Relay!$A$2:$C$101,3,FALSE)</calculatedColumnFormula>
    </tableColumn>
    <tableColumn id="4" name="Date" dataDxfId="105" totalsRowDxfId="104" dataCellStyle="Comma"/>
    <tableColumn id="5" name="Shift" dataDxfId="103" totalsRowDxfId="102"/>
    <tableColumn id="6" name="Shift Hours" dataDxfId="101" totalsRowDxfId="100">
      <calculatedColumnFormula>IF(E3="Moonlighting", 12, "INS")</calculatedColumnFormula>
    </tableColumn>
    <tableColumn id="15" name="Rate Check" dataDxfId="99" totalsRowDxfId="98">
      <calculatedColumnFormula>IF(OR(E3="Jeopardy",E3="APP Moonlighting",E3="Differential Pay"),"",April[[#This Row],[SysID]])</calculatedColumnFormula>
    </tableColumn>
    <tableColumn id="7" name="Pay Rate" dataDxfId="97" totalsRowDxfId="96">
      <calculatedColumnFormula>IF(E3="Jeopardy",IF(C3="MD",Relay!$E$7,Relay!$E$8),IF(C3="MD",IF(COUNTIF(G:G,B3)&gt;1,Relay!$E$2,Relay!$E$1),IF(AND(COUNTIF(G:G,B3)&gt;1,COUNTA(A3)&gt;0),Relay!$E$5,Relay!$E$4)))</calculatedColumnFormula>
    </tableColumn>
    <tableColumn id="8" name="Pay Amount" dataDxfId="95" totalsRowDxfId="94" dataCellStyle="Currency">
      <calculatedColumnFormula>IF(COUNTA(A3)&gt;0,H3*F3,0)</calculatedColumnFormula>
    </tableColumn>
    <tableColumn id="9" name="Notes" dataDxfId="93" totalsRowDxfId="92"/>
    <tableColumn id="10" name="FPP Payroll" dataDxfId="91" totalsRowDxfId="90"/>
    <tableColumn id="11" name="Paid Out Date" dataDxfId="89" totalsRowDxfId="88"/>
    <tableColumn id="12" name="Payroll Type" dataDxfId="87" totalsRowDxfId="86"/>
    <tableColumn id="13" name="Flag" dataDxfId="85" totalsRowDxfId="84">
      <calculatedColumnFormula>IF(H3=April!$E$2,"N",IF(AND(COUNTIF(B:B,B3)=1,D3&gt;14),"Y","N"))</calculatedColumnFormula>
    </tableColumn>
    <tableColumn id="14" name="After the 14th?" dataDxfId="83" totalsRowDxfId="82">
      <calculatedColumnFormula>IF(COUNT(April[[#This Row],[Date]])&gt;0,IF(April[[#This Row],[Date]]&gt;14,"Yes","No"),"N/A")</calculatedColumnFormula>
    </tableColumn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id="11" name="Table4812" displayName="Table4812" ref="Q2:U103" totalsRowShown="0">
  <autoFilter ref="Q2:U103"/>
  <tableColumns count="5">
    <tableColumn id="1" name="Provider Name">
      <calculatedColumnFormula>Relay!A2</calculatedColumnFormula>
    </tableColumn>
    <tableColumn id="2" name="SysID">
      <calculatedColumnFormula>Relay!B2</calculatedColumnFormula>
    </tableColumn>
    <tableColumn id="3" name="Payout 15-14" dataDxfId="81" dataCellStyle="Currency">
      <calculatedColumnFormula>IF(April[After the 14th?]="No",SUMIF(April[SysID],R3,April[Pay Amount]),0)+IF(March[After the 14th?]="Yes",SUMIF(March[SysID],R3,March[Pay Amount]),0)</calculatedColumnFormula>
    </tableColumn>
    <tableColumn id="4" name="Amount Paid" dataCellStyle="Currency"/>
    <tableColumn id="5" name="Flag" dataDxfId="80">
      <calculatedColumnFormula>IF(S3=T3,"N","Y")</calculatedColumnFormula>
    </tableColumn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id="8" name="May" displayName="May" ref="A2:O103" totalsRowShown="0" headerRowDxfId="73" dataDxfId="72">
  <autoFilter ref="A2:O103"/>
  <tableColumns count="15">
    <tableColumn id="1" name="Provider Name (Last)" dataDxfId="71" totalsRowDxfId="70"/>
    <tableColumn id="2" name="SysID" dataDxfId="69" totalsRowDxfId="68">
      <calculatedColumnFormula>VLOOKUP(A3,Relay!$A$1:$B$50,2,FALSE)</calculatedColumnFormula>
    </tableColumn>
    <tableColumn id="3" name="Role" dataDxfId="67" totalsRowDxfId="66">
      <calculatedColumnFormula>VLOOKUP(A3,Relay!$A$2:$C$101,3,FALSE)</calculatedColumnFormula>
    </tableColumn>
    <tableColumn id="4" name="Date" dataDxfId="65" totalsRowDxfId="64" dataCellStyle="Comma"/>
    <tableColumn id="5" name="Shift" dataDxfId="63" totalsRowDxfId="62"/>
    <tableColumn id="6" name="Shift Hours" dataDxfId="61" totalsRowDxfId="60">
      <calculatedColumnFormula>IF(E3="Moonlighting", 12, "INS")</calculatedColumnFormula>
    </tableColumn>
    <tableColumn id="15" name="Rate Check" dataDxfId="59" totalsRowDxfId="58">
      <calculatedColumnFormula>IF(OR(E3="Jeopardy",E3="APP Moonlighting",E3="Differential Pay"),"",May[[#This Row],[SysID]])</calculatedColumnFormula>
    </tableColumn>
    <tableColumn id="7" name="Pay Rate" dataDxfId="57" totalsRowDxfId="56">
      <calculatedColumnFormula>IF(E3="Jeopardy",IF(C3="MD",Relay!$E$7,Relay!$E$8),IF(C3="MD",IF(COUNTIF(G:G,B3)&gt;1,Relay!$E$2,Relay!$E$1),IF(AND(COUNTIF(G:G,B3)&gt;1,COUNTA(A3)&gt;0),Relay!$E$5,Relay!$E$4)))</calculatedColumnFormula>
    </tableColumn>
    <tableColumn id="8" name="Pay Amount" dataDxfId="55" totalsRowDxfId="54" dataCellStyle="Currency">
      <calculatedColumnFormula>IF(COUNTA(A3)&gt;0,H3*F3,0)</calculatedColumnFormula>
    </tableColumn>
    <tableColumn id="9" name="Notes" dataDxfId="53" totalsRowDxfId="52"/>
    <tableColumn id="10" name="FPP Payroll" dataDxfId="51" totalsRowDxfId="50"/>
    <tableColumn id="11" name="Paid Out Date" dataDxfId="49" totalsRowDxfId="48"/>
    <tableColumn id="12" name="Payroll Type" dataDxfId="47" totalsRowDxfId="46"/>
    <tableColumn id="13" name="Flag" dataDxfId="45" totalsRowDxfId="44">
      <calculatedColumnFormula>IF(H3=May!$E$2,"N",IF(AND(COUNTIF(B:B,B3)=1,D3&gt;14),"Y","N"))</calculatedColumnFormula>
    </tableColumn>
    <tableColumn id="14" name="After the 14th?" dataDxfId="43" totalsRowDxfId="42">
      <calculatedColumnFormula>IF(COUNT(May[[#This Row],[Date]])&gt;0,IF(May[[#This Row],[Date]]&gt;14,"Yes","No"),"N/A")</calculatedColumnFormula>
    </tableColumn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9" name="Table4810" displayName="Table4810" ref="Q2:U103" totalsRowShown="0">
  <autoFilter ref="Q2:U103"/>
  <tableColumns count="5">
    <tableColumn id="1" name="Provider Name">
      <calculatedColumnFormula>Relay!A2</calculatedColumnFormula>
    </tableColumn>
    <tableColumn id="2" name="SysID">
      <calculatedColumnFormula>Relay!B2</calculatedColumnFormula>
    </tableColumn>
    <tableColumn id="3" name="Payout 15-14" dataDxfId="41" dataCellStyle="Currency">
      <calculatedColumnFormula>IF(May[After the 14th?]="No",SUMIF(May[SysID],R3,May[Pay Amount]),0)+IF(April[After the 14th?]="Yes",SUMIF(April[SysID],R3,April[Pay Amount]),0)</calculatedColumnFormula>
    </tableColumn>
    <tableColumn id="4" name="Amount Paid" dataCellStyle="Currency"/>
    <tableColumn id="5" name="Flag" dataDxfId="40">
      <calculatedColumnFormula>IF(S3=T3,"N","Y")</calculatedColumnFormula>
    </tableColumn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8" name="June" displayName="June" ref="A2:O103" totalsRowShown="0" headerRowDxfId="33" dataDxfId="32">
  <autoFilter ref="A2:O103"/>
  <tableColumns count="15">
    <tableColumn id="1" name="Provider Name (Last)" dataDxfId="31" totalsRowDxfId="30"/>
    <tableColumn id="2" name="SysID" dataDxfId="29" totalsRowDxfId="28">
      <calculatedColumnFormula>VLOOKUP(A3,Relay!$A$1:$B$50,2,FALSE)</calculatedColumnFormula>
    </tableColumn>
    <tableColumn id="3" name="Role" dataDxfId="27" totalsRowDxfId="26">
      <calculatedColumnFormula>VLOOKUP(A3,Relay!$A$2:$C$101,3,FALSE)</calculatedColumnFormula>
    </tableColumn>
    <tableColumn id="4" name="Date" dataDxfId="25" totalsRowDxfId="24" dataCellStyle="Comma"/>
    <tableColumn id="5" name="Shift" dataDxfId="23" totalsRowDxfId="22"/>
    <tableColumn id="6" name="Shift Hours" dataDxfId="21" totalsRowDxfId="20">
      <calculatedColumnFormula>IF(E3="Moonlighting", 12, "INS")</calculatedColumnFormula>
    </tableColumn>
    <tableColumn id="15" name="Rate Check" dataDxfId="19" totalsRowDxfId="18">
      <calculatedColumnFormula>IF(OR(E3="Jeopardy",E3="APP Moonlighting",E3="Differential Pay"),"",June[[#This Row],[SysID]])</calculatedColumnFormula>
    </tableColumn>
    <tableColumn id="7" name="Pay Rate" dataDxfId="17" totalsRowDxfId="16">
      <calculatedColumnFormula>IF(E3="Jeopardy",IF(C3="MD",Relay!$E$7,Relay!$E$8),IF(C3="MD",IF(COUNTIF(G:G,B3)&gt;1,Relay!$E$2,Relay!$E$1),IF(AND(COUNTIF(G:G,B3)&gt;1,COUNTA(A3)&gt;0),Relay!$E$5,Relay!$E$4)))</calculatedColumnFormula>
    </tableColumn>
    <tableColumn id="8" name="Pay Amount" dataDxfId="15" totalsRowDxfId="14" dataCellStyle="Currency">
      <calculatedColumnFormula>IF(COUNTA(A3)&gt;0,H3*F3,0)</calculatedColumnFormula>
    </tableColumn>
    <tableColumn id="9" name="Notes" dataDxfId="13" totalsRowDxfId="12"/>
    <tableColumn id="10" name="FPP Payroll" dataDxfId="11" totalsRowDxfId="10"/>
    <tableColumn id="11" name="Paid Out Date" dataDxfId="9" totalsRowDxfId="8"/>
    <tableColumn id="12" name="Payroll Type" dataDxfId="7" totalsRowDxfId="6"/>
    <tableColumn id="13" name="Flag" dataDxfId="5" totalsRowDxfId="4">
      <calculatedColumnFormula>IF(H3=June!$E$2,"N",IF(AND(COUNTIF(B:B,B3)=1,D3&gt;14),"Y","N"))</calculatedColumnFormula>
    </tableColumn>
    <tableColumn id="14" name="After the 14th?" dataDxfId="3" totalsRowDxfId="2">
      <calculatedColumnFormula>IF(COUNT(June[[#This Row],[Date]])&gt;0,IF(June[[#This Row],[Date]]&gt;14,"Yes","No"),"N/A")</calculatedColumnFormula>
    </tableColumn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id="29" name="Table430" displayName="Table430" ref="Q2:U103" totalsRowShown="0">
  <autoFilter ref="Q2:U103"/>
  <tableColumns count="5">
    <tableColumn id="1" name="Provider Name">
      <calculatedColumnFormula>Relay!A2</calculatedColumnFormula>
    </tableColumn>
    <tableColumn id="2" name="SysID">
      <calculatedColumnFormula>Relay!B2</calculatedColumnFormula>
    </tableColumn>
    <tableColumn id="3" name="Payout M15-J30" dataDxfId="1" dataCellStyle="Currency">
      <calculatedColumnFormula>SUMIF(June[SysID],R3,June[Pay Amount])+IF(May[After the 14th?]="Yes",SUMIF(May[SysID],R3,May[Pay Amount]),0)</calculatedColumnFormula>
    </tableColumn>
    <tableColumn id="4" name="Amount Paid" dataCellStyle="Currency"/>
    <tableColumn id="5" name="Flag" dataDxfId="0">
      <calculatedColumnFormula>IF(S3=T3,"N","Y")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Q2:U103" totalsRowShown="0">
  <autoFilter ref="Q2:U103"/>
  <tableColumns count="5">
    <tableColumn id="1" name="Provider Name">
      <calculatedColumnFormula>Relay!A2</calculatedColumnFormula>
    </tableColumn>
    <tableColumn id="2" name="SysID">
      <calculatedColumnFormula>Relay!B2</calculatedColumnFormula>
    </tableColumn>
    <tableColumn id="3" name="Payout 1-14" dataCellStyle="Currency">
      <calculatedColumnFormula>IF(July[After the 14th?]="No",SUMIF(July[SysID],R3,July[Pay Amount]),0)</calculatedColumnFormula>
    </tableColumn>
    <tableColumn id="4" name="Amount Paid" dataCellStyle="Currency"/>
    <tableColumn id="5" name="Flag" dataDxfId="440">
      <calculatedColumnFormula>IF(S3=T3,"N","Y")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6" name="Aug" displayName="Aug" ref="A2:O103" totalsRowShown="0" headerRowDxfId="433" dataDxfId="432">
  <autoFilter ref="A2:O103"/>
  <tableColumns count="15">
    <tableColumn id="1" name="Provider Name (Last)" dataDxfId="431" totalsRowDxfId="430"/>
    <tableColumn id="2" name="SysID" dataDxfId="429" totalsRowDxfId="428">
      <calculatedColumnFormula>VLOOKUP(A3,Relay!$A$1:$B$50,2,FALSE)</calculatedColumnFormula>
    </tableColumn>
    <tableColumn id="3" name="Role" dataDxfId="427" totalsRowDxfId="426">
      <calculatedColumnFormula>VLOOKUP(A3,Relay!$A$2:$C$101,3,FALSE)</calculatedColumnFormula>
    </tableColumn>
    <tableColumn id="4" name="Date" dataDxfId="425" totalsRowDxfId="424" dataCellStyle="Comma"/>
    <tableColumn id="5" name="Shift" dataDxfId="423" totalsRowDxfId="422"/>
    <tableColumn id="6" name="Shift Hours" dataDxfId="421" totalsRowDxfId="420">
      <calculatedColumnFormula>IF(E3="Moonlighting", 12, "INS")</calculatedColumnFormula>
    </tableColumn>
    <tableColumn id="15" name="Rate Check" dataDxfId="419" totalsRowDxfId="418">
      <calculatedColumnFormula>IF(OR(E3="Jeopardy",E3="APP Moonlighting",E3="Differential Pay"),"",Aug[[#This Row],[SysID]])</calculatedColumnFormula>
    </tableColumn>
    <tableColumn id="7" name="Pay Rate" dataDxfId="417" totalsRowDxfId="416">
      <calculatedColumnFormula>IF(E3="Jeopardy",IF(C3="MD",Relay!$E$7,Relay!$E$8),IF(C3="MD",IF(COUNTIF(G:G,B3)&gt;1,Relay!$E$2,Relay!$E$1),IF(AND(COUNTIF(G:G,B3)&gt;1,COUNTA(A3)&gt;0),Relay!$E$5,Relay!$E$4)))</calculatedColumnFormula>
    </tableColumn>
    <tableColumn id="8" name="Pay Amount" dataDxfId="415" totalsRowDxfId="414" dataCellStyle="Currency">
      <calculatedColumnFormula>IF(COUNTA(A3)&gt;0,H3*F3,0)</calculatedColumnFormula>
    </tableColumn>
    <tableColumn id="9" name="Notes" dataDxfId="413" totalsRowDxfId="412"/>
    <tableColumn id="10" name="FPP Payroll" dataDxfId="411" totalsRowDxfId="410"/>
    <tableColumn id="11" name="Paid Out Date" dataDxfId="409" totalsRowDxfId="408"/>
    <tableColumn id="12" name="Payroll Type" dataDxfId="407" totalsRowDxfId="406"/>
    <tableColumn id="13" name="Flag" dataDxfId="405" totalsRowDxfId="404">
      <calculatedColumnFormula>IF(H3=Aug!$E$2,"N",IF(AND(COUNTIF(B:B,B3)=1,D3&gt;14),"Y","N"))</calculatedColumnFormula>
    </tableColumn>
    <tableColumn id="14" name="After the 14th?" dataDxfId="403" totalsRowDxfId="402">
      <calculatedColumnFormula>IF(COUNT(Aug[[#This Row],[Date]])&gt;0,IF(Aug[[#This Row],[Date]]&gt;14,"Yes","No"),"N/A")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7" name="Table48" displayName="Table48" ref="Q2:U103" totalsRowShown="0">
  <autoFilter ref="Q2:U103"/>
  <tableColumns count="5">
    <tableColumn id="1" name="Provider Name">
      <calculatedColumnFormula>Relay!A2</calculatedColumnFormula>
    </tableColumn>
    <tableColumn id="2" name="SysID">
      <calculatedColumnFormula>Relay!B2</calculatedColumnFormula>
    </tableColumn>
    <tableColumn id="3" name="Payout 15-14" dataDxfId="401" dataCellStyle="Currency">
      <calculatedColumnFormula>IF(Aug[After the 14th?]="No",SUMIF(Aug[SysID],R3,Aug[Pay Amount]),0)+IF(July[After the 14th?]="Yes",SUMIF(July[SysID],R3,July[Pay Amount]),0)</calculatedColumnFormula>
    </tableColumn>
    <tableColumn id="4" name="Amount Paid" dataCellStyle="Currency"/>
    <tableColumn id="5" name="Flag" dataDxfId="400">
      <calculatedColumnFormula>IF(S3=T3,"N","Y")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24" name="Sept" displayName="Sept" ref="A2:O103" totalsRowShown="0" headerRowDxfId="393" dataDxfId="392">
  <autoFilter ref="A2:O103"/>
  <tableColumns count="15">
    <tableColumn id="1" name="Provider Name (Last)" dataDxfId="391" totalsRowDxfId="390"/>
    <tableColumn id="2" name="SysID" dataDxfId="389" totalsRowDxfId="388">
      <calculatedColumnFormula>VLOOKUP(A3,Relay!$A$1:$B$50,2,FALSE)</calculatedColumnFormula>
    </tableColumn>
    <tableColumn id="3" name="Role" dataDxfId="387" totalsRowDxfId="386">
      <calculatedColumnFormula>VLOOKUP(A3,Relay!$A$2:$C$101,3,FALSE)</calculatedColumnFormula>
    </tableColumn>
    <tableColumn id="4" name="Date" dataDxfId="385" totalsRowDxfId="384" dataCellStyle="Comma"/>
    <tableColumn id="5" name="Shift" dataDxfId="383" totalsRowDxfId="382"/>
    <tableColumn id="6" name="Shift Hours" dataDxfId="381" totalsRowDxfId="380">
      <calculatedColumnFormula>IF(E3="Moonlighting", 12, "INS")</calculatedColumnFormula>
    </tableColumn>
    <tableColumn id="15" name="Rate Check" dataDxfId="379" totalsRowDxfId="378">
      <calculatedColumnFormula>IF(OR(E3="Jeopardy",E3="APP Moonlighting",E3="Differential Pay"),"",Sept[[#This Row],[SysID]])</calculatedColumnFormula>
    </tableColumn>
    <tableColumn id="7" name="Pay Rate" dataDxfId="377" totalsRowDxfId="376">
      <calculatedColumnFormula>IF(E3="Jeopardy",IF(C3="MD",Relay!$E$7,Relay!$E$8),IF(C3="MD",IF(COUNTIF(G:G,B3)&gt;1,Relay!$E$2,Relay!$E$1),IF(AND(COUNTIF(G:G,B3)&gt;1,COUNTA(A3)&gt;0),Relay!$E$5,Relay!$E$4)))</calculatedColumnFormula>
    </tableColumn>
    <tableColumn id="8" name="Pay Amount" dataDxfId="375" totalsRowDxfId="374" dataCellStyle="Currency">
      <calculatedColumnFormula>IF(COUNTA(A3)&gt;0,H3*F3,0)</calculatedColumnFormula>
    </tableColumn>
    <tableColumn id="9" name="Notes" dataDxfId="373" totalsRowDxfId="372"/>
    <tableColumn id="10" name="FPP Payroll" dataDxfId="371" totalsRowDxfId="370"/>
    <tableColumn id="11" name="Paid Out Date" dataDxfId="369" totalsRowDxfId="368"/>
    <tableColumn id="12" name="Payroll Type" dataDxfId="367" totalsRowDxfId="366"/>
    <tableColumn id="13" name="Flag" dataDxfId="365" totalsRowDxfId="364">
      <calculatedColumnFormula>IF(H3=Sept!$E$2,"N",IF(AND(COUNTIF(B:B,B3)=1,D3&gt;14),"Y","N"))</calculatedColumnFormula>
    </tableColumn>
    <tableColumn id="14" name="After the 14th?" dataDxfId="363" totalsRowDxfId="362">
      <calculatedColumnFormula>IF(COUNT(Sept[[#This Row],[Date]])&gt;0,IF(Sept[[#This Row],[Date]]&gt;14,"Yes","No"),"N/A")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25" name="Table426" displayName="Table426" ref="Q2:U103" totalsRowShown="0">
  <autoFilter ref="Q2:U103"/>
  <tableColumns count="5">
    <tableColumn id="1" name="Provider Name">
      <calculatedColumnFormula>Relay!A2</calculatedColumnFormula>
    </tableColumn>
    <tableColumn id="2" name="SysID">
      <calculatedColumnFormula>Relay!B2</calculatedColumnFormula>
    </tableColumn>
    <tableColumn id="3" name="Payout 15-14" dataDxfId="361" dataCellStyle="Currency">
      <calculatedColumnFormula>IF(Sept[After the 14th?]="No",SUMIF(Sept[SysID],R3,Sept[Pay Amount]),0)+IF(Aug[After the 14th?]="Yes",SUMIF(Aug[SysID],R3,Aug[Pay Amount]),0)</calculatedColumnFormula>
    </tableColumn>
    <tableColumn id="4" name="Amount Paid" dataCellStyle="Currency"/>
    <tableColumn id="5" name="Flag" dataDxfId="360">
      <calculatedColumnFormula>IF(S3=T3,"N","Y")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22" name="Oct" displayName="Oct" ref="A2:O103" totalsRowShown="0" headerRowDxfId="353" dataDxfId="352">
  <autoFilter ref="A2:O103"/>
  <tableColumns count="15">
    <tableColumn id="1" name="Provider Name (Last)" dataDxfId="351" totalsRowDxfId="350"/>
    <tableColumn id="2" name="SysID" dataDxfId="349" totalsRowDxfId="348">
      <calculatedColumnFormula>VLOOKUP(A3,Relay!$A$1:$B$50,2,FALSE)</calculatedColumnFormula>
    </tableColumn>
    <tableColumn id="3" name="Role" dataDxfId="347" totalsRowDxfId="346">
      <calculatedColumnFormula>VLOOKUP(A3,Relay!$A$2:$C$101,3,FALSE)</calculatedColumnFormula>
    </tableColumn>
    <tableColumn id="4" name="Date" dataDxfId="345" totalsRowDxfId="344" dataCellStyle="Comma"/>
    <tableColumn id="5" name="Shift" dataDxfId="343" totalsRowDxfId="342"/>
    <tableColumn id="6" name="Shift Hours" dataDxfId="341" totalsRowDxfId="340">
      <calculatedColumnFormula>IF(E3="Moonlighting", 12, "INS")</calculatedColumnFormula>
    </tableColumn>
    <tableColumn id="15" name="Rate Check" dataDxfId="339" totalsRowDxfId="338">
      <calculatedColumnFormula>IF(OR(E3="Jeopardy",E3="APP Moonlighting",E3="Differential Pay"),"",Oct[[#This Row],[SysID]])</calculatedColumnFormula>
    </tableColumn>
    <tableColumn id="7" name="Pay Rate" dataDxfId="337" totalsRowDxfId="336">
      <calculatedColumnFormula>IF(E3="Jeopardy",IF(C3="MD",Relay!$E$7,Relay!$E$8),IF(C3="MD",IF(COUNTIF(G:G,B3)&gt;1,Relay!$E$2,Relay!$E$1),IF(AND(COUNTIF(G:G,B3)&gt;1,COUNTA(A3)&gt;0),Relay!$E$5,Relay!$E$4)))</calculatedColumnFormula>
    </tableColumn>
    <tableColumn id="8" name="Pay Amount" dataDxfId="335" totalsRowDxfId="334" dataCellStyle="Currency">
      <calculatedColumnFormula>IF(COUNTA(A3)&gt;0,H3*F3,0)</calculatedColumnFormula>
    </tableColumn>
    <tableColumn id="9" name="Notes" dataDxfId="333" totalsRowDxfId="332"/>
    <tableColumn id="10" name="FPP Payroll" dataDxfId="331" totalsRowDxfId="330"/>
    <tableColumn id="11" name="Paid Out Date" dataDxfId="329" totalsRowDxfId="328"/>
    <tableColumn id="12" name="Payroll Type" dataDxfId="327" totalsRowDxfId="326"/>
    <tableColumn id="13" name="Flag" dataDxfId="325" totalsRowDxfId="324">
      <calculatedColumnFormula>IF(H3=Oct!$E$2,"N",IF(AND(COUNTIF(B:B,B3)=1,D3&gt;14),"Y","N"))</calculatedColumnFormula>
    </tableColumn>
    <tableColumn id="14" name="After the 14th?" dataDxfId="323" totalsRowDxfId="322">
      <calculatedColumnFormula>IF(COUNT(Oct[[#This Row],[Date]])&gt;0,IF(Oct[[#This Row],[Date]]&gt;14,"Yes","No"),"N/A")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23" name="Table424" displayName="Table424" ref="Q2:U103" totalsRowShown="0">
  <autoFilter ref="Q2:U103"/>
  <tableColumns count="5">
    <tableColumn id="1" name="Provider Name">
      <calculatedColumnFormula>Relay!A2</calculatedColumnFormula>
    </tableColumn>
    <tableColumn id="2" name="SysID">
      <calculatedColumnFormula>Relay!B2</calculatedColumnFormula>
    </tableColumn>
    <tableColumn id="3" name="Payout 15-14" dataDxfId="321" dataCellStyle="Currency">
      <calculatedColumnFormula>IF(Oct[After the 14th?]="No",SUMIF(Oct[SysID],R3,Oct[Pay Amount]),0)+IF(Sept[After the 14th?]="Yes",SUMIF(Sept[SysID],R3,Sept[Pay Amount]),0)</calculatedColumnFormula>
    </tableColumn>
    <tableColumn id="4" name="Amount Paid" dataCellStyle="Currency"/>
    <tableColumn id="5" name="Flag" dataDxfId="320">
      <calculatedColumnFormula>IF(S3=T3,"N","Y")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N101"/>
  <sheetViews>
    <sheetView workbookViewId="0">
      <selection activeCell="I29" sqref="I29"/>
    </sheetView>
  </sheetViews>
  <sheetFormatPr defaultRowHeight="15" x14ac:dyDescent="0.25"/>
  <cols>
    <col min="1" max="1" width="18.5703125" style="36" customWidth="1"/>
    <col min="3" max="3" width="9.140625" style="36"/>
    <col min="4" max="4" width="22.140625" bestFit="1" customWidth="1"/>
    <col min="7" max="7" width="24.7109375" bestFit="1" customWidth="1"/>
    <col min="8" max="8" width="12.5703125" bestFit="1" customWidth="1"/>
    <col min="9" max="9" width="11.5703125" bestFit="1" customWidth="1"/>
    <col min="10" max="10" width="12.28515625" bestFit="1" customWidth="1"/>
    <col min="11" max="11" width="14.28515625" bestFit="1" customWidth="1"/>
    <col min="12" max="12" width="15" bestFit="1" customWidth="1"/>
    <col min="14" max="14" width="25" style="30" bestFit="1" customWidth="1"/>
  </cols>
  <sheetData>
    <row r="1" spans="1:14" x14ac:dyDescent="0.25">
      <c r="A1" s="48" t="s">
        <v>0</v>
      </c>
      <c r="B1" s="13" t="s">
        <v>2</v>
      </c>
      <c r="C1" s="48" t="s">
        <v>4</v>
      </c>
      <c r="D1" s="1" t="s">
        <v>28</v>
      </c>
      <c r="E1" s="47">
        <v>125</v>
      </c>
      <c r="G1" s="16"/>
      <c r="H1" s="21" t="s">
        <v>17</v>
      </c>
      <c r="I1" s="21" t="s">
        <v>18</v>
      </c>
      <c r="J1" s="21" t="s">
        <v>19</v>
      </c>
      <c r="K1" s="27" t="s">
        <v>20</v>
      </c>
      <c r="L1" s="22" t="s">
        <v>21</v>
      </c>
      <c r="N1" s="31"/>
    </row>
    <row r="2" spans="1:14" x14ac:dyDescent="0.25">
      <c r="A2" s="49"/>
      <c r="B2" s="14">
        <v>1</v>
      </c>
      <c r="C2" s="53"/>
      <c r="D2" s="1" t="s">
        <v>29</v>
      </c>
      <c r="E2" s="47">
        <v>150</v>
      </c>
      <c r="G2" s="25" t="s">
        <v>15</v>
      </c>
      <c r="H2" s="17">
        <f>SUMIF(July!E:E,Relay!G2,July!I:I)+SUMIF(Aug!E:E,Relay!G2,Aug!I:I)+SUMIF(Sept!E:E,Relay!G2,Sept!I:I)+SUMIF(Oct!E:E,Relay!G2,Oct!I:I)+SUMIF(Nov!E:E,Relay!G2,Nov!I:I)+SUMIF(Dec!E:E,Relay!G2,Dec!I:I)+SUMIF(Jan!E:E,Relay!G2,Jan!I:I)+SUMIF(Feb!E:E,Relay!G2,Feb!I:I)+SUMIF(March!E:E,Relay!G2,March!I:I)+SUMIF(April!E:E,Relay!G2,April!I:I)+SUMIF(May!E:E,Relay!G2,May!I:I)+SUMIF(June!E:E,Relay!G2,June!I:I)</f>
        <v>0</v>
      </c>
      <c r="I2" s="17">
        <f>+H2*0.26</f>
        <v>0</v>
      </c>
      <c r="J2" s="17">
        <f>SUM(H2:I2)</f>
        <v>0</v>
      </c>
      <c r="K2" s="66">
        <v>765913</v>
      </c>
      <c r="L2" s="19">
        <f>J2-K2</f>
        <v>-765913</v>
      </c>
      <c r="N2"/>
    </row>
    <row r="3" spans="1:14" x14ac:dyDescent="0.25">
      <c r="A3" s="49"/>
      <c r="B3" s="14">
        <v>2</v>
      </c>
      <c r="C3" s="53"/>
      <c r="E3" s="36"/>
      <c r="G3" s="25" t="s">
        <v>22</v>
      </c>
      <c r="H3" s="17">
        <f>SUMIF(July!E:E,Relay!G3,July!I:I)+SUMIF(Aug!E:E,Relay!G3,Aug!I:I)+SUMIF(Sept!E:E,Relay!G3,Sept!I:I)+SUMIF(Oct!E:E,Relay!G3,Oct!I:I)+SUMIF(Nov!E:E,Relay!G3,Nov!I:I)+SUMIF(Dec!E:E,Relay!G3,Dec!I:I)+SUMIF(Jan!E:E,Relay!G3,Jan!I:I)+SUMIF(Feb!E:E,Relay!G3,Feb!I:I)+SUMIF(March!E:E,Relay!G3,March!I:I)+SUMIF(April!E:E,Relay!G3,April!I:I)+SUMIF(May!E:E,Relay!G3,May!I:I)+SUMIF(June!E:E,Relay!G3,June!I:I)</f>
        <v>0</v>
      </c>
      <c r="I3" s="17">
        <f>+H3*0.26</f>
        <v>0</v>
      </c>
      <c r="J3" s="17">
        <f t="shared" ref="J3:J7" si="0">SUM(H3:I3)</f>
        <v>0</v>
      </c>
      <c r="K3" s="66">
        <v>0</v>
      </c>
      <c r="L3" s="19">
        <f t="shared" ref="L3:L7" si="1">J3-K3</f>
        <v>0</v>
      </c>
      <c r="N3"/>
    </row>
    <row r="4" spans="1:14" x14ac:dyDescent="0.25">
      <c r="A4" s="49"/>
      <c r="B4" s="14">
        <v>3</v>
      </c>
      <c r="C4" s="53"/>
      <c r="D4" s="1" t="s">
        <v>30</v>
      </c>
      <c r="E4" s="47">
        <v>75</v>
      </c>
      <c r="G4" s="24"/>
      <c r="H4" s="17">
        <f>SUMIF(July!E:E,Relay!G5,July!I:I)+SUMIF(Aug!E:E,Relay!G5,Aug!I:I)+SUMIF(Sept!E:E,Relay!G5,Sept!I:I)+SUMIF(Oct!E:E,Relay!G5,Oct!I:I)+SUMIF(Nov!E:E,Relay!G5,Nov!I:I)+SUMIF(Dec!E:E,Relay!G5,Dec!I:I)+SUMIF(Jan!E:E,Relay!G5,Jan!I:I)+SUMIF(Feb!E:E,Relay!G5,Feb!I:I)+SUMIF(March!E:E,Relay!G5,March!I:I)+SUMIF(April!E:E,Relay!G5,April!I:I)+SUMIF(May!E:E,Relay!G5,May!I:I)+SUMIF(June!E:E,Relay!G5,June!I:I)</f>
        <v>0</v>
      </c>
      <c r="I4" s="28">
        <f>+H4*0.137</f>
        <v>0</v>
      </c>
      <c r="J4" s="17">
        <f t="shared" si="0"/>
        <v>0</v>
      </c>
      <c r="K4" s="66">
        <v>0</v>
      </c>
      <c r="L4" s="19">
        <f t="shared" si="1"/>
        <v>0</v>
      </c>
      <c r="N4"/>
    </row>
    <row r="5" spans="1:14" x14ac:dyDescent="0.25">
      <c r="A5" s="49"/>
      <c r="B5" s="14">
        <v>4</v>
      </c>
      <c r="C5" s="53"/>
      <c r="D5" s="1" t="s">
        <v>31</v>
      </c>
      <c r="E5" s="47">
        <v>75</v>
      </c>
      <c r="G5" s="25" t="s">
        <v>23</v>
      </c>
      <c r="H5" s="17">
        <f>SUMIF(July!E:E,Relay!G5,July!I:I)+SUMIF(Aug!E:E,Relay!G5,Aug!I:I)+SUMIF(Sept!E:E,Relay!G5,Sept!I:I)+SUMIF(Oct!E:E,Relay!G5,Oct!I:I)+SUMIF(Nov!E:E,Relay!G5,Nov!I:I)+SUMIF(Dec!E:E,Relay!G5,Dec!I:I)+SUMIF(Jan!E:E,Relay!G5,Jan!I:I)+SUMIF(Feb!E:E,Relay!G5,Feb!I:I)+SUMIF(March!E:E,Relay!G5,March!I:I)+SUMIF(April!E:E,Relay!G5,April!I:I)+SUMIF(May!E:E,Relay!G5,May!I:I)+SUMIF(June!E:E,Relay!G5,June!I:I)</f>
        <v>0</v>
      </c>
      <c r="I5" s="17">
        <f>+H5*0.26</f>
        <v>0</v>
      </c>
      <c r="J5" s="17">
        <f t="shared" si="0"/>
        <v>0</v>
      </c>
      <c r="K5" s="66">
        <v>243026</v>
      </c>
      <c r="L5" s="19">
        <f t="shared" si="1"/>
        <v>-243026</v>
      </c>
      <c r="N5"/>
    </row>
    <row r="6" spans="1:14" x14ac:dyDescent="0.25">
      <c r="A6" s="49"/>
      <c r="B6" s="14">
        <v>5</v>
      </c>
      <c r="C6" s="53"/>
      <c r="E6" s="36"/>
      <c r="G6" s="25" t="s">
        <v>24</v>
      </c>
      <c r="H6" s="17">
        <f>SUMIF(July!E:E,Relay!G6,July!I:I)+SUMIF(Aug!E:E,Relay!G6,Aug!I:I)+SUMIF(Sept!E:E,Relay!G6,Sept!I:I)+SUMIF(Oct!E:E,Relay!G6,Oct!I:I)+SUMIF(Nov!E:E,Relay!G6,Nov!I:I)+SUMIF(Dec!E:E,Relay!G6,Dec!I:I)+SUMIF(Jan!E:E,Relay!G6,Jan!I:I)+SUMIF(Feb!E:E,Relay!G6,Feb!I:I)+SUMIF(March!E:E,Relay!G6,March!I:I)+SUMIF(April!E:E,Relay!G6,April!I:I)+SUMIF(May!E:E,Relay!G6,May!I:I)+SUMIF(June!E:E,Relay!G6,June!I:I)</f>
        <v>0</v>
      </c>
      <c r="I6" s="28">
        <f>+H6*0.137</f>
        <v>0</v>
      </c>
      <c r="J6" s="17">
        <f t="shared" si="0"/>
        <v>0</v>
      </c>
      <c r="K6" s="66">
        <v>0</v>
      </c>
      <c r="L6" s="19">
        <f t="shared" si="1"/>
        <v>0</v>
      </c>
      <c r="N6"/>
    </row>
    <row r="7" spans="1:14" x14ac:dyDescent="0.25">
      <c r="A7" s="49"/>
      <c r="B7" s="14">
        <v>6</v>
      </c>
      <c r="C7" s="53"/>
      <c r="D7" s="15" t="s">
        <v>32</v>
      </c>
      <c r="E7" s="44">
        <v>115</v>
      </c>
      <c r="G7" s="25" t="s">
        <v>25</v>
      </c>
      <c r="H7" s="17">
        <f>SUMIF(July!E:E,Relay!G7,July!I:I)+SUMIF(Aug!E:E,Relay!G7,Aug!I:I)+SUMIF(Sept!E:E,Relay!G7,Sept!I:I)+SUMIF(Oct!E:E,Relay!G7,Oct!I:I)+SUMIF(Nov!E:E,Relay!G7,Nov!I:I)+SUMIF(Dec!E:E,Relay!G7,Dec!I:I)+SUMIF(Jan!E:E,Relay!G7,Jan!I:I)+SUMIF(Feb!E:E,Relay!G7,Feb!I:I)+SUMIF(March!E:E,Relay!G7,March!I:I)+SUMIF(April!E:E,Relay!G7,April!I:I)+SUMIF(May!E:E,Relay!G7,May!I:I)+SUMIF(June!E:E,Relay!G7,June!I:I)+SUMIF(July!E:E,Relay!D15,July!I:I)+SUMIF(Aug!E:E,Relay!D15,Aug!I:I)+SUMIF(Sept!E:E,Relay!D15,Sept!I:I)+SUMIF(Oct!E:E,Relay!D15,Oct!I:I)+SUMIF(Nov!E:E,Relay!D15,Nov!I:I)+SUMIF(Dec!E:E,Relay!D15,Dec!I:I)+SUMIF(Jan!E:E,Relay!D15,Jan!I:I)+SUMIF(Feb!E:E,Relay!D15,Feb!I:I)+SUMIF(March!E:E,Relay!D15,March!I:I)+SUMIF(April!E:E,Relay!D15,April!I:I)+SUMIF(May!E:E,Relay!D15,May!I:I)+SUMIF(June!E:E,Relay!D15,June!I:I)</f>
        <v>0</v>
      </c>
      <c r="I7" s="17">
        <f>+H7*0.26</f>
        <v>0</v>
      </c>
      <c r="J7" s="17">
        <f t="shared" si="0"/>
        <v>0</v>
      </c>
      <c r="K7" s="66">
        <v>0</v>
      </c>
      <c r="L7" s="19">
        <f t="shared" si="1"/>
        <v>0</v>
      </c>
      <c r="N7"/>
    </row>
    <row r="8" spans="1:14" ht="15.75" thickBot="1" x14ac:dyDescent="0.3">
      <c r="A8" s="49"/>
      <c r="B8" s="14">
        <v>7</v>
      </c>
      <c r="C8" s="53"/>
      <c r="D8" s="15" t="s">
        <v>33</v>
      </c>
      <c r="E8" s="44">
        <v>75</v>
      </c>
      <c r="G8" s="26" t="s">
        <v>26</v>
      </c>
      <c r="H8" s="17">
        <f>SUMIF(July!E:E,Relay!G8,July!I:I)+SUMIF(Aug!E:E,Relay!G8,Aug!I:I)+SUMIF(Sept!E:E,Relay!G8,Sept!I:I)+SUMIF(Oct!E:E,Relay!G8,Oct!I:I)+SUMIF(Nov!E:E,Relay!G8,Nov!I:I)+SUMIF(Dec!E:E,Relay!G8,Dec!I:I)+SUMIF(Jan!E:E,Relay!G8,Jan!I:I)+SUMIF(Feb!E:E,Relay!G8,Feb!I:I)+SUMIF(March!E:E,Relay!G8,March!I:I)+SUMIF(April!E:E,Relay!G8,April!I:I)+SUMIF(May!E:E,Relay!G8,May!I:I)+SUMIF(June!E:E,Relay!G8,June!I:I)</f>
        <v>0</v>
      </c>
      <c r="I8" s="29">
        <f>+H8*0.137</f>
        <v>0</v>
      </c>
      <c r="J8" s="18">
        <f>SUM(H8:I8)</f>
        <v>0</v>
      </c>
      <c r="K8" s="66">
        <v>0</v>
      </c>
      <c r="L8" s="20">
        <f>K8-J8</f>
        <v>0</v>
      </c>
      <c r="N8"/>
    </row>
    <row r="9" spans="1:14" ht="15.75" thickBot="1" x14ac:dyDescent="0.3">
      <c r="A9" s="49"/>
      <c r="B9" s="14">
        <v>8</v>
      </c>
      <c r="C9" s="53"/>
      <c r="G9" s="60" t="s">
        <v>27</v>
      </c>
      <c r="H9" s="61">
        <f>SUM(H2:H8)</f>
        <v>0</v>
      </c>
      <c r="I9" s="62">
        <f>SUM(I2:I8)</f>
        <v>0</v>
      </c>
      <c r="J9" s="62">
        <f>SUM(J2:J8)</f>
        <v>0</v>
      </c>
      <c r="K9" s="63">
        <f>SUM(K2:K8)</f>
        <v>1008939</v>
      </c>
      <c r="L9" s="23">
        <f>SUM(L2:L8)</f>
        <v>-1008939</v>
      </c>
      <c r="N9"/>
    </row>
    <row r="10" spans="1:14" x14ac:dyDescent="0.25">
      <c r="A10" s="49"/>
      <c r="B10" s="14">
        <v>9</v>
      </c>
      <c r="C10" s="53"/>
      <c r="D10" s="15" t="s">
        <v>36</v>
      </c>
      <c r="G10" s="42" t="s">
        <v>39</v>
      </c>
      <c r="H10" s="59"/>
      <c r="N10"/>
    </row>
    <row r="11" spans="1:14" x14ac:dyDescent="0.25">
      <c r="A11" s="49"/>
      <c r="B11" s="14">
        <v>10</v>
      </c>
      <c r="C11" s="53"/>
      <c r="D11" s="46" t="s">
        <v>23</v>
      </c>
      <c r="G11" s="42" t="s">
        <v>39</v>
      </c>
      <c r="H11" s="44"/>
      <c r="N11"/>
    </row>
    <row r="12" spans="1:14" ht="15.75" thickBot="1" x14ac:dyDescent="0.3">
      <c r="A12" s="49"/>
      <c r="B12" s="14">
        <v>11</v>
      </c>
      <c r="C12" s="53"/>
      <c r="D12" s="46" t="s">
        <v>15</v>
      </c>
      <c r="G12" s="42" t="s">
        <v>39</v>
      </c>
      <c r="H12" s="45"/>
      <c r="N12"/>
    </row>
    <row r="13" spans="1:14" ht="15.75" thickBot="1" x14ac:dyDescent="0.3">
      <c r="A13" s="49"/>
      <c r="B13" s="14">
        <v>12</v>
      </c>
      <c r="C13" s="53"/>
      <c r="D13" s="46" t="s">
        <v>37</v>
      </c>
      <c r="G13" s="43" t="s">
        <v>38</v>
      </c>
      <c r="H13" s="68">
        <f>J9/K9</f>
        <v>0</v>
      </c>
      <c r="N13"/>
    </row>
    <row r="14" spans="1:14" ht="15.75" thickBot="1" x14ac:dyDescent="0.3">
      <c r="A14" s="49"/>
      <c r="B14" s="14">
        <v>13</v>
      </c>
      <c r="C14" s="53"/>
      <c r="D14" s="46" t="s">
        <v>22</v>
      </c>
      <c r="G14" s="43" t="s">
        <v>40</v>
      </c>
      <c r="H14" s="68">
        <f>SUM(H10:H12,J9)/K9</f>
        <v>0</v>
      </c>
    </row>
    <row r="15" spans="1:14" x14ac:dyDescent="0.25">
      <c r="A15" s="49"/>
      <c r="B15" s="14">
        <v>14</v>
      </c>
      <c r="C15" s="53"/>
      <c r="D15" s="46" t="s">
        <v>61</v>
      </c>
    </row>
    <row r="16" spans="1:14" x14ac:dyDescent="0.25">
      <c r="A16" s="49"/>
      <c r="B16" s="14">
        <v>15</v>
      </c>
      <c r="C16" s="53"/>
      <c r="D16" s="46"/>
    </row>
    <row r="17" spans="1:5" x14ac:dyDescent="0.25">
      <c r="A17" s="49"/>
      <c r="B17" s="14">
        <v>16</v>
      </c>
      <c r="C17" s="53"/>
    </row>
    <row r="18" spans="1:5" x14ac:dyDescent="0.25">
      <c r="A18" s="49"/>
      <c r="B18" s="14">
        <v>17</v>
      </c>
      <c r="C18" s="53"/>
      <c r="D18" s="69" t="s">
        <v>62</v>
      </c>
      <c r="E18" s="70">
        <v>125</v>
      </c>
    </row>
    <row r="19" spans="1:5" x14ac:dyDescent="0.25">
      <c r="A19" s="49"/>
      <c r="B19" s="14">
        <v>18</v>
      </c>
      <c r="C19" s="53"/>
      <c r="D19" s="69" t="s">
        <v>63</v>
      </c>
      <c r="E19" s="70">
        <v>75</v>
      </c>
    </row>
    <row r="20" spans="1:5" x14ac:dyDescent="0.25">
      <c r="A20" s="49"/>
      <c r="B20" s="14">
        <v>19</v>
      </c>
      <c r="C20" s="53"/>
    </row>
    <row r="21" spans="1:5" x14ac:dyDescent="0.25">
      <c r="A21" s="49"/>
      <c r="B21" s="14">
        <v>20</v>
      </c>
      <c r="C21" s="53"/>
      <c r="D21" s="67"/>
      <c r="E21" s="12"/>
    </row>
    <row r="22" spans="1:5" x14ac:dyDescent="0.25">
      <c r="A22" s="49"/>
      <c r="B22" s="14">
        <v>21</v>
      </c>
      <c r="C22" s="53"/>
    </row>
    <row r="23" spans="1:5" x14ac:dyDescent="0.25">
      <c r="A23" s="49"/>
      <c r="B23" s="14">
        <v>22</v>
      </c>
      <c r="C23" s="53"/>
    </row>
    <row r="24" spans="1:5" x14ac:dyDescent="0.25">
      <c r="A24" s="49"/>
      <c r="B24" s="14">
        <v>23</v>
      </c>
      <c r="C24" s="53"/>
    </row>
    <row r="25" spans="1:5" x14ac:dyDescent="0.25">
      <c r="A25" s="49"/>
      <c r="B25" s="14">
        <v>24</v>
      </c>
      <c r="C25" s="53"/>
    </row>
    <row r="26" spans="1:5" x14ac:dyDescent="0.25">
      <c r="A26" s="49"/>
      <c r="B26" s="14">
        <v>25</v>
      </c>
      <c r="C26" s="53"/>
    </row>
    <row r="27" spans="1:5" x14ac:dyDescent="0.25">
      <c r="A27" s="49"/>
      <c r="B27" s="14">
        <v>26</v>
      </c>
      <c r="C27" s="53"/>
    </row>
    <row r="28" spans="1:5" x14ac:dyDescent="0.25">
      <c r="A28" s="49"/>
      <c r="B28" s="14">
        <v>27</v>
      </c>
      <c r="C28" s="53"/>
    </row>
    <row r="29" spans="1:5" x14ac:dyDescent="0.25">
      <c r="A29" s="49"/>
      <c r="B29" s="14">
        <v>28</v>
      </c>
      <c r="C29" s="53"/>
    </row>
    <row r="30" spans="1:5" x14ac:dyDescent="0.25">
      <c r="A30" s="49"/>
      <c r="B30" s="14">
        <v>29</v>
      </c>
      <c r="C30" s="53"/>
    </row>
    <row r="31" spans="1:5" x14ac:dyDescent="0.25">
      <c r="A31" s="49"/>
      <c r="B31" s="14">
        <v>30</v>
      </c>
      <c r="C31" s="53"/>
    </row>
    <row r="32" spans="1:5" x14ac:dyDescent="0.25">
      <c r="A32" s="49"/>
      <c r="B32" s="14">
        <v>31</v>
      </c>
      <c r="C32" s="53"/>
    </row>
    <row r="33" spans="1:3" x14ac:dyDescent="0.25">
      <c r="A33" s="49"/>
      <c r="B33" s="14">
        <v>32</v>
      </c>
      <c r="C33" s="53"/>
    </row>
    <row r="34" spans="1:3" x14ac:dyDescent="0.25">
      <c r="A34" s="49"/>
      <c r="B34" s="14">
        <v>33</v>
      </c>
      <c r="C34" s="53"/>
    </row>
    <row r="35" spans="1:3" x14ac:dyDescent="0.25">
      <c r="A35" s="49"/>
      <c r="B35" s="14">
        <v>34</v>
      </c>
      <c r="C35" s="53"/>
    </row>
    <row r="36" spans="1:3" x14ac:dyDescent="0.25">
      <c r="A36" s="49"/>
      <c r="B36" s="14">
        <v>35</v>
      </c>
      <c r="C36" s="53"/>
    </row>
    <row r="37" spans="1:3" x14ac:dyDescent="0.25">
      <c r="A37" s="49"/>
      <c r="B37" s="14">
        <v>36</v>
      </c>
      <c r="C37" s="53"/>
    </row>
    <row r="38" spans="1:3" x14ac:dyDescent="0.25">
      <c r="A38" s="49"/>
      <c r="B38" s="14">
        <v>37</v>
      </c>
      <c r="C38" s="53"/>
    </row>
    <row r="39" spans="1:3" x14ac:dyDescent="0.25">
      <c r="A39" s="49"/>
      <c r="B39" s="14">
        <v>38</v>
      </c>
      <c r="C39" s="53"/>
    </row>
    <row r="40" spans="1:3" x14ac:dyDescent="0.25">
      <c r="A40" s="49"/>
      <c r="B40" s="14">
        <v>39</v>
      </c>
      <c r="C40" s="53"/>
    </row>
    <row r="41" spans="1:3" x14ac:dyDescent="0.25">
      <c r="A41" s="49"/>
      <c r="B41" s="14">
        <v>40</v>
      </c>
      <c r="C41" s="53"/>
    </row>
    <row r="42" spans="1:3" x14ac:dyDescent="0.25">
      <c r="A42" s="49"/>
      <c r="B42" s="14">
        <v>41</v>
      </c>
      <c r="C42" s="53"/>
    </row>
    <row r="43" spans="1:3" x14ac:dyDescent="0.25">
      <c r="A43" s="49"/>
      <c r="B43" s="14">
        <v>42</v>
      </c>
      <c r="C43" s="53"/>
    </row>
    <row r="44" spans="1:3" x14ac:dyDescent="0.25">
      <c r="A44" s="49"/>
      <c r="B44" s="14">
        <v>43</v>
      </c>
      <c r="C44" s="53"/>
    </row>
    <row r="45" spans="1:3" x14ac:dyDescent="0.25">
      <c r="A45" s="35"/>
      <c r="B45" s="14">
        <v>44</v>
      </c>
      <c r="C45" s="53"/>
    </row>
    <row r="46" spans="1:3" x14ac:dyDescent="0.25">
      <c r="A46" s="49"/>
      <c r="B46" s="14">
        <v>45</v>
      </c>
      <c r="C46" s="53"/>
    </row>
    <row r="47" spans="1:3" x14ac:dyDescent="0.25">
      <c r="A47" s="49"/>
      <c r="B47" s="14">
        <v>46</v>
      </c>
      <c r="C47" s="53"/>
    </row>
    <row r="48" spans="1:3" x14ac:dyDescent="0.25">
      <c r="A48" s="49"/>
      <c r="B48" s="14">
        <v>47</v>
      </c>
      <c r="C48" s="53"/>
    </row>
    <row r="49" spans="1:3" x14ac:dyDescent="0.25">
      <c r="A49" s="49"/>
      <c r="B49" s="14">
        <v>48</v>
      </c>
      <c r="C49" s="53"/>
    </row>
    <row r="50" spans="1:3" x14ac:dyDescent="0.25">
      <c r="A50" s="50"/>
      <c r="B50" s="14">
        <v>49</v>
      </c>
      <c r="C50" s="53"/>
    </row>
    <row r="51" spans="1:3" x14ac:dyDescent="0.25">
      <c r="A51" s="51"/>
      <c r="B51" s="12">
        <v>50</v>
      </c>
      <c r="C51" s="54"/>
    </row>
    <row r="52" spans="1:3" x14ac:dyDescent="0.25">
      <c r="A52" s="52"/>
      <c r="B52" s="14">
        <v>51</v>
      </c>
      <c r="C52" s="54"/>
    </row>
    <row r="53" spans="1:3" x14ac:dyDescent="0.25">
      <c r="A53" s="52"/>
      <c r="B53" s="12">
        <v>52</v>
      </c>
      <c r="C53" s="54"/>
    </row>
    <row r="54" spans="1:3" x14ac:dyDescent="0.25">
      <c r="A54" s="52"/>
      <c r="B54" s="14">
        <v>53</v>
      </c>
      <c r="C54" s="54"/>
    </row>
    <row r="55" spans="1:3" x14ac:dyDescent="0.25">
      <c r="A55" s="52"/>
      <c r="B55" s="12">
        <v>54</v>
      </c>
      <c r="C55" s="54"/>
    </row>
    <row r="56" spans="1:3" x14ac:dyDescent="0.25">
      <c r="A56" s="52"/>
      <c r="B56" s="14">
        <v>55</v>
      </c>
      <c r="C56" s="54"/>
    </row>
    <row r="57" spans="1:3" x14ac:dyDescent="0.25">
      <c r="A57" s="52"/>
      <c r="B57" s="12">
        <v>56</v>
      </c>
      <c r="C57" s="54"/>
    </row>
    <row r="58" spans="1:3" x14ac:dyDescent="0.25">
      <c r="A58" s="52"/>
      <c r="B58" s="14">
        <v>57</v>
      </c>
      <c r="C58" s="54"/>
    </row>
    <row r="59" spans="1:3" x14ac:dyDescent="0.25">
      <c r="A59" s="52"/>
      <c r="B59" s="12">
        <v>58</v>
      </c>
      <c r="C59" s="54"/>
    </row>
    <row r="60" spans="1:3" x14ac:dyDescent="0.25">
      <c r="A60" s="52"/>
      <c r="B60" s="14">
        <v>59</v>
      </c>
      <c r="C60" s="54"/>
    </row>
    <row r="61" spans="1:3" x14ac:dyDescent="0.25">
      <c r="A61" s="52"/>
      <c r="B61" s="12">
        <v>60</v>
      </c>
      <c r="C61" s="54"/>
    </row>
    <row r="62" spans="1:3" x14ac:dyDescent="0.25">
      <c r="A62" s="52"/>
      <c r="B62" s="14">
        <v>61</v>
      </c>
      <c r="C62" s="54"/>
    </row>
    <row r="63" spans="1:3" x14ac:dyDescent="0.25">
      <c r="A63" s="52"/>
      <c r="B63" s="12">
        <v>62</v>
      </c>
      <c r="C63" s="54"/>
    </row>
    <row r="64" spans="1:3" x14ac:dyDescent="0.25">
      <c r="A64" s="52"/>
      <c r="B64" s="14">
        <v>63</v>
      </c>
      <c r="C64" s="54"/>
    </row>
    <row r="65" spans="1:3" x14ac:dyDescent="0.25">
      <c r="A65" s="52"/>
      <c r="B65" s="12">
        <v>64</v>
      </c>
      <c r="C65" s="54"/>
    </row>
    <row r="66" spans="1:3" x14ac:dyDescent="0.25">
      <c r="A66" s="52"/>
      <c r="B66" s="14">
        <v>65</v>
      </c>
      <c r="C66" s="54"/>
    </row>
    <row r="67" spans="1:3" x14ac:dyDescent="0.25">
      <c r="A67" s="52"/>
      <c r="B67" s="12">
        <v>66</v>
      </c>
      <c r="C67" s="54"/>
    </row>
    <row r="68" spans="1:3" x14ac:dyDescent="0.25">
      <c r="A68" s="52"/>
      <c r="B68" s="14">
        <v>67</v>
      </c>
      <c r="C68" s="54"/>
    </row>
    <row r="69" spans="1:3" x14ac:dyDescent="0.25">
      <c r="A69" s="52"/>
      <c r="B69" s="12">
        <v>68</v>
      </c>
      <c r="C69" s="54"/>
    </row>
    <row r="70" spans="1:3" x14ac:dyDescent="0.25">
      <c r="A70" s="52"/>
      <c r="B70" s="14">
        <v>69</v>
      </c>
      <c r="C70" s="54"/>
    </row>
    <row r="71" spans="1:3" x14ac:dyDescent="0.25">
      <c r="A71" s="52"/>
      <c r="B71" s="12">
        <v>70</v>
      </c>
      <c r="C71" s="54"/>
    </row>
    <row r="72" spans="1:3" x14ac:dyDescent="0.25">
      <c r="A72" s="52"/>
      <c r="B72" s="14">
        <v>71</v>
      </c>
      <c r="C72" s="54"/>
    </row>
    <row r="73" spans="1:3" x14ac:dyDescent="0.25">
      <c r="A73" s="52"/>
      <c r="B73" s="12">
        <v>72</v>
      </c>
      <c r="C73" s="54"/>
    </row>
    <row r="74" spans="1:3" x14ac:dyDescent="0.25">
      <c r="A74" s="52"/>
      <c r="B74" s="14">
        <v>73</v>
      </c>
      <c r="C74" s="54"/>
    </row>
    <row r="75" spans="1:3" x14ac:dyDescent="0.25">
      <c r="A75" s="52"/>
      <c r="B75" s="12">
        <v>74</v>
      </c>
      <c r="C75" s="54"/>
    </row>
    <row r="76" spans="1:3" x14ac:dyDescent="0.25">
      <c r="A76" s="52"/>
      <c r="B76" s="14">
        <v>75</v>
      </c>
      <c r="C76" s="54"/>
    </row>
    <row r="77" spans="1:3" x14ac:dyDescent="0.25">
      <c r="A77" s="52"/>
      <c r="B77" s="14">
        <v>76</v>
      </c>
      <c r="C77" s="54"/>
    </row>
    <row r="78" spans="1:3" x14ac:dyDescent="0.25">
      <c r="A78" s="52"/>
      <c r="B78" s="12">
        <v>77</v>
      </c>
      <c r="C78" s="54"/>
    </row>
    <row r="79" spans="1:3" x14ac:dyDescent="0.25">
      <c r="A79" s="52"/>
      <c r="B79" s="14">
        <v>78</v>
      </c>
      <c r="C79" s="54"/>
    </row>
    <row r="80" spans="1:3" x14ac:dyDescent="0.25">
      <c r="A80" s="52"/>
      <c r="B80" s="12">
        <v>79</v>
      </c>
      <c r="C80" s="54"/>
    </row>
    <row r="81" spans="1:3" x14ac:dyDescent="0.25">
      <c r="A81" s="52"/>
      <c r="B81" s="14">
        <v>80</v>
      </c>
      <c r="C81" s="54"/>
    </row>
    <row r="82" spans="1:3" x14ac:dyDescent="0.25">
      <c r="A82" s="52"/>
      <c r="B82" s="12">
        <v>81</v>
      </c>
      <c r="C82" s="54"/>
    </row>
    <row r="83" spans="1:3" x14ac:dyDescent="0.25">
      <c r="A83" s="52"/>
      <c r="B83" s="14">
        <v>82</v>
      </c>
      <c r="C83" s="54"/>
    </row>
    <row r="84" spans="1:3" x14ac:dyDescent="0.25">
      <c r="A84" s="52"/>
      <c r="B84" s="12">
        <v>83</v>
      </c>
      <c r="C84" s="54"/>
    </row>
    <row r="85" spans="1:3" x14ac:dyDescent="0.25">
      <c r="A85" s="52"/>
      <c r="B85" s="14">
        <v>84</v>
      </c>
      <c r="C85" s="54"/>
    </row>
    <row r="86" spans="1:3" x14ac:dyDescent="0.25">
      <c r="A86" s="52"/>
      <c r="B86" s="12">
        <v>85</v>
      </c>
      <c r="C86" s="54"/>
    </row>
    <row r="87" spans="1:3" x14ac:dyDescent="0.25">
      <c r="A87" s="52"/>
      <c r="B87" s="14">
        <v>86</v>
      </c>
      <c r="C87" s="54"/>
    </row>
    <row r="88" spans="1:3" x14ac:dyDescent="0.25">
      <c r="A88" s="52"/>
      <c r="B88" s="12">
        <v>87</v>
      </c>
      <c r="C88" s="54"/>
    </row>
    <row r="89" spans="1:3" x14ac:dyDescent="0.25">
      <c r="A89" s="52"/>
      <c r="B89" s="14">
        <v>88</v>
      </c>
      <c r="C89" s="54"/>
    </row>
    <row r="90" spans="1:3" x14ac:dyDescent="0.25">
      <c r="A90" s="52"/>
      <c r="B90" s="12">
        <v>89</v>
      </c>
      <c r="C90" s="54"/>
    </row>
    <row r="91" spans="1:3" x14ac:dyDescent="0.25">
      <c r="A91" s="52"/>
      <c r="B91" s="14">
        <v>90</v>
      </c>
      <c r="C91" s="54"/>
    </row>
    <row r="92" spans="1:3" x14ac:dyDescent="0.25">
      <c r="A92" s="52"/>
      <c r="B92" s="12">
        <v>91</v>
      </c>
      <c r="C92" s="54"/>
    </row>
    <row r="93" spans="1:3" x14ac:dyDescent="0.25">
      <c r="A93" s="52"/>
      <c r="B93" s="14">
        <v>92</v>
      </c>
      <c r="C93" s="54"/>
    </row>
    <row r="94" spans="1:3" x14ac:dyDescent="0.25">
      <c r="A94" s="52"/>
      <c r="B94" s="12">
        <v>93</v>
      </c>
      <c r="C94" s="54"/>
    </row>
    <row r="95" spans="1:3" x14ac:dyDescent="0.25">
      <c r="A95" s="52"/>
      <c r="B95" s="14">
        <v>94</v>
      </c>
      <c r="C95" s="54"/>
    </row>
    <row r="96" spans="1:3" x14ac:dyDescent="0.25">
      <c r="A96" s="52"/>
      <c r="B96" s="12">
        <v>95</v>
      </c>
      <c r="C96" s="54"/>
    </row>
    <row r="97" spans="1:3" x14ac:dyDescent="0.25">
      <c r="A97" s="52"/>
      <c r="B97" s="14">
        <v>96</v>
      </c>
      <c r="C97" s="54"/>
    </row>
    <row r="98" spans="1:3" x14ac:dyDescent="0.25">
      <c r="A98" s="52"/>
      <c r="B98" s="14">
        <v>97</v>
      </c>
      <c r="C98" s="54"/>
    </row>
    <row r="99" spans="1:3" x14ac:dyDescent="0.25">
      <c r="A99" s="52"/>
      <c r="B99" s="12">
        <v>98</v>
      </c>
      <c r="C99" s="54"/>
    </row>
    <row r="100" spans="1:3" x14ac:dyDescent="0.25">
      <c r="A100" s="52"/>
      <c r="B100" s="14">
        <v>99</v>
      </c>
      <c r="C100" s="54"/>
    </row>
    <row r="101" spans="1:3" x14ac:dyDescent="0.25">
      <c r="A101" s="52"/>
      <c r="B101" s="12">
        <v>100</v>
      </c>
      <c r="C101" s="54"/>
    </row>
  </sheetData>
  <dataValidations disablePrompts="1" count="1">
    <dataValidation type="list" allowBlank="1" showInputMessage="1" showErrorMessage="1" sqref="A45">
      <formula1>$A$2:$A$101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103"/>
  <sheetViews>
    <sheetView workbookViewId="0">
      <selection activeCell="B1" sqref="B1:B1048576"/>
    </sheetView>
  </sheetViews>
  <sheetFormatPr defaultRowHeight="15" x14ac:dyDescent="0.25"/>
  <cols>
    <col min="1" max="1" width="21.7109375" style="36" customWidth="1"/>
    <col min="2" max="2" width="9.140625" hidden="1" customWidth="1"/>
    <col min="3" max="3" width="12.85546875" bestFit="1" customWidth="1"/>
    <col min="4" max="4" width="10.7109375" style="40" bestFit="1" customWidth="1"/>
    <col min="5" max="5" width="12.85546875" style="36" bestFit="1" customWidth="1"/>
    <col min="6" max="6" width="12.85546875" style="36" customWidth="1"/>
    <col min="7" max="7" width="12.85546875" customWidth="1"/>
    <col min="8" max="8" width="10.7109375" customWidth="1"/>
    <col min="9" max="9" width="15.5703125" style="9" bestFit="1" customWidth="1"/>
    <col min="10" max="10" width="9.140625" style="36" customWidth="1"/>
    <col min="11" max="11" width="13.140625" style="36" bestFit="1" customWidth="1"/>
    <col min="12" max="12" width="15.5703125" style="36" bestFit="1" customWidth="1"/>
    <col min="13" max="13" width="14.140625" style="36" bestFit="1" customWidth="1"/>
    <col min="14" max="14" width="19.5703125" hidden="1" customWidth="1"/>
    <col min="15" max="16" width="17" customWidth="1"/>
    <col min="17" max="17" width="16.42578125" customWidth="1"/>
    <col min="19" max="19" width="15" style="9" bestFit="1" customWidth="1"/>
    <col min="20" max="20" width="16.28515625" style="9" bestFit="1" customWidth="1"/>
    <col min="21" max="21" width="9.140625" style="5"/>
    <col min="22" max="22" width="14.28515625" bestFit="1" customWidth="1"/>
    <col min="23" max="23" width="21.7109375" customWidth="1"/>
    <col min="27" max="27" width="12.85546875" bestFit="1" customWidth="1"/>
    <col min="28" max="28" width="9" style="9" bestFit="1" customWidth="1"/>
    <col min="29" max="29" width="8.42578125" bestFit="1" customWidth="1"/>
    <col min="30" max="30" width="10.42578125" style="9" bestFit="1" customWidth="1"/>
  </cols>
  <sheetData>
    <row r="1" spans="1:30" s="3" customFormat="1" x14ac:dyDescent="0.25">
      <c r="A1" s="33" t="s">
        <v>57</v>
      </c>
      <c r="D1" s="37"/>
      <c r="E1" s="41"/>
      <c r="F1" s="41"/>
      <c r="I1" s="6"/>
      <c r="J1" s="41"/>
      <c r="K1" s="41"/>
      <c r="L1" s="41"/>
      <c r="M1" s="41"/>
      <c r="Q1" s="2" t="s">
        <v>14</v>
      </c>
      <c r="S1" s="6"/>
      <c r="T1" s="6"/>
      <c r="U1" s="71"/>
      <c r="V1" s="2"/>
      <c r="AB1" s="6"/>
      <c r="AD1" s="6"/>
    </row>
    <row r="2" spans="1:30" x14ac:dyDescent="0.25">
      <c r="A2" s="34" t="s">
        <v>3</v>
      </c>
      <c r="B2" s="4" t="s">
        <v>2</v>
      </c>
      <c r="C2" s="4" t="s">
        <v>4</v>
      </c>
      <c r="D2" s="38" t="s">
        <v>1</v>
      </c>
      <c r="E2" s="34" t="s">
        <v>5</v>
      </c>
      <c r="F2" s="34" t="s">
        <v>6</v>
      </c>
      <c r="G2" s="4" t="s">
        <v>35</v>
      </c>
      <c r="H2" s="4" t="s">
        <v>7</v>
      </c>
      <c r="I2" s="7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11" t="s">
        <v>13</v>
      </c>
      <c r="O2" s="4" t="s">
        <v>70</v>
      </c>
      <c r="P2" s="4"/>
      <c r="Q2" s="5" t="s">
        <v>69</v>
      </c>
      <c r="R2" s="5" t="s">
        <v>2</v>
      </c>
      <c r="S2" s="8" t="s">
        <v>71</v>
      </c>
      <c r="T2" s="8" t="s">
        <v>16</v>
      </c>
      <c r="U2" s="5" t="s">
        <v>13</v>
      </c>
    </row>
    <row r="3" spans="1:30" x14ac:dyDescent="0.25">
      <c r="A3" s="35"/>
      <c r="B3" s="5" t="e">
        <f>VLOOKUP(A3,Relay!$A$1:$B$50,2,FALSE)</f>
        <v>#N/A</v>
      </c>
      <c r="C3" s="5" t="e">
        <f>VLOOKUP(A3,Relay!$A$2:$C$51,3,FALSE)</f>
        <v>#N/A</v>
      </c>
      <c r="D3" s="39"/>
      <c r="E3" s="35"/>
      <c r="F3" s="35" t="str">
        <f t="shared" ref="F3:F66" si="0">IF(E3="Moonlighting", 12, "INS")</f>
        <v>INS</v>
      </c>
      <c r="G3" s="5" t="e">
        <f>IF(OR(E3="Jeopardy",E3="APP Moonlighting",E3="Differential Pay"),"",March[[#This Row],[SysID]])</f>
        <v>#N/A</v>
      </c>
      <c r="H3" s="5" t="e">
        <f>IF(E3="Jeopardy",IF(C3="MD",Relay!$E$7,Relay!$E$8),IF(C3="MD",IF(COUNTIF(G:G,B3)&gt;1,Relay!$E$2,Relay!$E$1),IF(AND(COUNTIF(G:G,B3)&gt;1,COUNTA(A3)&gt;0),Relay!$E$5,Relay!$E$4)))</f>
        <v>#N/A</v>
      </c>
      <c r="I3" s="8">
        <f t="shared" ref="I3:I66" si="1">IF(COUNTA(A3)&gt;0,H3*F3,0)</f>
        <v>0</v>
      </c>
      <c r="J3" s="35"/>
      <c r="K3" s="35"/>
      <c r="L3" s="35"/>
      <c r="M3" s="35"/>
      <c r="N3" s="10" t="e">
        <f>IF(H3=March!$E$2,"N",IF(AND(COUNTIF(B:B,B3)=1,D3&gt;14),"Y","N"))</f>
        <v>#N/A</v>
      </c>
      <c r="O3" s="55" t="str">
        <f>IF(COUNT(March[[#This Row],[Date]])&gt;0,IF(March[[#This Row],[Date]]&gt;14,"Yes","No"),"N/A")</f>
        <v>N/A</v>
      </c>
      <c r="P3" s="55"/>
      <c r="Q3" s="5">
        <f>Relay!A2</f>
        <v>0</v>
      </c>
      <c r="R3" s="5">
        <f>Relay!B2</f>
        <v>1</v>
      </c>
      <c r="S3" s="8">
        <f>IF(March[After the 14th?]="No",SUMIF(March[SysID],R3,March[Pay Amount]),0)+IF(Feb[After the 14th?]="Yes",SUMIF(Feb[SysID],R3,Feb[Pay Amount]),0)</f>
        <v>0</v>
      </c>
      <c r="T3" s="8"/>
      <c r="U3" s="5" t="str">
        <f t="shared" ref="U3:U66" si="2">IF(S3=T3,"N","Y")</f>
        <v>N</v>
      </c>
      <c r="V3" s="57"/>
      <c r="W3" s="57"/>
      <c r="X3" s="56"/>
      <c r="Y3" s="56"/>
      <c r="Z3" s="56"/>
      <c r="AA3" s="56"/>
      <c r="AC3" s="56"/>
    </row>
    <row r="4" spans="1:30" x14ac:dyDescent="0.25">
      <c r="A4" s="35"/>
      <c r="B4" s="5" t="e">
        <f>VLOOKUP(A4,Relay!$A$1:$B$50,2,FALSE)</f>
        <v>#N/A</v>
      </c>
      <c r="C4" s="5" t="e">
        <f>VLOOKUP(A4,Relay!$A$2:$C$51,3,FALSE)</f>
        <v>#N/A</v>
      </c>
      <c r="D4" s="39"/>
      <c r="E4" s="35"/>
      <c r="F4" s="35" t="str">
        <f t="shared" si="0"/>
        <v>INS</v>
      </c>
      <c r="G4" s="5" t="e">
        <f>IF(OR(E4="Jeopardy",E4="APP Moonlighting",E4="Differential Pay"),"",March[[#This Row],[SysID]])</f>
        <v>#N/A</v>
      </c>
      <c r="H4" s="5" t="e">
        <f>IF(E4="Jeopardy",IF(C4="MD",Relay!$E$7,Relay!$E$8),IF(C4="MD",IF(COUNTIF(G:G,B4)&gt;1,Relay!$E$2,Relay!$E$1),IF(AND(COUNTIF(G:G,B4)&gt;1,COUNTA(A4)&gt;0),Relay!$E$5,Relay!$E$4)))</f>
        <v>#N/A</v>
      </c>
      <c r="I4" s="8">
        <f t="shared" si="1"/>
        <v>0</v>
      </c>
      <c r="J4" s="35"/>
      <c r="K4" s="35"/>
      <c r="L4" s="35"/>
      <c r="M4" s="35"/>
      <c r="N4" s="10" t="e">
        <f>IF(H4=March!$E$2,"N",IF(AND(COUNTIF(B:B,B4)=1,D4&gt;14),"Y","N"))</f>
        <v>#N/A</v>
      </c>
      <c r="O4" s="55" t="str">
        <f>IF(COUNT(March[[#This Row],[Date]])&gt;0,IF(March[[#This Row],[Date]]&gt;14,"Yes","No"),"N/A")</f>
        <v>N/A</v>
      </c>
      <c r="P4" s="55"/>
      <c r="Q4" s="5">
        <f>Relay!A3</f>
        <v>0</v>
      </c>
      <c r="R4" s="5">
        <f>Relay!B3</f>
        <v>2</v>
      </c>
      <c r="S4" s="8">
        <f>IF(March[After the 14th?]="No",SUMIF(March[SysID],R4,March[Pay Amount]),0)+IF(Feb[After the 14th?]="Yes",SUMIF(Feb[SysID],R4,Feb[Pay Amount]),0)</f>
        <v>0</v>
      </c>
      <c r="T4" s="8"/>
      <c r="U4" s="5" t="str">
        <f t="shared" si="2"/>
        <v>N</v>
      </c>
      <c r="X4" s="56"/>
      <c r="Y4" s="56"/>
      <c r="Z4" s="56"/>
      <c r="AA4" s="56"/>
      <c r="AC4" s="56"/>
    </row>
    <row r="5" spans="1:30" x14ac:dyDescent="0.25">
      <c r="A5" s="35"/>
      <c r="B5" s="5" t="e">
        <f>VLOOKUP(A5,Relay!$A$1:$B$50,2,FALSE)</f>
        <v>#N/A</v>
      </c>
      <c r="C5" s="5" t="e">
        <f>VLOOKUP(A5,Relay!$A$2:$C$51,3,FALSE)</f>
        <v>#N/A</v>
      </c>
      <c r="D5" s="39"/>
      <c r="E5" s="35"/>
      <c r="F5" s="35" t="str">
        <f t="shared" si="0"/>
        <v>INS</v>
      </c>
      <c r="G5" s="5" t="e">
        <f>IF(OR(E5="Jeopardy",E5="APP Moonlighting",E5="Differential Pay"),"",March[[#This Row],[SysID]])</f>
        <v>#N/A</v>
      </c>
      <c r="H5" s="5" t="e">
        <f>IF(E5="Jeopardy",IF(C5="MD",Relay!$E$7,Relay!$E$8),IF(C5="MD",IF(COUNTIF(G:G,B5)&gt;1,Relay!$E$2,Relay!$E$1),IF(AND(COUNTIF(G:G,B5)&gt;1,COUNTA(A5)&gt;0),Relay!$E$5,Relay!$E$4)))</f>
        <v>#N/A</v>
      </c>
      <c r="I5" s="8">
        <f t="shared" si="1"/>
        <v>0</v>
      </c>
      <c r="J5" s="35"/>
      <c r="K5" s="35"/>
      <c r="L5" s="35"/>
      <c r="M5" s="35"/>
      <c r="N5" s="10" t="e">
        <f>IF(H5=March!$E$2,"N",IF(AND(COUNTIF(B:B,B5)=1,D5&gt;14),"Y","N"))</f>
        <v>#N/A</v>
      </c>
      <c r="O5" s="55" t="str">
        <f>IF(COUNT(March[[#This Row],[Date]])&gt;0,IF(March[[#This Row],[Date]]&gt;14,"Yes","No"),"N/A")</f>
        <v>N/A</v>
      </c>
      <c r="P5" s="55"/>
      <c r="Q5" s="5">
        <f>Relay!A4</f>
        <v>0</v>
      </c>
      <c r="R5" s="5">
        <f>Relay!B4</f>
        <v>3</v>
      </c>
      <c r="S5" s="8">
        <f>IF(March[After the 14th?]="No",SUMIF(March[SysID],R5,March[Pay Amount]),0)+IF(Feb[After the 14th?]="Yes",SUMIF(Feb[SysID],R5,Feb[Pay Amount]),0)</f>
        <v>0</v>
      </c>
      <c r="T5" s="8"/>
      <c r="U5" s="5" t="str">
        <f t="shared" si="2"/>
        <v>N</v>
      </c>
      <c r="X5" s="56"/>
      <c r="Y5" s="56"/>
      <c r="Z5" s="56"/>
      <c r="AA5" s="56"/>
      <c r="AC5" s="56"/>
    </row>
    <row r="6" spans="1:30" x14ac:dyDescent="0.25">
      <c r="A6" s="35"/>
      <c r="B6" s="5" t="e">
        <f>VLOOKUP(A6,Relay!$A$1:$B$50,2,FALSE)</f>
        <v>#N/A</v>
      </c>
      <c r="C6" s="5" t="e">
        <f>VLOOKUP(A6,Relay!$A$2:$C$51,3,FALSE)</f>
        <v>#N/A</v>
      </c>
      <c r="D6" s="39"/>
      <c r="E6" s="35"/>
      <c r="F6" s="35" t="str">
        <f t="shared" si="0"/>
        <v>INS</v>
      </c>
      <c r="G6" s="5" t="e">
        <f>IF(OR(E6="Jeopardy",E6="APP Moonlighting",E6="Differential Pay"),"",March[[#This Row],[SysID]])</f>
        <v>#N/A</v>
      </c>
      <c r="H6" s="5" t="e">
        <f>IF(E6="Jeopardy",IF(C6="MD",Relay!$E$7,Relay!$E$8),IF(C6="MD",IF(COUNTIF(G:G,B6)&gt;1,Relay!$E$2,Relay!$E$1),IF(AND(COUNTIF(G:G,B6)&gt;1,COUNTA(A6)&gt;0),Relay!$E$5,Relay!$E$4)))</f>
        <v>#N/A</v>
      </c>
      <c r="I6" s="8">
        <f t="shared" si="1"/>
        <v>0</v>
      </c>
      <c r="J6" s="35"/>
      <c r="K6" s="35"/>
      <c r="L6" s="35"/>
      <c r="M6" s="35"/>
      <c r="N6" s="10" t="e">
        <f>IF(H6=March!$E$2,"N",IF(AND(COUNTIF(B:B,B6)=1,D6&gt;14),"Y","N"))</f>
        <v>#N/A</v>
      </c>
      <c r="O6" s="55" t="str">
        <f>IF(COUNT(March[[#This Row],[Date]])&gt;0,IF(March[[#This Row],[Date]]&gt;14,"Yes","No"),"N/A")</f>
        <v>N/A</v>
      </c>
      <c r="P6" s="55"/>
      <c r="Q6" s="5">
        <f>Relay!A5</f>
        <v>0</v>
      </c>
      <c r="R6" s="5">
        <f>Relay!B5</f>
        <v>4</v>
      </c>
      <c r="S6" s="8">
        <f>IF(March[After the 14th?]="No",SUMIF(March[SysID],R6,March[Pay Amount]),0)+IF(Feb[After the 14th?]="Yes",SUMIF(Feb[SysID],R6,Feb[Pay Amount]),0)</f>
        <v>0</v>
      </c>
      <c r="T6" s="8"/>
      <c r="U6" s="5" t="str">
        <f t="shared" si="2"/>
        <v>N</v>
      </c>
      <c r="X6" s="56"/>
      <c r="Y6" s="56"/>
      <c r="Z6" s="56"/>
      <c r="AA6" s="56"/>
      <c r="AC6" s="56"/>
    </row>
    <row r="7" spans="1:30" x14ac:dyDescent="0.25">
      <c r="A7" s="35"/>
      <c r="B7" s="5" t="e">
        <f>VLOOKUP(A7,Relay!$A$1:$B$50,2,FALSE)</f>
        <v>#N/A</v>
      </c>
      <c r="C7" s="5" t="e">
        <f>VLOOKUP(A7,Relay!$A$2:$C$51,3,FALSE)</f>
        <v>#N/A</v>
      </c>
      <c r="D7" s="39"/>
      <c r="E7" s="35"/>
      <c r="F7" s="35" t="str">
        <f t="shared" si="0"/>
        <v>INS</v>
      </c>
      <c r="G7" s="5" t="e">
        <f>IF(OR(E7="Jeopardy",E7="APP Moonlighting",E7="Differential Pay"),"",March[[#This Row],[SysID]])</f>
        <v>#N/A</v>
      </c>
      <c r="H7" s="5" t="e">
        <f>IF(E7="Jeopardy",IF(C7="MD",Relay!$E$7,Relay!$E$8),IF(C7="MD",IF(COUNTIF(G:G,B7)&gt;1,Relay!$E$2,Relay!$E$1),IF(AND(COUNTIF(G:G,B7)&gt;1,COUNTA(A7)&gt;0),Relay!$E$5,Relay!$E$4)))</f>
        <v>#N/A</v>
      </c>
      <c r="I7" s="8">
        <f t="shared" si="1"/>
        <v>0</v>
      </c>
      <c r="J7" s="35"/>
      <c r="K7" s="35"/>
      <c r="L7" s="35"/>
      <c r="M7" s="35"/>
      <c r="N7" s="10" t="e">
        <f>IF(H7=March!$E$2,"N",IF(AND(COUNTIF(B:B,B7)=1,D7&gt;14),"Y","N"))</f>
        <v>#N/A</v>
      </c>
      <c r="O7" s="55" t="str">
        <f>IF(COUNT(March[[#This Row],[Date]])&gt;0,IF(March[[#This Row],[Date]]&gt;14,"Yes","No"),"N/A")</f>
        <v>N/A</v>
      </c>
      <c r="P7" s="55"/>
      <c r="Q7" s="5">
        <f>Relay!A6</f>
        <v>0</v>
      </c>
      <c r="R7" s="5">
        <f>Relay!B6</f>
        <v>5</v>
      </c>
      <c r="S7" s="8">
        <f>IF(March[After the 14th?]="No",SUMIF(March[SysID],R7,March[Pay Amount]),0)+IF(Feb[After the 14th?]="Yes",SUMIF(Feb[SysID],R7,Feb[Pay Amount]),0)</f>
        <v>0</v>
      </c>
      <c r="T7" s="8"/>
      <c r="U7" s="5" t="str">
        <f t="shared" si="2"/>
        <v>N</v>
      </c>
      <c r="X7" s="56"/>
      <c r="Y7" s="56"/>
      <c r="Z7" s="56"/>
      <c r="AA7" s="56"/>
      <c r="AC7" s="56"/>
    </row>
    <row r="8" spans="1:30" x14ac:dyDescent="0.25">
      <c r="A8" s="35"/>
      <c r="B8" s="5" t="e">
        <f>VLOOKUP(A8,Relay!$A$1:$B$50,2,FALSE)</f>
        <v>#N/A</v>
      </c>
      <c r="C8" s="5" t="e">
        <f>VLOOKUP(A8,Relay!$A$2:$C$51,3,FALSE)</f>
        <v>#N/A</v>
      </c>
      <c r="D8" s="39"/>
      <c r="E8" s="35"/>
      <c r="F8" s="35" t="str">
        <f t="shared" si="0"/>
        <v>INS</v>
      </c>
      <c r="G8" s="5" t="e">
        <f>IF(OR(E8="Jeopardy",E8="APP Moonlighting",E8="Differential Pay"),"",March[[#This Row],[SysID]])</f>
        <v>#N/A</v>
      </c>
      <c r="H8" s="5" t="e">
        <f>IF(E8="Jeopardy",IF(C8="MD",Relay!$E$7,Relay!$E$8),IF(C8="MD",IF(COUNTIF(G:G,B8)&gt;1,Relay!$E$2,Relay!$E$1),IF(AND(COUNTIF(G:G,B8)&gt;1,COUNTA(A8)&gt;0),Relay!$E$5,Relay!$E$4)))</f>
        <v>#N/A</v>
      </c>
      <c r="I8" s="8">
        <f t="shared" si="1"/>
        <v>0</v>
      </c>
      <c r="J8" s="35"/>
      <c r="K8" s="35"/>
      <c r="L8" s="35"/>
      <c r="M8" s="35"/>
      <c r="N8" s="10" t="e">
        <f>IF(H8=March!$E$2,"N",IF(AND(COUNTIF(B:B,B8)=1,D8&gt;14),"Y","N"))</f>
        <v>#N/A</v>
      </c>
      <c r="O8" s="55" t="str">
        <f>IF(COUNT(March[[#This Row],[Date]])&gt;0,IF(March[[#This Row],[Date]]&gt;14,"Yes","No"),"N/A")</f>
        <v>N/A</v>
      </c>
      <c r="P8" s="55"/>
      <c r="Q8" s="5">
        <f>Relay!A7</f>
        <v>0</v>
      </c>
      <c r="R8" s="5">
        <f>Relay!B7</f>
        <v>6</v>
      </c>
      <c r="S8" s="8">
        <f>IF(March[After the 14th?]="No",SUMIF(March[SysID],R8,March[Pay Amount]),0)+IF(Feb[After the 14th?]="Yes",SUMIF(Feb[SysID],R8,Feb[Pay Amount]),0)</f>
        <v>0</v>
      </c>
      <c r="T8" s="8"/>
      <c r="U8" s="5" t="str">
        <f t="shared" si="2"/>
        <v>N</v>
      </c>
      <c r="X8" s="56"/>
      <c r="Y8" s="56"/>
      <c r="Z8" s="56"/>
      <c r="AA8" s="56"/>
      <c r="AC8" s="56"/>
    </row>
    <row r="9" spans="1:30" x14ac:dyDescent="0.25">
      <c r="A9" s="35"/>
      <c r="B9" s="5" t="e">
        <f>VLOOKUP(A9,Relay!$A$1:$B$50,2,FALSE)</f>
        <v>#N/A</v>
      </c>
      <c r="C9" s="5" t="e">
        <f>VLOOKUP(A9,Relay!$A$2:$C$51,3,FALSE)</f>
        <v>#N/A</v>
      </c>
      <c r="D9" s="39"/>
      <c r="E9" s="35"/>
      <c r="F9" s="35" t="str">
        <f t="shared" si="0"/>
        <v>INS</v>
      </c>
      <c r="G9" s="5" t="e">
        <f>IF(OR(E9="Jeopardy",E9="APP Moonlighting",E9="Differential Pay"),"",March[[#This Row],[SysID]])</f>
        <v>#N/A</v>
      </c>
      <c r="H9" s="5" t="e">
        <f>IF(E9="Jeopardy",IF(C9="MD",Relay!$E$7,Relay!$E$8),IF(C9="MD",IF(COUNTIF(G:G,B9)&gt;1,Relay!$E$2,Relay!$E$1),IF(AND(COUNTIF(G:G,B9)&gt;1,COUNTA(A9)&gt;0),Relay!$E$5,Relay!$E$4)))</f>
        <v>#N/A</v>
      </c>
      <c r="I9" s="8">
        <f t="shared" si="1"/>
        <v>0</v>
      </c>
      <c r="J9" s="35"/>
      <c r="K9" s="35"/>
      <c r="L9" s="35"/>
      <c r="M9" s="35"/>
      <c r="N9" s="10" t="e">
        <f>IF(H9=March!$E$2,"N",IF(AND(COUNTIF(B:B,B9)=1,D9&gt;14),"Y","N"))</f>
        <v>#N/A</v>
      </c>
      <c r="O9" s="55" t="str">
        <f>IF(COUNT(March[[#This Row],[Date]])&gt;0,IF(March[[#This Row],[Date]]&gt;14,"Yes","No"),"N/A")</f>
        <v>N/A</v>
      </c>
      <c r="P9" s="55"/>
      <c r="Q9" s="5">
        <f>Relay!A8</f>
        <v>0</v>
      </c>
      <c r="R9" s="5">
        <f>Relay!B8</f>
        <v>7</v>
      </c>
      <c r="S9" s="8">
        <f>IF(March[After the 14th?]="No",SUMIF(March[SysID],R9,March[Pay Amount]),0)+IF(Feb[After the 14th?]="Yes",SUMIF(Feb[SysID],R9,Feb[Pay Amount]),0)</f>
        <v>0</v>
      </c>
      <c r="T9" s="8"/>
      <c r="U9" s="5" t="str">
        <f t="shared" si="2"/>
        <v>N</v>
      </c>
      <c r="X9" s="56"/>
      <c r="Y9" s="56"/>
      <c r="Z9" s="56"/>
      <c r="AA9" s="56"/>
      <c r="AC9" s="56"/>
    </row>
    <row r="10" spans="1:30" x14ac:dyDescent="0.25">
      <c r="A10" s="35"/>
      <c r="B10" s="5" t="e">
        <f>VLOOKUP(A10,Relay!$A$1:$B$50,2,FALSE)</f>
        <v>#N/A</v>
      </c>
      <c r="C10" s="5" t="e">
        <f>VLOOKUP(A10,Relay!$A$2:$C$51,3,FALSE)</f>
        <v>#N/A</v>
      </c>
      <c r="D10" s="39"/>
      <c r="E10" s="35"/>
      <c r="F10" s="35" t="str">
        <f t="shared" si="0"/>
        <v>INS</v>
      </c>
      <c r="G10" s="5" t="e">
        <f>IF(OR(E10="Jeopardy",E10="APP Moonlighting",E10="Differential Pay"),"",March[[#This Row],[SysID]])</f>
        <v>#N/A</v>
      </c>
      <c r="H10" s="5" t="e">
        <f>IF(E10="Jeopardy",IF(C10="MD",Relay!$E$7,Relay!$E$8),IF(C10="MD",IF(COUNTIF(G:G,B10)&gt;1,Relay!$E$2,Relay!$E$1),IF(AND(COUNTIF(G:G,B10)&gt;1,COUNTA(A10)&gt;0),Relay!$E$5,Relay!$E$4)))</f>
        <v>#N/A</v>
      </c>
      <c r="I10" s="8">
        <f t="shared" si="1"/>
        <v>0</v>
      </c>
      <c r="J10" s="35"/>
      <c r="K10" s="35"/>
      <c r="L10" s="35"/>
      <c r="M10" s="35"/>
      <c r="N10" s="10" t="e">
        <f>IF(H10=March!$E$2,"N",IF(AND(COUNTIF(B:B,B10)=1,D10&gt;14),"Y","N"))</f>
        <v>#N/A</v>
      </c>
      <c r="O10" s="55" t="str">
        <f>IF(COUNT(March[[#This Row],[Date]])&gt;0,IF(March[[#This Row],[Date]]&gt;14,"Yes","No"),"N/A")</f>
        <v>N/A</v>
      </c>
      <c r="P10" s="55"/>
      <c r="Q10" s="5">
        <f>Relay!A9</f>
        <v>0</v>
      </c>
      <c r="R10" s="5">
        <f>Relay!B9</f>
        <v>8</v>
      </c>
      <c r="S10" s="8">
        <f>IF(March[After the 14th?]="No",SUMIF(March[SysID],R10,March[Pay Amount]),0)+IF(Feb[After the 14th?]="Yes",SUMIF(Feb[SysID],R10,Feb[Pay Amount]),0)</f>
        <v>0</v>
      </c>
      <c r="T10" s="8"/>
      <c r="U10" s="5" t="str">
        <f t="shared" si="2"/>
        <v>N</v>
      </c>
      <c r="X10" s="56"/>
      <c r="Y10" s="56"/>
      <c r="Z10" s="56"/>
      <c r="AA10" s="56"/>
      <c r="AC10" s="56"/>
    </row>
    <row r="11" spans="1:30" x14ac:dyDescent="0.25">
      <c r="A11" s="35"/>
      <c r="B11" s="5" t="e">
        <f>VLOOKUP(A11,Relay!$A$1:$B$50,2,FALSE)</f>
        <v>#N/A</v>
      </c>
      <c r="C11" s="5" t="e">
        <f>VLOOKUP(A11,Relay!$A$2:$C$51,3,FALSE)</f>
        <v>#N/A</v>
      </c>
      <c r="D11" s="39"/>
      <c r="E11" s="35"/>
      <c r="F11" s="35" t="str">
        <f t="shared" si="0"/>
        <v>INS</v>
      </c>
      <c r="G11" s="5" t="e">
        <f>IF(OR(E11="Jeopardy",E11="APP Moonlighting",E11="Differential Pay"),"",March[[#This Row],[SysID]])</f>
        <v>#N/A</v>
      </c>
      <c r="H11" s="5" t="e">
        <f>IF(E11="Jeopardy",IF(C11="MD",Relay!$E$7,Relay!$E$8),IF(C11="MD",IF(COUNTIF(G:G,B11)&gt;1,Relay!$E$2,Relay!$E$1),IF(AND(COUNTIF(G:G,B11)&gt;1,COUNTA(A11)&gt;0),Relay!$E$5,Relay!$E$4)))</f>
        <v>#N/A</v>
      </c>
      <c r="I11" s="8">
        <f t="shared" si="1"/>
        <v>0</v>
      </c>
      <c r="J11" s="35"/>
      <c r="K11" s="35"/>
      <c r="L11" s="35"/>
      <c r="M11" s="35"/>
      <c r="N11" s="10" t="e">
        <f>IF(H11=March!$E$2,"N",IF(AND(COUNTIF(B:B,B11)=1,D11&gt;14),"Y","N"))</f>
        <v>#N/A</v>
      </c>
      <c r="O11" s="55" t="str">
        <f>IF(COUNT(March[[#This Row],[Date]])&gt;0,IF(March[[#This Row],[Date]]&gt;14,"Yes","No"),"N/A")</f>
        <v>N/A</v>
      </c>
      <c r="P11" s="55"/>
      <c r="Q11" s="5">
        <f>Relay!A10</f>
        <v>0</v>
      </c>
      <c r="R11" s="5">
        <f>Relay!B10</f>
        <v>9</v>
      </c>
      <c r="S11" s="8">
        <f>IF(March[After the 14th?]="No",SUMIF(March[SysID],R11,March[Pay Amount]),0)+IF(Feb[After the 14th?]="Yes",SUMIF(Feb[SysID],R11,Feb[Pay Amount]),0)</f>
        <v>0</v>
      </c>
      <c r="T11" s="8"/>
      <c r="U11" s="5" t="str">
        <f t="shared" si="2"/>
        <v>N</v>
      </c>
      <c r="X11" s="56"/>
      <c r="Y11" s="56"/>
      <c r="Z11" s="56"/>
      <c r="AA11" s="56"/>
      <c r="AC11" s="56"/>
    </row>
    <row r="12" spans="1:30" x14ac:dyDescent="0.25">
      <c r="A12" s="35"/>
      <c r="B12" s="5" t="e">
        <f>VLOOKUP(A12,Relay!$A$1:$B$50,2,FALSE)</f>
        <v>#N/A</v>
      </c>
      <c r="C12" s="5" t="e">
        <f>VLOOKUP(A12,Relay!$A$2:$C$51,3,FALSE)</f>
        <v>#N/A</v>
      </c>
      <c r="D12" s="39"/>
      <c r="E12" s="35"/>
      <c r="F12" s="35" t="str">
        <f t="shared" si="0"/>
        <v>INS</v>
      </c>
      <c r="G12" s="5" t="e">
        <f>IF(OR(E12="Jeopardy",E12="APP Moonlighting",E12="Differential Pay"),"",March[[#This Row],[SysID]])</f>
        <v>#N/A</v>
      </c>
      <c r="H12" s="5" t="e">
        <f>IF(E12="Jeopardy",IF(C12="MD",Relay!$E$7,Relay!$E$8),IF(C12="MD",IF(COUNTIF(G:G,B12)&gt;1,Relay!$E$2,Relay!$E$1),IF(AND(COUNTIF(G:G,B12)&gt;1,COUNTA(A12)&gt;0),Relay!$E$5,Relay!$E$4)))</f>
        <v>#N/A</v>
      </c>
      <c r="I12" s="8">
        <f t="shared" si="1"/>
        <v>0</v>
      </c>
      <c r="J12" s="35"/>
      <c r="K12" s="35"/>
      <c r="L12" s="35"/>
      <c r="M12" s="35"/>
      <c r="N12" s="10" t="e">
        <f>IF(H12=March!$E$2,"N",IF(AND(COUNTIF(B:B,B12)=1,D12&gt;14),"Y","N"))</f>
        <v>#N/A</v>
      </c>
      <c r="O12" s="55" t="str">
        <f>IF(COUNT(March[[#This Row],[Date]])&gt;0,IF(March[[#This Row],[Date]]&gt;14,"Yes","No"),"N/A")</f>
        <v>N/A</v>
      </c>
      <c r="P12" s="55"/>
      <c r="Q12" s="5">
        <f>Relay!A11</f>
        <v>0</v>
      </c>
      <c r="R12" s="5">
        <f>Relay!B11</f>
        <v>10</v>
      </c>
      <c r="S12" s="8">
        <f>IF(March[After the 14th?]="No",SUMIF(March[SysID],R12,March[Pay Amount]),0)+IF(Feb[After the 14th?]="Yes",SUMIF(Feb[SysID],R12,Feb[Pay Amount]),0)</f>
        <v>0</v>
      </c>
      <c r="T12" s="8"/>
      <c r="U12" s="5" t="str">
        <f t="shared" si="2"/>
        <v>N</v>
      </c>
      <c r="X12" s="56"/>
      <c r="Y12" s="56"/>
      <c r="Z12" s="56"/>
      <c r="AA12" s="56"/>
      <c r="AC12" s="56"/>
    </row>
    <row r="13" spans="1:30" x14ac:dyDescent="0.25">
      <c r="A13" s="35"/>
      <c r="B13" s="5" t="e">
        <f>VLOOKUP(A13,Relay!$A$1:$B$50,2,FALSE)</f>
        <v>#N/A</v>
      </c>
      <c r="C13" s="5" t="e">
        <f>VLOOKUP(A13,Relay!$A$2:$C$51,3,FALSE)</f>
        <v>#N/A</v>
      </c>
      <c r="D13" s="39"/>
      <c r="E13" s="35"/>
      <c r="F13" s="35" t="str">
        <f t="shared" si="0"/>
        <v>INS</v>
      </c>
      <c r="G13" s="5" t="e">
        <f>IF(OR(E13="Jeopardy",E13="APP Moonlighting",E13="Differential Pay"),"",March[[#This Row],[SysID]])</f>
        <v>#N/A</v>
      </c>
      <c r="H13" s="5" t="e">
        <f>IF(E13="Jeopardy",IF(C13="MD",Relay!$E$7,Relay!$E$8),IF(C13="MD",IF(COUNTIF(G:G,B13)&gt;1,Relay!$E$2,Relay!$E$1),IF(AND(COUNTIF(G:G,B13)&gt;1,COUNTA(A13)&gt;0),Relay!$E$5,Relay!$E$4)))</f>
        <v>#N/A</v>
      </c>
      <c r="I13" s="8">
        <f t="shared" si="1"/>
        <v>0</v>
      </c>
      <c r="J13" s="35"/>
      <c r="K13" s="35"/>
      <c r="L13" s="35"/>
      <c r="M13" s="35"/>
      <c r="N13" s="10" t="e">
        <f>IF(H13=March!$E$2,"N",IF(AND(COUNTIF(B:B,B13)=1,D13&gt;14),"Y","N"))</f>
        <v>#N/A</v>
      </c>
      <c r="O13" s="55" t="str">
        <f>IF(COUNT(March[[#This Row],[Date]])&gt;0,IF(March[[#This Row],[Date]]&gt;14,"Yes","No"),"N/A")</f>
        <v>N/A</v>
      </c>
      <c r="P13" s="55"/>
      <c r="Q13" s="5">
        <f>Relay!A12</f>
        <v>0</v>
      </c>
      <c r="R13" s="5">
        <f>Relay!B12</f>
        <v>11</v>
      </c>
      <c r="S13" s="8">
        <f>IF(March[After the 14th?]="No",SUMIF(March[SysID],R13,March[Pay Amount]),0)+IF(Feb[After the 14th?]="Yes",SUMIF(Feb[SysID],R13,Feb[Pay Amount]),0)</f>
        <v>0</v>
      </c>
      <c r="T13" s="8"/>
      <c r="U13" s="5" t="str">
        <f t="shared" si="2"/>
        <v>N</v>
      </c>
      <c r="X13" s="56"/>
      <c r="Y13" s="56"/>
      <c r="Z13" s="56"/>
      <c r="AA13" s="56"/>
      <c r="AC13" s="56"/>
    </row>
    <row r="14" spans="1:30" x14ac:dyDescent="0.25">
      <c r="A14" s="35"/>
      <c r="B14" s="5" t="e">
        <f>VLOOKUP(A14,Relay!$A$1:$B$50,2,FALSE)</f>
        <v>#N/A</v>
      </c>
      <c r="C14" s="5" t="e">
        <f>VLOOKUP(A14,Relay!$A$2:$C$51,3,FALSE)</f>
        <v>#N/A</v>
      </c>
      <c r="D14" s="39"/>
      <c r="E14" s="35"/>
      <c r="F14" s="35" t="str">
        <f t="shared" si="0"/>
        <v>INS</v>
      </c>
      <c r="G14" s="5" t="e">
        <f>IF(OR(E14="Jeopardy",E14="APP Moonlighting",E14="Differential Pay"),"",March[[#This Row],[SysID]])</f>
        <v>#N/A</v>
      </c>
      <c r="H14" s="5" t="e">
        <f>IF(E14="Jeopardy",IF(C14="MD",Relay!$E$7,Relay!$E$8),IF(C14="MD",IF(COUNTIF(G:G,B14)&gt;1,Relay!$E$2,Relay!$E$1),IF(AND(COUNTIF(G:G,B14)&gt;1,COUNTA(A14)&gt;0),Relay!$E$5,Relay!$E$4)))</f>
        <v>#N/A</v>
      </c>
      <c r="I14" s="8">
        <f t="shared" si="1"/>
        <v>0</v>
      </c>
      <c r="J14" s="35"/>
      <c r="K14" s="35"/>
      <c r="L14" s="35"/>
      <c r="M14" s="35"/>
      <c r="N14" s="10" t="e">
        <f>IF(H14=March!$E$2,"N",IF(AND(COUNTIF(B:B,B14)=1,D14&gt;14),"Y","N"))</f>
        <v>#N/A</v>
      </c>
      <c r="O14" s="55" t="str">
        <f>IF(COUNT(March[[#This Row],[Date]])&gt;0,IF(March[[#This Row],[Date]]&gt;14,"Yes","No"),"N/A")</f>
        <v>N/A</v>
      </c>
      <c r="P14" s="55"/>
      <c r="Q14" s="5">
        <f>Relay!A13</f>
        <v>0</v>
      </c>
      <c r="R14" s="5">
        <f>Relay!B13</f>
        <v>12</v>
      </c>
      <c r="S14" s="8">
        <f>IF(March[After the 14th?]="No",SUMIF(March[SysID],R14,March[Pay Amount]),0)+IF(Feb[After the 14th?]="Yes",SUMIF(Feb[SysID],R14,Feb[Pay Amount]),0)</f>
        <v>0</v>
      </c>
      <c r="T14" s="8"/>
      <c r="U14" s="5" t="str">
        <f t="shared" si="2"/>
        <v>N</v>
      </c>
      <c r="X14" s="56"/>
      <c r="Y14" s="56"/>
      <c r="Z14" s="56"/>
      <c r="AA14" s="56"/>
      <c r="AC14" s="56"/>
    </row>
    <row r="15" spans="1:30" x14ac:dyDescent="0.25">
      <c r="A15" s="35"/>
      <c r="B15" s="5" t="e">
        <f>VLOOKUP(A15,Relay!$A$1:$B$50,2,FALSE)</f>
        <v>#N/A</v>
      </c>
      <c r="C15" s="5" t="e">
        <f>VLOOKUP(A15,Relay!$A$2:$C$51,3,FALSE)</f>
        <v>#N/A</v>
      </c>
      <c r="D15" s="39"/>
      <c r="E15" s="35"/>
      <c r="F15" s="35" t="str">
        <f t="shared" si="0"/>
        <v>INS</v>
      </c>
      <c r="G15" s="5" t="e">
        <f>IF(OR(E15="Jeopardy",E15="APP Moonlighting",E15="Differential Pay"),"",March[[#This Row],[SysID]])</f>
        <v>#N/A</v>
      </c>
      <c r="H15" s="5" t="e">
        <f>IF(E15="Jeopardy",IF(C15="MD",Relay!$E$7,Relay!$E$8),IF(C15="MD",IF(COUNTIF(G:G,B15)&gt;1,Relay!$E$2,Relay!$E$1),IF(AND(COUNTIF(G:G,B15)&gt;1,COUNTA(A15)&gt;0),Relay!$E$5,Relay!$E$4)))</f>
        <v>#N/A</v>
      </c>
      <c r="I15" s="8">
        <f t="shared" si="1"/>
        <v>0</v>
      </c>
      <c r="J15" s="35"/>
      <c r="K15" s="35"/>
      <c r="L15" s="35"/>
      <c r="M15" s="35"/>
      <c r="N15" s="10" t="e">
        <f>IF(H15=March!$E$2,"N",IF(AND(COUNTIF(B:B,B15)=1,D15&gt;14),"Y","N"))</f>
        <v>#N/A</v>
      </c>
      <c r="O15" s="55" t="str">
        <f>IF(COUNT(March[[#This Row],[Date]])&gt;0,IF(March[[#This Row],[Date]]&gt;14,"Yes","No"),"N/A")</f>
        <v>N/A</v>
      </c>
      <c r="P15" s="55"/>
      <c r="Q15" s="5">
        <f>Relay!A14</f>
        <v>0</v>
      </c>
      <c r="R15" s="5">
        <f>Relay!B14</f>
        <v>13</v>
      </c>
      <c r="S15" s="8">
        <f>IF(March[After the 14th?]="No",SUMIF(March[SysID],R15,March[Pay Amount]),0)+IF(Feb[After the 14th?]="Yes",SUMIF(Feb[SysID],R15,Feb[Pay Amount]),0)</f>
        <v>0</v>
      </c>
      <c r="T15" s="8"/>
      <c r="U15" s="5" t="str">
        <f t="shared" si="2"/>
        <v>N</v>
      </c>
      <c r="X15" s="56"/>
      <c r="Y15" s="56"/>
      <c r="Z15" s="56"/>
      <c r="AA15" s="56"/>
      <c r="AC15" s="56"/>
    </row>
    <row r="16" spans="1:30" x14ac:dyDescent="0.25">
      <c r="A16" s="35"/>
      <c r="B16" s="5" t="e">
        <f>VLOOKUP(A16,Relay!$A$1:$B$50,2,FALSE)</f>
        <v>#N/A</v>
      </c>
      <c r="C16" s="5" t="e">
        <f>VLOOKUP(A16,Relay!$A$2:$C$51,3,FALSE)</f>
        <v>#N/A</v>
      </c>
      <c r="D16" s="39"/>
      <c r="E16" s="35"/>
      <c r="F16" s="35" t="str">
        <f t="shared" si="0"/>
        <v>INS</v>
      </c>
      <c r="G16" s="5" t="e">
        <f>IF(OR(E16="Jeopardy",E16="APP Moonlighting",E16="Differential Pay"),"",March[[#This Row],[SysID]])</f>
        <v>#N/A</v>
      </c>
      <c r="H16" s="5" t="e">
        <f>IF(E16="Jeopardy",IF(C16="MD",Relay!$E$7,Relay!$E$8),IF(C16="MD",IF(COUNTIF(G:G,B16)&gt;1,Relay!$E$2,Relay!$E$1),IF(AND(COUNTIF(G:G,B16)&gt;1,COUNTA(A16)&gt;0),Relay!$E$5,Relay!$E$4)))</f>
        <v>#N/A</v>
      </c>
      <c r="I16" s="8">
        <f t="shared" si="1"/>
        <v>0</v>
      </c>
      <c r="J16" s="35"/>
      <c r="K16" s="35"/>
      <c r="L16" s="35"/>
      <c r="M16" s="35"/>
      <c r="N16" s="10" t="e">
        <f>IF(H16=March!$E$2,"N",IF(AND(COUNTIF(B:B,B16)=1,D16&gt;14),"Y","N"))</f>
        <v>#N/A</v>
      </c>
      <c r="O16" s="55" t="str">
        <f>IF(COUNT(March[[#This Row],[Date]])&gt;0,IF(March[[#This Row],[Date]]&gt;14,"Yes","No"),"N/A")</f>
        <v>N/A</v>
      </c>
      <c r="P16" s="55"/>
      <c r="Q16" s="5">
        <f>Relay!A15</f>
        <v>0</v>
      </c>
      <c r="R16" s="5">
        <f>Relay!B15</f>
        <v>14</v>
      </c>
      <c r="S16" s="8">
        <f>IF(March[After the 14th?]="No",SUMIF(March[SysID],R16,March[Pay Amount]),0)+IF(Feb[After the 14th?]="Yes",SUMIF(Feb[SysID],R16,Feb[Pay Amount]),0)</f>
        <v>0</v>
      </c>
      <c r="T16" s="8"/>
      <c r="U16" s="5" t="str">
        <f t="shared" si="2"/>
        <v>N</v>
      </c>
      <c r="X16" s="56"/>
      <c r="Y16" s="56"/>
      <c r="Z16" s="56"/>
      <c r="AA16" s="56"/>
      <c r="AC16" s="56"/>
    </row>
    <row r="17" spans="1:29" x14ac:dyDescent="0.25">
      <c r="A17" s="35"/>
      <c r="B17" s="5" t="e">
        <f>VLOOKUP(A17,Relay!$A$1:$B$50,2,FALSE)</f>
        <v>#N/A</v>
      </c>
      <c r="C17" s="5" t="e">
        <f>VLOOKUP(A17,Relay!$A$2:$C$51,3,FALSE)</f>
        <v>#N/A</v>
      </c>
      <c r="D17" s="39"/>
      <c r="E17" s="35"/>
      <c r="F17" s="35" t="str">
        <f t="shared" si="0"/>
        <v>INS</v>
      </c>
      <c r="G17" s="5" t="e">
        <f>IF(OR(E17="Jeopardy",E17="APP Moonlighting",E17="Differential Pay"),"",March[[#This Row],[SysID]])</f>
        <v>#N/A</v>
      </c>
      <c r="H17" s="5" t="e">
        <f>IF(E17="Jeopardy",IF(C17="MD",Relay!$E$7,Relay!$E$8),IF(C17="MD",IF(COUNTIF(G:G,B17)&gt;1,Relay!$E$2,Relay!$E$1),IF(AND(COUNTIF(G:G,B17)&gt;1,COUNTA(A17)&gt;0),Relay!$E$5,Relay!$E$4)))</f>
        <v>#N/A</v>
      </c>
      <c r="I17" s="8">
        <f t="shared" si="1"/>
        <v>0</v>
      </c>
      <c r="J17" s="35"/>
      <c r="K17" s="35"/>
      <c r="L17" s="35"/>
      <c r="M17" s="35"/>
      <c r="N17" s="10" t="e">
        <f>IF(H17=March!$E$2,"N",IF(AND(COUNTIF(B:B,B17)=1,D17&gt;14),"Y","N"))</f>
        <v>#N/A</v>
      </c>
      <c r="O17" s="55" t="str">
        <f>IF(COUNT(March[[#This Row],[Date]])&gt;0,IF(March[[#This Row],[Date]]&gt;14,"Yes","No"),"N/A")</f>
        <v>N/A</v>
      </c>
      <c r="P17" s="55"/>
      <c r="Q17" s="5">
        <f>Relay!A16</f>
        <v>0</v>
      </c>
      <c r="R17" s="5">
        <f>Relay!B16</f>
        <v>15</v>
      </c>
      <c r="S17" s="8">
        <f>IF(March[After the 14th?]="No",SUMIF(March[SysID],R17,March[Pay Amount]),0)+IF(Feb[After the 14th?]="Yes",SUMIF(Feb[SysID],R17,Feb[Pay Amount]),0)</f>
        <v>0</v>
      </c>
      <c r="T17" s="8"/>
      <c r="U17" s="5" t="str">
        <f t="shared" si="2"/>
        <v>N</v>
      </c>
      <c r="X17" s="56"/>
      <c r="Y17" s="56"/>
      <c r="Z17" s="56"/>
      <c r="AA17" s="56"/>
      <c r="AC17" s="56"/>
    </row>
    <row r="18" spans="1:29" x14ac:dyDescent="0.25">
      <c r="A18" s="35"/>
      <c r="B18" s="5" t="e">
        <f>VLOOKUP(A18,Relay!$A$1:$B$50,2,FALSE)</f>
        <v>#N/A</v>
      </c>
      <c r="C18" s="5" t="e">
        <f>VLOOKUP(A18,Relay!$A$2:$C$51,3,FALSE)</f>
        <v>#N/A</v>
      </c>
      <c r="D18" s="39"/>
      <c r="E18" s="35"/>
      <c r="F18" s="35" t="str">
        <f t="shared" si="0"/>
        <v>INS</v>
      </c>
      <c r="G18" s="5" t="e">
        <f>IF(OR(E18="Jeopardy",E18="APP Moonlighting",E18="Differential Pay"),"",March[[#This Row],[SysID]])</f>
        <v>#N/A</v>
      </c>
      <c r="H18" s="5" t="e">
        <f>IF(E18="Jeopardy",IF(C18="MD",Relay!$E$7,Relay!$E$8),IF(C18="MD",IF(COUNTIF(G:G,B18)&gt;1,Relay!$E$2,Relay!$E$1),IF(AND(COUNTIF(G:G,B18)&gt;1,COUNTA(A18)&gt;0),Relay!$E$5,Relay!$E$4)))</f>
        <v>#N/A</v>
      </c>
      <c r="I18" s="8">
        <f t="shared" si="1"/>
        <v>0</v>
      </c>
      <c r="J18" s="35"/>
      <c r="K18" s="35"/>
      <c r="L18" s="35"/>
      <c r="M18" s="35"/>
      <c r="N18" s="10" t="e">
        <f>IF(H18=March!$E$2,"N",IF(AND(COUNTIF(B:B,B18)=1,D18&gt;14),"Y","N"))</f>
        <v>#N/A</v>
      </c>
      <c r="O18" s="55" t="str">
        <f>IF(COUNT(March[[#This Row],[Date]])&gt;0,IF(March[[#This Row],[Date]]&gt;14,"Yes","No"),"N/A")</f>
        <v>N/A</v>
      </c>
      <c r="P18" s="55"/>
      <c r="Q18" s="5">
        <f>Relay!A17</f>
        <v>0</v>
      </c>
      <c r="R18" s="5">
        <f>Relay!B17</f>
        <v>16</v>
      </c>
      <c r="S18" s="8">
        <f>IF(March[After the 14th?]="No",SUMIF(March[SysID],R18,March[Pay Amount]),0)+IF(Feb[After the 14th?]="Yes",SUMIF(Feb[SysID],R18,Feb[Pay Amount]),0)</f>
        <v>0</v>
      </c>
      <c r="T18" s="8"/>
      <c r="U18" s="5" t="str">
        <f t="shared" si="2"/>
        <v>N</v>
      </c>
      <c r="X18" s="56"/>
      <c r="Y18" s="56"/>
      <c r="Z18" s="56"/>
      <c r="AA18" s="56"/>
      <c r="AC18" s="56"/>
    </row>
    <row r="19" spans="1:29" x14ac:dyDescent="0.25">
      <c r="A19" s="35"/>
      <c r="B19" s="5" t="e">
        <f>VLOOKUP(A19,Relay!$A$1:$B$50,2,FALSE)</f>
        <v>#N/A</v>
      </c>
      <c r="C19" s="5" t="e">
        <f>VLOOKUP(A19,Relay!$A$2:$C$51,3,FALSE)</f>
        <v>#N/A</v>
      </c>
      <c r="D19" s="39"/>
      <c r="E19" s="35"/>
      <c r="F19" s="35" t="str">
        <f t="shared" si="0"/>
        <v>INS</v>
      </c>
      <c r="G19" s="5" t="e">
        <f>IF(OR(E19="Jeopardy",E19="APP Moonlighting",E19="Differential Pay"),"",March[[#This Row],[SysID]])</f>
        <v>#N/A</v>
      </c>
      <c r="H19" s="5" t="e">
        <f>IF(E19="Jeopardy",IF(C19="MD",Relay!$E$7,Relay!$E$8),IF(C19="MD",IF(COUNTIF(G:G,B19)&gt;1,Relay!$E$2,Relay!$E$1),IF(AND(COUNTIF(G:G,B19)&gt;1,COUNTA(A19)&gt;0),Relay!$E$5,Relay!$E$4)))</f>
        <v>#N/A</v>
      </c>
      <c r="I19" s="8">
        <f t="shared" si="1"/>
        <v>0</v>
      </c>
      <c r="J19" s="35"/>
      <c r="K19" s="35"/>
      <c r="L19" s="35"/>
      <c r="M19" s="35"/>
      <c r="N19" s="10" t="e">
        <f>IF(H19=March!$E$2,"N",IF(AND(COUNTIF(B:B,B19)=1,D19&gt;14),"Y","N"))</f>
        <v>#N/A</v>
      </c>
      <c r="O19" s="55" t="str">
        <f>IF(COUNT(March[[#This Row],[Date]])&gt;0,IF(March[[#This Row],[Date]]&gt;14,"Yes","No"),"N/A")</f>
        <v>N/A</v>
      </c>
      <c r="P19" s="55"/>
      <c r="Q19" s="5">
        <f>Relay!A18</f>
        <v>0</v>
      </c>
      <c r="R19" s="5">
        <f>Relay!B18</f>
        <v>17</v>
      </c>
      <c r="S19" s="8">
        <f>IF(March[After the 14th?]="No",SUMIF(March[SysID],R19,March[Pay Amount]),0)+IF(Feb[After the 14th?]="Yes",SUMIF(Feb[SysID],R19,Feb[Pay Amount]),0)</f>
        <v>0</v>
      </c>
      <c r="T19" s="8"/>
      <c r="U19" s="5" t="str">
        <f t="shared" si="2"/>
        <v>N</v>
      </c>
      <c r="X19" s="56"/>
      <c r="Y19" s="56"/>
      <c r="Z19" s="56"/>
      <c r="AA19" s="56"/>
      <c r="AC19" s="56"/>
    </row>
    <row r="20" spans="1:29" x14ac:dyDescent="0.25">
      <c r="A20" s="35"/>
      <c r="B20" s="5" t="e">
        <f>VLOOKUP(A20,Relay!$A$1:$B$50,2,FALSE)</f>
        <v>#N/A</v>
      </c>
      <c r="C20" s="5" t="e">
        <f>VLOOKUP(A20,Relay!$A$2:$C$51,3,FALSE)</f>
        <v>#N/A</v>
      </c>
      <c r="D20" s="39"/>
      <c r="E20" s="35"/>
      <c r="F20" s="35" t="str">
        <f t="shared" si="0"/>
        <v>INS</v>
      </c>
      <c r="G20" s="5" t="e">
        <f>IF(OR(E20="Jeopardy",E20="APP Moonlighting",E20="Differential Pay"),"",March[[#This Row],[SysID]])</f>
        <v>#N/A</v>
      </c>
      <c r="H20" s="5" t="e">
        <f>IF(E20="Jeopardy",IF(C20="MD",Relay!$E$7,Relay!$E$8),IF(C20="MD",IF(COUNTIF(G:G,B20)&gt;1,Relay!$E$2,Relay!$E$1),IF(AND(COUNTIF(G:G,B20)&gt;1,COUNTA(A20)&gt;0),Relay!$E$5,Relay!$E$4)))</f>
        <v>#N/A</v>
      </c>
      <c r="I20" s="8">
        <f t="shared" si="1"/>
        <v>0</v>
      </c>
      <c r="J20" s="35"/>
      <c r="K20" s="35"/>
      <c r="L20" s="35"/>
      <c r="M20" s="35"/>
      <c r="N20" s="10" t="e">
        <f>IF(H20=March!$E$2,"N",IF(AND(COUNTIF(B:B,B20)=1,D20&gt;14),"Y","N"))</f>
        <v>#N/A</v>
      </c>
      <c r="O20" s="55" t="str">
        <f>IF(COUNT(March[[#This Row],[Date]])&gt;0,IF(March[[#This Row],[Date]]&gt;14,"Yes","No"),"N/A")</f>
        <v>N/A</v>
      </c>
      <c r="P20" s="55"/>
      <c r="Q20" s="5">
        <f>Relay!A19</f>
        <v>0</v>
      </c>
      <c r="R20" s="5">
        <f>Relay!B19</f>
        <v>18</v>
      </c>
      <c r="S20" s="8">
        <f>IF(March[After the 14th?]="No",SUMIF(March[SysID],R20,March[Pay Amount]),0)+IF(Feb[After the 14th?]="Yes",SUMIF(Feb[SysID],R20,Feb[Pay Amount]),0)</f>
        <v>0</v>
      </c>
      <c r="T20" s="8"/>
      <c r="U20" s="5" t="str">
        <f t="shared" si="2"/>
        <v>N</v>
      </c>
      <c r="X20" s="56"/>
      <c r="Y20" s="56"/>
      <c r="Z20" s="56"/>
      <c r="AA20" s="56"/>
      <c r="AC20" s="56"/>
    </row>
    <row r="21" spans="1:29" x14ac:dyDescent="0.25">
      <c r="A21" s="35"/>
      <c r="B21" s="5" t="e">
        <f>VLOOKUP(A21,Relay!$A$1:$B$50,2,FALSE)</f>
        <v>#N/A</v>
      </c>
      <c r="C21" s="5" t="e">
        <f>VLOOKUP(A21,Relay!$A$2:$C$51,3,FALSE)</f>
        <v>#N/A</v>
      </c>
      <c r="D21" s="39"/>
      <c r="E21" s="35"/>
      <c r="F21" s="35" t="str">
        <f t="shared" si="0"/>
        <v>INS</v>
      </c>
      <c r="G21" s="5" t="e">
        <f>IF(OR(E21="Jeopardy",E21="APP Moonlighting",E21="Differential Pay"),"",March[[#This Row],[SysID]])</f>
        <v>#N/A</v>
      </c>
      <c r="H21" s="5" t="e">
        <f>IF(E21="Jeopardy",IF(C21="MD",Relay!$E$7,Relay!$E$8),IF(C21="MD",IF(COUNTIF(G:G,B21)&gt;1,Relay!$E$2,Relay!$E$1),IF(AND(COUNTIF(G:G,B21)&gt;1,COUNTA(A21)&gt;0),Relay!$E$5,Relay!$E$4)))</f>
        <v>#N/A</v>
      </c>
      <c r="I21" s="8">
        <f t="shared" si="1"/>
        <v>0</v>
      </c>
      <c r="J21" s="35"/>
      <c r="K21" s="35"/>
      <c r="L21" s="35"/>
      <c r="M21" s="35"/>
      <c r="N21" s="10" t="e">
        <f>IF(H21=March!$E$2,"N",IF(AND(COUNTIF(B:B,B21)=1,D21&gt;14),"Y","N"))</f>
        <v>#N/A</v>
      </c>
      <c r="O21" s="55" t="str">
        <f>IF(COUNT(March[[#This Row],[Date]])&gt;0,IF(March[[#This Row],[Date]]&gt;14,"Yes","No"),"N/A")</f>
        <v>N/A</v>
      </c>
      <c r="P21" s="55"/>
      <c r="Q21" s="5">
        <f>Relay!A20</f>
        <v>0</v>
      </c>
      <c r="R21" s="5">
        <f>Relay!B20</f>
        <v>19</v>
      </c>
      <c r="S21" s="8">
        <f>IF(March[After the 14th?]="No",SUMIF(March[SysID],R21,March[Pay Amount]),0)+IF(Feb[After the 14th?]="Yes",SUMIF(Feb[SysID],R21,Feb[Pay Amount]),0)</f>
        <v>0</v>
      </c>
      <c r="T21" s="8"/>
      <c r="U21" s="5" t="str">
        <f t="shared" si="2"/>
        <v>N</v>
      </c>
      <c r="X21" s="56"/>
      <c r="Y21" s="56"/>
      <c r="Z21" s="56"/>
      <c r="AA21" s="56"/>
      <c r="AC21" s="56"/>
    </row>
    <row r="22" spans="1:29" x14ac:dyDescent="0.25">
      <c r="A22" s="35"/>
      <c r="B22" s="5" t="e">
        <f>VLOOKUP(A22,Relay!$A$1:$B$50,2,FALSE)</f>
        <v>#N/A</v>
      </c>
      <c r="C22" s="5" t="e">
        <f>VLOOKUP(A22,Relay!$A$2:$C$51,3,FALSE)</f>
        <v>#N/A</v>
      </c>
      <c r="D22" s="39"/>
      <c r="E22" s="35"/>
      <c r="F22" s="35" t="str">
        <f t="shared" si="0"/>
        <v>INS</v>
      </c>
      <c r="G22" s="5" t="e">
        <f>IF(OR(E22="Jeopardy",E22="APP Moonlighting",E22="Differential Pay"),"",March[[#This Row],[SysID]])</f>
        <v>#N/A</v>
      </c>
      <c r="H22" s="5" t="e">
        <f>IF(E22="Jeopardy",IF(C22="MD",Relay!$E$7,Relay!$E$8),IF(C22="MD",IF(COUNTIF(G:G,B22)&gt;1,Relay!$E$2,Relay!$E$1),IF(AND(COUNTIF(G:G,B22)&gt;1,COUNTA(A22)&gt;0),Relay!$E$5,Relay!$E$4)))</f>
        <v>#N/A</v>
      </c>
      <c r="I22" s="8">
        <f t="shared" si="1"/>
        <v>0</v>
      </c>
      <c r="J22" s="35"/>
      <c r="K22" s="35"/>
      <c r="L22" s="35"/>
      <c r="M22" s="35"/>
      <c r="N22" s="10" t="e">
        <f>IF(H22=March!$E$2,"N",IF(AND(COUNTIF(B:B,B22)=1,D22&gt;14),"Y","N"))</f>
        <v>#N/A</v>
      </c>
      <c r="O22" s="55" t="str">
        <f>IF(COUNT(March[[#This Row],[Date]])&gt;0,IF(March[[#This Row],[Date]]&gt;14,"Yes","No"),"N/A")</f>
        <v>N/A</v>
      </c>
      <c r="P22" s="55"/>
      <c r="Q22" s="5">
        <f>Relay!A21</f>
        <v>0</v>
      </c>
      <c r="R22" s="5">
        <f>Relay!B21</f>
        <v>20</v>
      </c>
      <c r="S22" s="8">
        <f>IF(March[After the 14th?]="No",SUMIF(March[SysID],R22,March[Pay Amount]),0)+IF(Feb[After the 14th?]="Yes",SUMIF(Feb[SysID],R22,Feb[Pay Amount]),0)</f>
        <v>0</v>
      </c>
      <c r="T22" s="8"/>
      <c r="U22" s="5" t="str">
        <f t="shared" si="2"/>
        <v>N</v>
      </c>
      <c r="X22" s="56"/>
      <c r="Y22" s="56"/>
      <c r="Z22" s="56"/>
      <c r="AA22" s="56"/>
      <c r="AC22" s="56"/>
    </row>
    <row r="23" spans="1:29" x14ac:dyDescent="0.25">
      <c r="A23" s="35"/>
      <c r="B23" s="5" t="e">
        <f>VLOOKUP(A23,Relay!$A$1:$B$50,2,FALSE)</f>
        <v>#N/A</v>
      </c>
      <c r="C23" s="5" t="e">
        <f>VLOOKUP(A23,Relay!$A$2:$C$51,3,FALSE)</f>
        <v>#N/A</v>
      </c>
      <c r="D23" s="39"/>
      <c r="E23" s="35"/>
      <c r="F23" s="35" t="str">
        <f t="shared" si="0"/>
        <v>INS</v>
      </c>
      <c r="G23" s="5" t="e">
        <f>IF(OR(E23="Jeopardy",E23="APP Moonlighting",E23="Differential Pay"),"",March[[#This Row],[SysID]])</f>
        <v>#N/A</v>
      </c>
      <c r="H23" s="5" t="e">
        <f>IF(E23="Jeopardy",IF(C23="MD",Relay!$E$7,Relay!$E$8),IF(C23="MD",IF(COUNTIF(G:G,B23)&gt;1,Relay!$E$2,Relay!$E$1),IF(AND(COUNTIF(G:G,B23)&gt;1,COUNTA(A23)&gt;0),Relay!$E$5,Relay!$E$4)))</f>
        <v>#N/A</v>
      </c>
      <c r="I23" s="8">
        <f t="shared" si="1"/>
        <v>0</v>
      </c>
      <c r="J23" s="35"/>
      <c r="K23" s="35"/>
      <c r="L23" s="35"/>
      <c r="M23" s="35"/>
      <c r="N23" s="10" t="e">
        <f>IF(H23=March!$E$2,"N",IF(AND(COUNTIF(B:B,B23)=1,D23&gt;14),"Y","N"))</f>
        <v>#N/A</v>
      </c>
      <c r="O23" s="55" t="str">
        <f>IF(COUNT(March[[#This Row],[Date]])&gt;0,IF(March[[#This Row],[Date]]&gt;14,"Yes","No"),"N/A")</f>
        <v>N/A</v>
      </c>
      <c r="P23" s="55"/>
      <c r="Q23" s="5">
        <f>Relay!A22</f>
        <v>0</v>
      </c>
      <c r="R23" s="5">
        <f>Relay!B22</f>
        <v>21</v>
      </c>
      <c r="S23" s="8">
        <f>IF(March[After the 14th?]="No",SUMIF(March[SysID],R23,March[Pay Amount]),0)+IF(Feb[After the 14th?]="Yes",SUMIF(Feb[SysID],R23,Feb[Pay Amount]),0)</f>
        <v>0</v>
      </c>
      <c r="T23" s="8"/>
      <c r="U23" s="5" t="str">
        <f t="shared" si="2"/>
        <v>N</v>
      </c>
      <c r="X23" s="56"/>
      <c r="Y23" s="56"/>
      <c r="Z23" s="56"/>
      <c r="AA23" s="56"/>
      <c r="AC23" s="56"/>
    </row>
    <row r="24" spans="1:29" x14ac:dyDescent="0.25">
      <c r="A24" s="35"/>
      <c r="B24" s="5" t="e">
        <f>VLOOKUP(A24,Relay!$A$1:$B$50,2,FALSE)</f>
        <v>#N/A</v>
      </c>
      <c r="C24" s="5" t="e">
        <f>VLOOKUP(A24,Relay!$A$2:$C$51,3,FALSE)</f>
        <v>#N/A</v>
      </c>
      <c r="D24" s="39"/>
      <c r="E24" s="35"/>
      <c r="F24" s="35" t="str">
        <f t="shared" si="0"/>
        <v>INS</v>
      </c>
      <c r="G24" s="5" t="e">
        <f>IF(OR(E24="Jeopardy",E24="APP Moonlighting",E24="Differential Pay"),"",March[[#This Row],[SysID]])</f>
        <v>#N/A</v>
      </c>
      <c r="H24" s="5" t="e">
        <f>IF(E24="Jeopardy",IF(C24="MD",Relay!$E$7,Relay!$E$8),IF(C24="MD",IF(COUNTIF(G:G,B24)&gt;1,Relay!$E$2,Relay!$E$1),IF(AND(COUNTIF(G:G,B24)&gt;1,COUNTA(A24)&gt;0),Relay!$E$5,Relay!$E$4)))</f>
        <v>#N/A</v>
      </c>
      <c r="I24" s="8">
        <f t="shared" si="1"/>
        <v>0</v>
      </c>
      <c r="J24" s="35"/>
      <c r="K24" s="35"/>
      <c r="L24" s="35"/>
      <c r="M24" s="35"/>
      <c r="N24" s="10" t="e">
        <f>IF(H24=March!$E$2,"N",IF(AND(COUNTIF(B:B,B24)=1,D24&gt;14),"Y","N"))</f>
        <v>#N/A</v>
      </c>
      <c r="O24" s="55" t="str">
        <f>IF(COUNT(March[[#This Row],[Date]])&gt;0,IF(March[[#This Row],[Date]]&gt;14,"Yes","No"),"N/A")</f>
        <v>N/A</v>
      </c>
      <c r="P24" s="55"/>
      <c r="Q24" s="5">
        <f>Relay!A23</f>
        <v>0</v>
      </c>
      <c r="R24" s="5">
        <f>Relay!B23</f>
        <v>22</v>
      </c>
      <c r="S24" s="8">
        <f>IF(March[After the 14th?]="No",SUMIF(March[SysID],R24,March[Pay Amount]),0)+IF(Feb[After the 14th?]="Yes",SUMIF(Feb[SysID],R24,Feb[Pay Amount]),0)</f>
        <v>0</v>
      </c>
      <c r="T24" s="8"/>
      <c r="U24" s="5" t="str">
        <f t="shared" si="2"/>
        <v>N</v>
      </c>
      <c r="X24" s="56"/>
      <c r="Y24" s="56"/>
      <c r="Z24" s="56"/>
      <c r="AA24" s="56"/>
      <c r="AC24" s="56"/>
    </row>
    <row r="25" spans="1:29" x14ac:dyDescent="0.25">
      <c r="A25" s="35"/>
      <c r="B25" s="5" t="e">
        <f>VLOOKUP(A25,Relay!$A$1:$B$50,2,FALSE)</f>
        <v>#N/A</v>
      </c>
      <c r="C25" s="5" t="e">
        <f>VLOOKUP(A25,Relay!$A$2:$C$51,3,FALSE)</f>
        <v>#N/A</v>
      </c>
      <c r="D25" s="39"/>
      <c r="E25" s="35"/>
      <c r="F25" s="35" t="str">
        <f t="shared" si="0"/>
        <v>INS</v>
      </c>
      <c r="G25" s="5" t="e">
        <f>IF(OR(E25="Jeopardy",E25="APP Moonlighting",E25="Differential Pay"),"",March[[#This Row],[SysID]])</f>
        <v>#N/A</v>
      </c>
      <c r="H25" s="5" t="e">
        <f>IF(E25="Jeopardy",IF(C25="MD",Relay!$E$7,Relay!$E$8),IF(C25="MD",IF(COUNTIF(G:G,B25)&gt;1,Relay!$E$2,Relay!$E$1),IF(AND(COUNTIF(G:G,B25)&gt;1,COUNTA(A25)&gt;0),Relay!$E$5,Relay!$E$4)))</f>
        <v>#N/A</v>
      </c>
      <c r="I25" s="8">
        <f t="shared" si="1"/>
        <v>0</v>
      </c>
      <c r="J25" s="35"/>
      <c r="K25" s="35"/>
      <c r="L25" s="35"/>
      <c r="M25" s="35"/>
      <c r="N25" s="10" t="e">
        <f>IF(H25=March!$E$2,"N",IF(AND(COUNTIF(B:B,B25)=1,D25&gt;14),"Y","N"))</f>
        <v>#N/A</v>
      </c>
      <c r="O25" s="55" t="str">
        <f>IF(COUNT(March[[#This Row],[Date]])&gt;0,IF(March[[#This Row],[Date]]&gt;14,"Yes","No"),"N/A")</f>
        <v>N/A</v>
      </c>
      <c r="P25" s="55"/>
      <c r="Q25" s="5">
        <f>Relay!A24</f>
        <v>0</v>
      </c>
      <c r="R25" s="5">
        <f>Relay!B24</f>
        <v>23</v>
      </c>
      <c r="S25" s="8">
        <f>IF(March[After the 14th?]="No",SUMIF(March[SysID],R25,March[Pay Amount]),0)+IF(Feb[After the 14th?]="Yes",SUMIF(Feb[SysID],R25,Feb[Pay Amount]),0)</f>
        <v>0</v>
      </c>
      <c r="T25" s="8"/>
      <c r="U25" s="5" t="str">
        <f t="shared" si="2"/>
        <v>N</v>
      </c>
      <c r="X25" s="56"/>
      <c r="Y25" s="56"/>
      <c r="Z25" s="56"/>
      <c r="AA25" s="56"/>
      <c r="AC25" s="56"/>
    </row>
    <row r="26" spans="1:29" x14ac:dyDescent="0.25">
      <c r="A26" s="35"/>
      <c r="B26" s="5" t="e">
        <f>VLOOKUP(A26,Relay!$A$1:$B$50,2,FALSE)</f>
        <v>#N/A</v>
      </c>
      <c r="C26" s="5" t="e">
        <f>VLOOKUP(A26,Relay!$A$2:$C$51,3,FALSE)</f>
        <v>#N/A</v>
      </c>
      <c r="D26" s="39"/>
      <c r="E26" s="35"/>
      <c r="F26" s="35" t="str">
        <f t="shared" si="0"/>
        <v>INS</v>
      </c>
      <c r="G26" s="5" t="e">
        <f>IF(OR(E26="Jeopardy",E26="APP Moonlighting",E26="Differential Pay"),"",March[[#This Row],[SysID]])</f>
        <v>#N/A</v>
      </c>
      <c r="H26" s="5" t="e">
        <f>IF(E26="Jeopardy",IF(C26="MD",Relay!$E$7,Relay!$E$8),IF(C26="MD",IF(COUNTIF(G:G,B26)&gt;1,Relay!$E$2,Relay!$E$1),IF(AND(COUNTIF(G:G,B26)&gt;1,COUNTA(A26)&gt;0),Relay!$E$5,Relay!$E$4)))</f>
        <v>#N/A</v>
      </c>
      <c r="I26" s="8">
        <f t="shared" si="1"/>
        <v>0</v>
      </c>
      <c r="J26" s="35"/>
      <c r="K26" s="35"/>
      <c r="L26" s="35"/>
      <c r="M26" s="35"/>
      <c r="N26" s="10" t="e">
        <f>IF(H26=March!$E$2,"N",IF(AND(COUNTIF(B:B,B26)=1,D26&gt;14),"Y","N"))</f>
        <v>#N/A</v>
      </c>
      <c r="O26" s="55" t="str">
        <f>IF(COUNT(March[[#This Row],[Date]])&gt;0,IF(March[[#This Row],[Date]]&gt;14,"Yes","No"),"N/A")</f>
        <v>N/A</v>
      </c>
      <c r="P26" s="55"/>
      <c r="Q26" s="5">
        <f>Relay!A25</f>
        <v>0</v>
      </c>
      <c r="R26" s="5">
        <f>Relay!B25</f>
        <v>24</v>
      </c>
      <c r="S26" s="8">
        <f>IF(March[After the 14th?]="No",SUMIF(March[SysID],R26,March[Pay Amount]),0)+IF(Feb[After the 14th?]="Yes",SUMIF(Feb[SysID],R26,Feb[Pay Amount]),0)</f>
        <v>0</v>
      </c>
      <c r="T26" s="8"/>
      <c r="U26" s="5" t="str">
        <f t="shared" si="2"/>
        <v>N</v>
      </c>
      <c r="X26" s="56"/>
      <c r="Y26" s="56"/>
      <c r="Z26" s="56"/>
      <c r="AA26" s="56"/>
      <c r="AC26" s="56"/>
    </row>
    <row r="27" spans="1:29" x14ac:dyDescent="0.25">
      <c r="A27" s="35"/>
      <c r="B27" s="5" t="e">
        <f>VLOOKUP(A27,Relay!$A$1:$B$50,2,FALSE)</f>
        <v>#N/A</v>
      </c>
      <c r="C27" s="5" t="e">
        <f>VLOOKUP(A27,Relay!$A$2:$C$51,3,FALSE)</f>
        <v>#N/A</v>
      </c>
      <c r="D27" s="39"/>
      <c r="E27" s="35"/>
      <c r="F27" s="35" t="str">
        <f t="shared" si="0"/>
        <v>INS</v>
      </c>
      <c r="G27" s="5" t="e">
        <f>IF(OR(E27="Jeopardy",E27="APP Moonlighting",E27="Differential Pay"),"",March[[#This Row],[SysID]])</f>
        <v>#N/A</v>
      </c>
      <c r="H27" s="5" t="e">
        <f>IF(E27="Jeopardy",IF(C27="MD",Relay!$E$7,Relay!$E$8),IF(C27="MD",IF(COUNTIF(G:G,B27)&gt;1,Relay!$E$2,Relay!$E$1),IF(AND(COUNTIF(G:G,B27)&gt;1,COUNTA(A27)&gt;0),Relay!$E$5,Relay!$E$4)))</f>
        <v>#N/A</v>
      </c>
      <c r="I27" s="8">
        <f t="shared" si="1"/>
        <v>0</v>
      </c>
      <c r="J27" s="35"/>
      <c r="K27" s="35"/>
      <c r="L27" s="35"/>
      <c r="M27" s="35"/>
      <c r="N27" s="10" t="e">
        <f>IF(H27=March!$E$2,"N",IF(AND(COUNTIF(B:B,B27)=1,D27&gt;14),"Y","N"))</f>
        <v>#N/A</v>
      </c>
      <c r="O27" s="55" t="str">
        <f>IF(COUNT(March[[#This Row],[Date]])&gt;0,IF(March[[#This Row],[Date]]&gt;14,"Yes","No"),"N/A")</f>
        <v>N/A</v>
      </c>
      <c r="P27" s="55"/>
      <c r="Q27" s="5">
        <f>Relay!A26</f>
        <v>0</v>
      </c>
      <c r="R27" s="5">
        <f>Relay!B26</f>
        <v>25</v>
      </c>
      <c r="S27" s="8">
        <f>IF(March[After the 14th?]="No",SUMIF(March[SysID],R27,March[Pay Amount]),0)+IF(Feb[After the 14th?]="Yes",SUMIF(Feb[SysID],R27,Feb[Pay Amount]),0)</f>
        <v>0</v>
      </c>
      <c r="T27" s="8"/>
      <c r="U27" s="5" t="str">
        <f t="shared" si="2"/>
        <v>N</v>
      </c>
      <c r="X27" s="56"/>
      <c r="Y27" s="56"/>
      <c r="Z27" s="56"/>
      <c r="AA27" s="56"/>
      <c r="AC27" s="56"/>
    </row>
    <row r="28" spans="1:29" x14ac:dyDescent="0.25">
      <c r="A28" s="35"/>
      <c r="B28" s="5" t="e">
        <f>VLOOKUP(A28,Relay!$A$1:$B$50,2,FALSE)</f>
        <v>#N/A</v>
      </c>
      <c r="C28" s="5" t="e">
        <f>VLOOKUP(A28,Relay!$A$2:$C$51,3,FALSE)</f>
        <v>#N/A</v>
      </c>
      <c r="D28" s="39"/>
      <c r="E28" s="35"/>
      <c r="F28" s="35" t="str">
        <f t="shared" si="0"/>
        <v>INS</v>
      </c>
      <c r="G28" s="5" t="e">
        <f>IF(OR(E28="Jeopardy",E28="APP Moonlighting",E28="Differential Pay"),"",March[[#This Row],[SysID]])</f>
        <v>#N/A</v>
      </c>
      <c r="H28" s="5" t="e">
        <f>IF(E28="Jeopardy",IF(C28="MD",Relay!$E$7,Relay!$E$8),IF(C28="MD",IF(COUNTIF(G:G,B28)&gt;1,Relay!$E$2,Relay!$E$1),IF(AND(COUNTIF(G:G,B28)&gt;1,COUNTA(A28)&gt;0),Relay!$E$5,Relay!$E$4)))</f>
        <v>#N/A</v>
      </c>
      <c r="I28" s="8">
        <f t="shared" si="1"/>
        <v>0</v>
      </c>
      <c r="J28" s="35"/>
      <c r="K28" s="35"/>
      <c r="L28" s="35"/>
      <c r="M28" s="35"/>
      <c r="N28" s="10" t="e">
        <f>IF(H28=March!$E$2,"N",IF(AND(COUNTIF(B:B,B28)=1,D28&gt;14),"Y","N"))</f>
        <v>#N/A</v>
      </c>
      <c r="O28" s="55" t="str">
        <f>IF(COUNT(March[[#This Row],[Date]])&gt;0,IF(March[[#This Row],[Date]]&gt;14,"Yes","No"),"N/A")</f>
        <v>N/A</v>
      </c>
      <c r="P28" s="55"/>
      <c r="Q28" s="5">
        <f>Relay!A27</f>
        <v>0</v>
      </c>
      <c r="R28" s="5">
        <f>Relay!B27</f>
        <v>26</v>
      </c>
      <c r="S28" s="8">
        <f>IF(March[After the 14th?]="No",SUMIF(March[SysID],R28,March[Pay Amount]),0)+IF(Feb[After the 14th?]="Yes",SUMIF(Feb[SysID],R28,Feb[Pay Amount]),0)</f>
        <v>0</v>
      </c>
      <c r="T28" s="8"/>
      <c r="U28" s="5" t="str">
        <f t="shared" si="2"/>
        <v>N</v>
      </c>
      <c r="X28" s="56"/>
      <c r="Y28" s="56"/>
      <c r="Z28" s="56"/>
      <c r="AA28" s="56"/>
      <c r="AC28" s="56"/>
    </row>
    <row r="29" spans="1:29" x14ac:dyDescent="0.25">
      <c r="A29" s="35"/>
      <c r="B29" s="5" t="e">
        <f>VLOOKUP(A29,Relay!$A$1:$B$50,2,FALSE)</f>
        <v>#N/A</v>
      </c>
      <c r="C29" s="5" t="e">
        <f>VLOOKUP(A29,Relay!$A$2:$C$51,3,FALSE)</f>
        <v>#N/A</v>
      </c>
      <c r="D29" s="39"/>
      <c r="E29" s="35"/>
      <c r="F29" s="35" t="str">
        <f t="shared" si="0"/>
        <v>INS</v>
      </c>
      <c r="G29" s="5" t="e">
        <f>IF(OR(E29="Jeopardy",E29="APP Moonlighting",E29="Differential Pay"),"",March[[#This Row],[SysID]])</f>
        <v>#N/A</v>
      </c>
      <c r="H29" s="5" t="e">
        <f>IF(E29="Jeopardy",IF(C29="MD",Relay!$E$7,Relay!$E$8),IF(C29="MD",IF(COUNTIF(G:G,B29)&gt;1,Relay!$E$2,Relay!$E$1),IF(AND(COUNTIF(G:G,B29)&gt;1,COUNTA(A29)&gt;0),Relay!$E$5,Relay!$E$4)))</f>
        <v>#N/A</v>
      </c>
      <c r="I29" s="8">
        <f t="shared" si="1"/>
        <v>0</v>
      </c>
      <c r="J29" s="35"/>
      <c r="K29" s="35"/>
      <c r="L29" s="35"/>
      <c r="M29" s="35"/>
      <c r="N29" s="10" t="e">
        <f>IF(H29=March!$E$2,"N",IF(AND(COUNTIF(B:B,B29)=1,D29&gt;14),"Y","N"))</f>
        <v>#N/A</v>
      </c>
      <c r="O29" s="55" t="str">
        <f>IF(COUNT(March[[#This Row],[Date]])&gt;0,IF(March[[#This Row],[Date]]&gt;14,"Yes","No"),"N/A")</f>
        <v>N/A</v>
      </c>
      <c r="P29" s="55"/>
      <c r="Q29" s="5">
        <f>Relay!A28</f>
        <v>0</v>
      </c>
      <c r="R29" s="5">
        <f>Relay!B28</f>
        <v>27</v>
      </c>
      <c r="S29" s="8">
        <f>IF(March[After the 14th?]="No",SUMIF(March[SysID],R29,March[Pay Amount]),0)+IF(Feb[After the 14th?]="Yes",SUMIF(Feb[SysID],R29,Feb[Pay Amount]),0)</f>
        <v>0</v>
      </c>
      <c r="T29" s="8"/>
      <c r="U29" s="5" t="str">
        <f t="shared" si="2"/>
        <v>N</v>
      </c>
      <c r="X29" s="56"/>
      <c r="Y29" s="56"/>
      <c r="Z29" s="56"/>
      <c r="AA29" s="56"/>
      <c r="AC29" s="56"/>
    </row>
    <row r="30" spans="1:29" x14ac:dyDescent="0.25">
      <c r="A30" s="35"/>
      <c r="B30" s="5" t="e">
        <f>VLOOKUP(A30,Relay!$A$1:$B$50,2,FALSE)</f>
        <v>#N/A</v>
      </c>
      <c r="C30" s="5" t="e">
        <f>VLOOKUP(A30,Relay!$A$2:$C$51,3,FALSE)</f>
        <v>#N/A</v>
      </c>
      <c r="D30" s="39"/>
      <c r="E30" s="35"/>
      <c r="F30" s="35" t="str">
        <f t="shared" si="0"/>
        <v>INS</v>
      </c>
      <c r="G30" s="5" t="e">
        <f>IF(OR(E30="Jeopardy",E30="APP Moonlighting",E30="Differential Pay"),"",March[[#This Row],[SysID]])</f>
        <v>#N/A</v>
      </c>
      <c r="H30" s="5" t="e">
        <f>IF(E30="Jeopardy",IF(C30="MD",Relay!$E$7,Relay!$E$8),IF(C30="MD",IF(COUNTIF(G:G,B30)&gt;1,Relay!$E$2,Relay!$E$1),IF(AND(COUNTIF(G:G,B30)&gt;1,COUNTA(A30)&gt;0),Relay!$E$5,Relay!$E$4)))</f>
        <v>#N/A</v>
      </c>
      <c r="I30" s="8">
        <f t="shared" si="1"/>
        <v>0</v>
      </c>
      <c r="J30" s="35"/>
      <c r="K30" s="35"/>
      <c r="L30" s="35"/>
      <c r="M30" s="35"/>
      <c r="N30" s="10" t="e">
        <f>IF(H30=March!$E$2,"N",IF(AND(COUNTIF(B:B,B30)=1,D30&gt;14),"Y","N"))</f>
        <v>#N/A</v>
      </c>
      <c r="O30" s="55" t="str">
        <f>IF(COUNT(March[[#This Row],[Date]])&gt;0,IF(March[[#This Row],[Date]]&gt;14,"Yes","No"),"N/A")</f>
        <v>N/A</v>
      </c>
      <c r="P30" s="55"/>
      <c r="Q30" s="5">
        <f>Relay!A29</f>
        <v>0</v>
      </c>
      <c r="R30" s="5">
        <f>Relay!B29</f>
        <v>28</v>
      </c>
      <c r="S30" s="8">
        <f>IF(March[After the 14th?]="No",SUMIF(March[SysID],R30,March[Pay Amount]),0)+IF(Feb[After the 14th?]="Yes",SUMIF(Feb[SysID],R30,Feb[Pay Amount]),0)</f>
        <v>0</v>
      </c>
      <c r="T30" s="8"/>
      <c r="U30" s="5" t="str">
        <f t="shared" si="2"/>
        <v>N</v>
      </c>
      <c r="X30" s="56"/>
      <c r="Y30" s="56"/>
      <c r="Z30" s="56"/>
      <c r="AA30" s="56"/>
      <c r="AC30" s="56"/>
    </row>
    <row r="31" spans="1:29" x14ac:dyDescent="0.25">
      <c r="A31" s="35"/>
      <c r="B31" s="5" t="e">
        <f>VLOOKUP(A31,Relay!$A$1:$B$50,2,FALSE)</f>
        <v>#N/A</v>
      </c>
      <c r="C31" s="5" t="e">
        <f>VLOOKUP(A31,Relay!$A$2:$C$51,3,FALSE)</f>
        <v>#N/A</v>
      </c>
      <c r="D31" s="39"/>
      <c r="E31" s="35"/>
      <c r="F31" s="35" t="str">
        <f t="shared" si="0"/>
        <v>INS</v>
      </c>
      <c r="G31" s="5" t="e">
        <f>IF(OR(E31="Jeopardy",E31="APP Moonlighting",E31="Differential Pay"),"",March[[#This Row],[SysID]])</f>
        <v>#N/A</v>
      </c>
      <c r="H31" s="5" t="e">
        <f>IF(E31="Jeopardy",IF(C31="MD",Relay!$E$7,Relay!$E$8),IF(C31="MD",IF(COUNTIF(G:G,B31)&gt;1,Relay!$E$2,Relay!$E$1),IF(AND(COUNTIF(G:G,B31)&gt;1,COUNTA(A31)&gt;0),Relay!$E$5,Relay!$E$4)))</f>
        <v>#N/A</v>
      </c>
      <c r="I31" s="8">
        <f t="shared" si="1"/>
        <v>0</v>
      </c>
      <c r="J31" s="35"/>
      <c r="K31" s="35"/>
      <c r="L31" s="35"/>
      <c r="M31" s="35"/>
      <c r="N31" s="10" t="e">
        <f>IF(H31=March!$E$2,"N",IF(AND(COUNTIF(B:B,B31)=1,D31&gt;14),"Y","N"))</f>
        <v>#N/A</v>
      </c>
      <c r="O31" s="55" t="str">
        <f>IF(COUNT(March[[#This Row],[Date]])&gt;0,IF(March[[#This Row],[Date]]&gt;14,"Yes","No"),"N/A")</f>
        <v>N/A</v>
      </c>
      <c r="P31" s="55"/>
      <c r="Q31" s="5">
        <f>Relay!A30</f>
        <v>0</v>
      </c>
      <c r="R31" s="5">
        <f>Relay!B30</f>
        <v>29</v>
      </c>
      <c r="S31" s="8">
        <f>IF(March[After the 14th?]="No",SUMIF(March[SysID],R31,March[Pay Amount]),0)+IF(Feb[After the 14th?]="Yes",SUMIF(Feb[SysID],R31,Feb[Pay Amount]),0)</f>
        <v>0</v>
      </c>
      <c r="T31" s="8"/>
      <c r="U31" s="5" t="str">
        <f t="shared" si="2"/>
        <v>N</v>
      </c>
      <c r="X31" s="56"/>
      <c r="Y31" s="56"/>
      <c r="Z31" s="56"/>
      <c r="AA31" s="56"/>
      <c r="AC31" s="56"/>
    </row>
    <row r="32" spans="1:29" x14ac:dyDescent="0.25">
      <c r="A32" s="35"/>
      <c r="B32" s="5" t="e">
        <f>VLOOKUP(A32,Relay!$A$1:$B$50,2,FALSE)</f>
        <v>#N/A</v>
      </c>
      <c r="C32" s="5" t="e">
        <f>VLOOKUP(A32,Relay!$A$2:$C$51,3,FALSE)</f>
        <v>#N/A</v>
      </c>
      <c r="D32" s="39"/>
      <c r="E32" s="35"/>
      <c r="F32" s="35" t="str">
        <f t="shared" si="0"/>
        <v>INS</v>
      </c>
      <c r="G32" s="5" t="e">
        <f>IF(OR(E32="Jeopardy",E32="APP Moonlighting",E32="Differential Pay"),"",March[[#This Row],[SysID]])</f>
        <v>#N/A</v>
      </c>
      <c r="H32" s="5" t="e">
        <f>IF(E32="Jeopardy",IF(C32="MD",Relay!$E$7,Relay!$E$8),IF(C32="MD",IF(COUNTIF(G:G,B32)&gt;1,Relay!$E$2,Relay!$E$1),IF(AND(COUNTIF(G:G,B32)&gt;1,COUNTA(A32)&gt;0),Relay!$E$5,Relay!$E$4)))</f>
        <v>#N/A</v>
      </c>
      <c r="I32" s="8">
        <f t="shared" si="1"/>
        <v>0</v>
      </c>
      <c r="J32" s="35"/>
      <c r="K32" s="35"/>
      <c r="L32" s="35"/>
      <c r="M32" s="35"/>
      <c r="N32" s="10" t="e">
        <f>IF(H32=March!$E$2,"N",IF(AND(COUNTIF(B:B,B32)=1,D32&gt;14),"Y","N"))</f>
        <v>#N/A</v>
      </c>
      <c r="O32" s="55" t="str">
        <f>IF(COUNT(March[[#This Row],[Date]])&gt;0,IF(March[[#This Row],[Date]]&gt;14,"Yes","No"),"N/A")</f>
        <v>N/A</v>
      </c>
      <c r="P32" s="55"/>
      <c r="Q32" s="5">
        <f>Relay!A31</f>
        <v>0</v>
      </c>
      <c r="R32" s="5">
        <f>Relay!B31</f>
        <v>30</v>
      </c>
      <c r="S32" s="8">
        <f>IF(March[After the 14th?]="No",SUMIF(March[SysID],R32,March[Pay Amount]),0)+IF(Feb[After the 14th?]="Yes",SUMIF(Feb[SysID],R32,Feb[Pay Amount]),0)</f>
        <v>0</v>
      </c>
      <c r="T32" s="8"/>
      <c r="U32" s="5" t="str">
        <f t="shared" si="2"/>
        <v>N</v>
      </c>
      <c r="X32" s="56"/>
      <c r="Y32" s="56"/>
      <c r="Z32" s="56"/>
      <c r="AA32" s="56"/>
      <c r="AC32" s="56"/>
    </row>
    <row r="33" spans="1:29" x14ac:dyDescent="0.25">
      <c r="A33" s="35"/>
      <c r="B33" s="5" t="e">
        <f>VLOOKUP(A33,Relay!$A$1:$B$50,2,FALSE)</f>
        <v>#N/A</v>
      </c>
      <c r="C33" s="5" t="e">
        <f>VLOOKUP(A33,Relay!$A$2:$C$51,3,FALSE)</f>
        <v>#N/A</v>
      </c>
      <c r="D33" s="39"/>
      <c r="E33" s="35"/>
      <c r="F33" s="35" t="str">
        <f t="shared" si="0"/>
        <v>INS</v>
      </c>
      <c r="G33" s="5" t="e">
        <f>IF(OR(E33="Jeopardy",E33="APP Moonlighting",E33="Differential Pay"),"",March[[#This Row],[SysID]])</f>
        <v>#N/A</v>
      </c>
      <c r="H33" s="5" t="e">
        <f>IF(E33="Jeopardy",IF(C33="MD",Relay!$E$7,Relay!$E$8),IF(C33="MD",IF(COUNTIF(G:G,B33)&gt;1,Relay!$E$2,Relay!$E$1),IF(AND(COUNTIF(G:G,B33)&gt;1,COUNTA(A33)&gt;0),Relay!$E$5,Relay!$E$4)))</f>
        <v>#N/A</v>
      </c>
      <c r="I33" s="8">
        <f t="shared" si="1"/>
        <v>0</v>
      </c>
      <c r="J33" s="35"/>
      <c r="K33" s="35"/>
      <c r="L33" s="35"/>
      <c r="M33" s="35"/>
      <c r="N33" s="10" t="e">
        <f>IF(H33=March!$E$2,"N",IF(AND(COUNTIF(B:B,B33)=1,D33&gt;14),"Y","N"))</f>
        <v>#N/A</v>
      </c>
      <c r="O33" s="55" t="str">
        <f>IF(COUNT(March[[#This Row],[Date]])&gt;0,IF(March[[#This Row],[Date]]&gt;14,"Yes","No"),"N/A")</f>
        <v>N/A</v>
      </c>
      <c r="P33" s="55"/>
      <c r="Q33" s="5">
        <f>Relay!A32</f>
        <v>0</v>
      </c>
      <c r="R33" s="5">
        <f>Relay!B32</f>
        <v>31</v>
      </c>
      <c r="S33" s="8">
        <f>IF(March[After the 14th?]="No",SUMIF(March[SysID],R33,March[Pay Amount]),0)+IF(Feb[After the 14th?]="Yes",SUMIF(Feb[SysID],R33,Feb[Pay Amount]),0)</f>
        <v>0</v>
      </c>
      <c r="T33" s="8"/>
      <c r="U33" s="5" t="str">
        <f t="shared" si="2"/>
        <v>N</v>
      </c>
      <c r="X33" s="56"/>
      <c r="Y33" s="56"/>
      <c r="Z33" s="56"/>
      <c r="AA33" s="56"/>
      <c r="AC33" s="56"/>
    </row>
    <row r="34" spans="1:29" x14ac:dyDescent="0.25">
      <c r="A34" s="35"/>
      <c r="B34" s="5" t="e">
        <f>VLOOKUP(A34,Relay!$A$1:$B$50,2,FALSE)</f>
        <v>#N/A</v>
      </c>
      <c r="C34" s="5" t="e">
        <f>VLOOKUP(A34,Relay!$A$2:$C$51,3,FALSE)</f>
        <v>#N/A</v>
      </c>
      <c r="D34" s="39"/>
      <c r="E34" s="35"/>
      <c r="F34" s="35" t="str">
        <f t="shared" si="0"/>
        <v>INS</v>
      </c>
      <c r="G34" s="5" t="e">
        <f>IF(OR(E34="Jeopardy",E34="APP Moonlighting",E34="Differential Pay"),"",March[[#This Row],[SysID]])</f>
        <v>#N/A</v>
      </c>
      <c r="H34" s="5" t="e">
        <f>IF(E34="Jeopardy",IF(C34="MD",Relay!$E$7,Relay!$E$8),IF(C34="MD",IF(COUNTIF(G:G,B34)&gt;1,Relay!$E$2,Relay!$E$1),IF(AND(COUNTIF(G:G,B34)&gt;1,COUNTA(A34)&gt;0),Relay!$E$5,Relay!$E$4)))</f>
        <v>#N/A</v>
      </c>
      <c r="I34" s="8">
        <f t="shared" si="1"/>
        <v>0</v>
      </c>
      <c r="J34" s="35"/>
      <c r="K34" s="35"/>
      <c r="L34" s="35"/>
      <c r="M34" s="35"/>
      <c r="N34" s="10" t="e">
        <f>IF(H34=March!$E$2,"N",IF(AND(COUNTIF(B:B,B34)=1,D34&gt;14),"Y","N"))</f>
        <v>#N/A</v>
      </c>
      <c r="O34" s="55" t="str">
        <f>IF(COUNT(March[[#This Row],[Date]])&gt;0,IF(March[[#This Row],[Date]]&gt;14,"Yes","No"),"N/A")</f>
        <v>N/A</v>
      </c>
      <c r="P34" s="55"/>
      <c r="Q34" s="5">
        <f>Relay!A33</f>
        <v>0</v>
      </c>
      <c r="R34" s="5">
        <f>Relay!B33</f>
        <v>32</v>
      </c>
      <c r="S34" s="8">
        <f>IF(March[After the 14th?]="No",SUMIF(March[SysID],R34,March[Pay Amount]),0)+IF(Feb[After the 14th?]="Yes",SUMIF(Feb[SysID],R34,Feb[Pay Amount]),0)</f>
        <v>0</v>
      </c>
      <c r="T34" s="8"/>
      <c r="U34" s="5" t="str">
        <f t="shared" si="2"/>
        <v>N</v>
      </c>
      <c r="X34" s="56"/>
      <c r="Y34" s="56"/>
      <c r="Z34" s="56"/>
      <c r="AA34" s="56"/>
      <c r="AC34" s="56"/>
    </row>
    <row r="35" spans="1:29" x14ac:dyDescent="0.25">
      <c r="A35" s="35"/>
      <c r="B35" s="5" t="e">
        <f>VLOOKUP(A35,Relay!$A$1:$B$50,2,FALSE)</f>
        <v>#N/A</v>
      </c>
      <c r="C35" s="5" t="e">
        <f>VLOOKUP(A35,Relay!$A$2:$C$51,3,FALSE)</f>
        <v>#N/A</v>
      </c>
      <c r="D35" s="39"/>
      <c r="E35" s="35"/>
      <c r="F35" s="35" t="str">
        <f t="shared" si="0"/>
        <v>INS</v>
      </c>
      <c r="G35" s="5" t="e">
        <f>IF(OR(E35="Jeopardy",E35="APP Moonlighting",E35="Differential Pay"),"",March[[#This Row],[SysID]])</f>
        <v>#N/A</v>
      </c>
      <c r="H35" s="5" t="e">
        <f>IF(E35="Jeopardy",IF(C35="MD",Relay!$E$7,Relay!$E$8),IF(C35="MD",IF(COUNTIF(G:G,B35)&gt;1,Relay!$E$2,Relay!$E$1),IF(AND(COUNTIF(G:G,B35)&gt;1,COUNTA(A35)&gt;0),Relay!$E$5,Relay!$E$4)))</f>
        <v>#N/A</v>
      </c>
      <c r="I35" s="8">
        <f t="shared" si="1"/>
        <v>0</v>
      </c>
      <c r="J35" s="35"/>
      <c r="K35" s="35"/>
      <c r="L35" s="35"/>
      <c r="M35" s="35"/>
      <c r="N35" s="10" t="e">
        <f>IF(H35=March!$E$2,"N",IF(AND(COUNTIF(B:B,B35)=1,D35&gt;14),"Y","N"))</f>
        <v>#N/A</v>
      </c>
      <c r="O35" s="55" t="str">
        <f>IF(COUNT(March[[#This Row],[Date]])&gt;0,IF(March[[#This Row],[Date]]&gt;14,"Yes","No"),"N/A")</f>
        <v>N/A</v>
      </c>
      <c r="P35" s="55"/>
      <c r="Q35" s="5">
        <f>Relay!A34</f>
        <v>0</v>
      </c>
      <c r="R35" s="5">
        <f>Relay!B34</f>
        <v>33</v>
      </c>
      <c r="S35" s="8">
        <f>IF(March[After the 14th?]="No",SUMIF(March[SysID],R35,March[Pay Amount]),0)+IF(Feb[After the 14th?]="Yes",SUMIF(Feb[SysID],R35,Feb[Pay Amount]),0)</f>
        <v>0</v>
      </c>
      <c r="T35" s="8"/>
      <c r="U35" s="5" t="str">
        <f t="shared" si="2"/>
        <v>N</v>
      </c>
      <c r="X35" s="56"/>
      <c r="Y35" s="56"/>
      <c r="Z35" s="56"/>
      <c r="AA35" s="56"/>
      <c r="AC35" s="56"/>
    </row>
    <row r="36" spans="1:29" x14ac:dyDescent="0.25">
      <c r="A36" s="35"/>
      <c r="B36" s="5" t="e">
        <f>VLOOKUP(A36,Relay!$A$1:$B$50,2,FALSE)</f>
        <v>#N/A</v>
      </c>
      <c r="C36" s="5" t="e">
        <f>VLOOKUP(A36,Relay!$A$2:$C$51,3,FALSE)</f>
        <v>#N/A</v>
      </c>
      <c r="D36" s="39"/>
      <c r="E36" s="35"/>
      <c r="F36" s="35" t="str">
        <f t="shared" si="0"/>
        <v>INS</v>
      </c>
      <c r="G36" s="5" t="e">
        <f>IF(OR(E36="Jeopardy",E36="APP Moonlighting",E36="Differential Pay"),"",March[[#This Row],[SysID]])</f>
        <v>#N/A</v>
      </c>
      <c r="H36" s="5" t="e">
        <f>IF(E36="Jeopardy",IF(C36="MD",Relay!$E$7,Relay!$E$8),IF(C36="MD",IF(COUNTIF(G:G,B36)&gt;1,Relay!$E$2,Relay!$E$1),IF(AND(COUNTIF(G:G,B36)&gt;1,COUNTA(A36)&gt;0),Relay!$E$5,Relay!$E$4)))</f>
        <v>#N/A</v>
      </c>
      <c r="I36" s="8">
        <f t="shared" si="1"/>
        <v>0</v>
      </c>
      <c r="J36" s="35"/>
      <c r="K36" s="35"/>
      <c r="L36" s="35"/>
      <c r="M36" s="35"/>
      <c r="N36" s="10" t="e">
        <f>IF(H36=March!$E$2,"N",IF(AND(COUNTIF(B:B,B36)=1,D36&gt;14),"Y","N"))</f>
        <v>#N/A</v>
      </c>
      <c r="O36" s="55" t="str">
        <f>IF(COUNT(March[[#This Row],[Date]])&gt;0,IF(March[[#This Row],[Date]]&gt;14,"Yes","No"),"N/A")</f>
        <v>N/A</v>
      </c>
      <c r="P36" s="55"/>
      <c r="Q36" s="5">
        <f>Relay!A35</f>
        <v>0</v>
      </c>
      <c r="R36" s="5">
        <f>Relay!B35</f>
        <v>34</v>
      </c>
      <c r="S36" s="8">
        <f>IF(March[After the 14th?]="No",SUMIF(March[SysID],R36,March[Pay Amount]),0)+IF(Feb[After the 14th?]="Yes",SUMIF(Feb[SysID],R36,Feb[Pay Amount]),0)</f>
        <v>0</v>
      </c>
      <c r="T36" s="8"/>
      <c r="U36" s="5" t="str">
        <f t="shared" si="2"/>
        <v>N</v>
      </c>
      <c r="X36" s="56"/>
      <c r="Y36" s="56"/>
      <c r="Z36" s="56"/>
      <c r="AA36" s="56"/>
      <c r="AC36" s="56"/>
    </row>
    <row r="37" spans="1:29" x14ac:dyDescent="0.25">
      <c r="A37" s="35"/>
      <c r="B37" s="5" t="e">
        <f>VLOOKUP(A37,Relay!$A$1:$B$50,2,FALSE)</f>
        <v>#N/A</v>
      </c>
      <c r="C37" s="5" t="e">
        <f>VLOOKUP(A37,Relay!$A$2:$C$51,3,FALSE)</f>
        <v>#N/A</v>
      </c>
      <c r="D37" s="39"/>
      <c r="E37" s="35"/>
      <c r="F37" s="35" t="str">
        <f t="shared" si="0"/>
        <v>INS</v>
      </c>
      <c r="G37" s="5" t="e">
        <f>IF(OR(E37="Jeopardy",E37="APP Moonlighting",E37="Differential Pay"),"",March[[#This Row],[SysID]])</f>
        <v>#N/A</v>
      </c>
      <c r="H37" s="5" t="e">
        <f>IF(E37="Jeopardy",IF(C37="MD",Relay!$E$7,Relay!$E$8),IF(C37="MD",IF(COUNTIF(G:G,B37)&gt;1,Relay!$E$2,Relay!$E$1),IF(AND(COUNTIF(G:G,B37)&gt;1,COUNTA(A37)&gt;0),Relay!$E$5,Relay!$E$4)))</f>
        <v>#N/A</v>
      </c>
      <c r="I37" s="8">
        <f t="shared" si="1"/>
        <v>0</v>
      </c>
      <c r="J37" s="35"/>
      <c r="K37" s="35"/>
      <c r="L37" s="35"/>
      <c r="M37" s="35"/>
      <c r="N37" s="10" t="e">
        <f>IF(H37=March!$E$2,"N",IF(AND(COUNTIF(B:B,B37)=1,D37&gt;14),"Y","N"))</f>
        <v>#N/A</v>
      </c>
      <c r="O37" s="55" t="str">
        <f>IF(COUNT(March[[#This Row],[Date]])&gt;0,IF(March[[#This Row],[Date]]&gt;14,"Yes","No"),"N/A")</f>
        <v>N/A</v>
      </c>
      <c r="P37" s="55"/>
      <c r="Q37" s="5">
        <f>Relay!A36</f>
        <v>0</v>
      </c>
      <c r="R37" s="5">
        <f>Relay!B36</f>
        <v>35</v>
      </c>
      <c r="S37" s="8">
        <f>IF(March[After the 14th?]="No",SUMIF(March[SysID],R37,March[Pay Amount]),0)+IF(Feb[After the 14th?]="Yes",SUMIF(Feb[SysID],R37,Feb[Pay Amount]),0)</f>
        <v>0</v>
      </c>
      <c r="T37" s="8"/>
      <c r="U37" s="5" t="str">
        <f t="shared" si="2"/>
        <v>N</v>
      </c>
      <c r="X37" s="56"/>
      <c r="Y37" s="56"/>
      <c r="Z37" s="56"/>
      <c r="AA37" s="56"/>
      <c r="AC37" s="56"/>
    </row>
    <row r="38" spans="1:29" x14ac:dyDescent="0.25">
      <c r="A38" s="35"/>
      <c r="B38" s="5" t="e">
        <f>VLOOKUP(A38,Relay!$A$1:$B$50,2,FALSE)</f>
        <v>#N/A</v>
      </c>
      <c r="C38" s="5" t="e">
        <f>VLOOKUP(A38,Relay!$A$2:$C$51,3,FALSE)</f>
        <v>#N/A</v>
      </c>
      <c r="D38" s="39"/>
      <c r="E38" s="35"/>
      <c r="F38" s="35" t="str">
        <f t="shared" si="0"/>
        <v>INS</v>
      </c>
      <c r="G38" s="5" t="e">
        <f>IF(OR(E38="Jeopardy",E38="APP Moonlighting",E38="Differential Pay"),"",March[[#This Row],[SysID]])</f>
        <v>#N/A</v>
      </c>
      <c r="H38" s="5" t="e">
        <f>IF(E38="Jeopardy",IF(C38="MD",Relay!$E$7,Relay!$E$8),IF(C38="MD",IF(COUNTIF(G:G,B38)&gt;1,Relay!$E$2,Relay!$E$1),IF(AND(COUNTIF(G:G,B38)&gt;1,COUNTA(A38)&gt;0),Relay!$E$5,Relay!$E$4)))</f>
        <v>#N/A</v>
      </c>
      <c r="I38" s="8">
        <f t="shared" si="1"/>
        <v>0</v>
      </c>
      <c r="J38" s="35"/>
      <c r="K38" s="35"/>
      <c r="L38" s="35"/>
      <c r="M38" s="35"/>
      <c r="N38" s="10" t="e">
        <f>IF(H38=March!$E$2,"N",IF(AND(COUNTIF(B:B,B38)=1,D38&gt;14),"Y","N"))</f>
        <v>#N/A</v>
      </c>
      <c r="O38" s="55" t="str">
        <f>IF(COUNT(March[[#This Row],[Date]])&gt;0,IF(March[[#This Row],[Date]]&gt;14,"Yes","No"),"N/A")</f>
        <v>N/A</v>
      </c>
      <c r="P38" s="55"/>
      <c r="Q38" s="5">
        <f>Relay!A37</f>
        <v>0</v>
      </c>
      <c r="R38" s="5">
        <f>Relay!B37</f>
        <v>36</v>
      </c>
      <c r="S38" s="8">
        <f>IF(March[After the 14th?]="No",SUMIF(March[SysID],R38,March[Pay Amount]),0)+IF(Feb[After the 14th?]="Yes",SUMIF(Feb[SysID],R38,Feb[Pay Amount]),0)</f>
        <v>0</v>
      </c>
      <c r="T38" s="8"/>
      <c r="U38" s="5" t="str">
        <f t="shared" si="2"/>
        <v>N</v>
      </c>
      <c r="X38" s="56"/>
      <c r="Y38" s="56"/>
      <c r="Z38" s="56"/>
      <c r="AA38" s="56"/>
      <c r="AC38" s="56"/>
    </row>
    <row r="39" spans="1:29" x14ac:dyDescent="0.25">
      <c r="A39" s="35"/>
      <c r="B39" s="5" t="e">
        <f>VLOOKUP(A39,Relay!$A$1:$B$50,2,FALSE)</f>
        <v>#N/A</v>
      </c>
      <c r="C39" s="5" t="e">
        <f>VLOOKUP(A39,Relay!$A$2:$C$51,3,FALSE)</f>
        <v>#N/A</v>
      </c>
      <c r="D39" s="39"/>
      <c r="E39" s="35"/>
      <c r="F39" s="35" t="str">
        <f t="shared" si="0"/>
        <v>INS</v>
      </c>
      <c r="G39" s="5" t="e">
        <f>IF(OR(E39="Jeopardy",E39="APP Moonlighting",E39="Differential Pay"),"",March[[#This Row],[SysID]])</f>
        <v>#N/A</v>
      </c>
      <c r="H39" s="5" t="e">
        <f>IF(E39="Jeopardy",IF(C39="MD",Relay!$E$7,Relay!$E$8),IF(C39="MD",IF(COUNTIF(G:G,B39)&gt;1,Relay!$E$2,Relay!$E$1),IF(AND(COUNTIF(G:G,B39)&gt;1,COUNTA(A39)&gt;0),Relay!$E$5,Relay!$E$4)))</f>
        <v>#N/A</v>
      </c>
      <c r="I39" s="8">
        <f t="shared" si="1"/>
        <v>0</v>
      </c>
      <c r="J39" s="35"/>
      <c r="K39" s="35"/>
      <c r="L39" s="35"/>
      <c r="M39" s="35"/>
      <c r="N39" s="10" t="e">
        <f>IF(H39=March!$E$2,"N",IF(AND(COUNTIF(B:B,B39)=1,D39&gt;14),"Y","N"))</f>
        <v>#N/A</v>
      </c>
      <c r="O39" s="55" t="str">
        <f>IF(COUNT(March[[#This Row],[Date]])&gt;0,IF(March[[#This Row],[Date]]&gt;14,"Yes","No"),"N/A")</f>
        <v>N/A</v>
      </c>
      <c r="P39" s="55"/>
      <c r="Q39" s="5">
        <f>Relay!A38</f>
        <v>0</v>
      </c>
      <c r="R39" s="5">
        <f>Relay!B38</f>
        <v>37</v>
      </c>
      <c r="S39" s="8">
        <f>IF(March[After the 14th?]="No",SUMIF(March[SysID],R39,March[Pay Amount]),0)+IF(Feb[After the 14th?]="Yes",SUMIF(Feb[SysID],R39,Feb[Pay Amount]),0)</f>
        <v>0</v>
      </c>
      <c r="T39" s="8"/>
      <c r="U39" s="5" t="str">
        <f t="shared" si="2"/>
        <v>N</v>
      </c>
      <c r="X39" s="56"/>
      <c r="Y39" s="56"/>
      <c r="Z39" s="56"/>
      <c r="AA39" s="56"/>
      <c r="AC39" s="56"/>
    </row>
    <row r="40" spans="1:29" x14ac:dyDescent="0.25">
      <c r="A40" s="35"/>
      <c r="B40" s="5" t="e">
        <f>VLOOKUP(A40,Relay!$A$1:$B$50,2,FALSE)</f>
        <v>#N/A</v>
      </c>
      <c r="C40" s="5" t="e">
        <f>VLOOKUP(A40,Relay!$A$2:$C$51,3,FALSE)</f>
        <v>#N/A</v>
      </c>
      <c r="D40" s="39"/>
      <c r="E40" s="35"/>
      <c r="F40" s="35" t="str">
        <f t="shared" si="0"/>
        <v>INS</v>
      </c>
      <c r="G40" s="5" t="e">
        <f>IF(OR(E40="Jeopardy",E40="APP Moonlighting",E40="Differential Pay"),"",March[[#This Row],[SysID]])</f>
        <v>#N/A</v>
      </c>
      <c r="H40" s="5" t="e">
        <f>IF(E40="Jeopardy",IF(C40="MD",Relay!$E$7,Relay!$E$8),IF(C40="MD",IF(COUNTIF(G:G,B40)&gt;1,Relay!$E$2,Relay!$E$1),IF(AND(COUNTIF(G:G,B40)&gt;1,COUNTA(A40)&gt;0),Relay!$E$5,Relay!$E$4)))</f>
        <v>#N/A</v>
      </c>
      <c r="I40" s="8">
        <f t="shared" si="1"/>
        <v>0</v>
      </c>
      <c r="J40" s="35"/>
      <c r="K40" s="35"/>
      <c r="L40" s="35"/>
      <c r="M40" s="35"/>
      <c r="N40" s="10" t="e">
        <f>IF(H40=March!$E$2,"N",IF(AND(COUNTIF(B:B,B40)=1,D40&gt;14),"Y","N"))</f>
        <v>#N/A</v>
      </c>
      <c r="O40" s="55" t="str">
        <f>IF(COUNT(March[[#This Row],[Date]])&gt;0,IF(March[[#This Row],[Date]]&gt;14,"Yes","No"),"N/A")</f>
        <v>N/A</v>
      </c>
      <c r="P40" s="55"/>
      <c r="Q40" s="5">
        <f>Relay!A39</f>
        <v>0</v>
      </c>
      <c r="R40" s="5">
        <f>Relay!B39</f>
        <v>38</v>
      </c>
      <c r="S40" s="8">
        <f>IF(March[After the 14th?]="No",SUMIF(March[SysID],R40,March[Pay Amount]),0)+IF(Feb[After the 14th?]="Yes",SUMIF(Feb[SysID],R40,Feb[Pay Amount]),0)</f>
        <v>0</v>
      </c>
      <c r="T40" s="8"/>
      <c r="U40" s="5" t="str">
        <f t="shared" si="2"/>
        <v>N</v>
      </c>
      <c r="X40" s="56"/>
      <c r="Y40" s="56"/>
      <c r="Z40" s="56"/>
      <c r="AA40" s="56"/>
      <c r="AC40" s="56"/>
    </row>
    <row r="41" spans="1:29" x14ac:dyDescent="0.25">
      <c r="A41" s="35"/>
      <c r="B41" s="5" t="e">
        <f>VLOOKUP(A41,Relay!$A$1:$B$50,2,FALSE)</f>
        <v>#N/A</v>
      </c>
      <c r="C41" s="5" t="e">
        <f>VLOOKUP(A41,Relay!$A$2:$C$51,3,FALSE)</f>
        <v>#N/A</v>
      </c>
      <c r="D41" s="39"/>
      <c r="E41" s="35"/>
      <c r="F41" s="35" t="str">
        <f t="shared" si="0"/>
        <v>INS</v>
      </c>
      <c r="G41" s="5" t="e">
        <f>IF(OR(E41="Jeopardy",E41="APP Moonlighting",E41="Differential Pay"),"",March[[#This Row],[SysID]])</f>
        <v>#N/A</v>
      </c>
      <c r="H41" s="5" t="e">
        <f>IF(E41="Jeopardy",IF(C41="MD",Relay!$E$7,Relay!$E$8),IF(C41="MD",IF(COUNTIF(G:G,B41)&gt;1,Relay!$E$2,Relay!$E$1),IF(AND(COUNTIF(G:G,B41)&gt;1,COUNTA(A41)&gt;0),Relay!$E$5,Relay!$E$4)))</f>
        <v>#N/A</v>
      </c>
      <c r="I41" s="8">
        <f t="shared" si="1"/>
        <v>0</v>
      </c>
      <c r="J41" s="35"/>
      <c r="K41" s="35"/>
      <c r="L41" s="35"/>
      <c r="M41" s="35"/>
      <c r="N41" s="10" t="e">
        <f>IF(H41=March!$E$2,"N",IF(AND(COUNTIF(B:B,B41)=1,D41&gt;14),"Y","N"))</f>
        <v>#N/A</v>
      </c>
      <c r="O41" s="55" t="str">
        <f>IF(COUNT(March[[#This Row],[Date]])&gt;0,IF(March[[#This Row],[Date]]&gt;14,"Yes","No"),"N/A")</f>
        <v>N/A</v>
      </c>
      <c r="P41" s="55"/>
      <c r="Q41" s="5">
        <f>Relay!A40</f>
        <v>0</v>
      </c>
      <c r="R41" s="5">
        <f>Relay!B40</f>
        <v>39</v>
      </c>
      <c r="S41" s="8">
        <f>IF(March[After the 14th?]="No",SUMIF(March[SysID],R41,March[Pay Amount]),0)+IF(Feb[After the 14th?]="Yes",SUMIF(Feb[SysID],R41,Feb[Pay Amount]),0)</f>
        <v>0</v>
      </c>
      <c r="T41" s="8"/>
      <c r="U41" s="5" t="str">
        <f t="shared" si="2"/>
        <v>N</v>
      </c>
      <c r="X41" s="56"/>
      <c r="Y41" s="56"/>
      <c r="Z41" s="56"/>
      <c r="AA41" s="56"/>
      <c r="AC41" s="56"/>
    </row>
    <row r="42" spans="1:29" x14ac:dyDescent="0.25">
      <c r="A42" s="35"/>
      <c r="B42" s="5" t="e">
        <f>VLOOKUP(A42,Relay!$A$1:$B$50,2,FALSE)</f>
        <v>#N/A</v>
      </c>
      <c r="C42" s="5" t="e">
        <f>VLOOKUP(A42,Relay!$A$2:$C$51,3,FALSE)</f>
        <v>#N/A</v>
      </c>
      <c r="D42" s="39"/>
      <c r="E42" s="35"/>
      <c r="F42" s="35" t="str">
        <f t="shared" si="0"/>
        <v>INS</v>
      </c>
      <c r="G42" s="5" t="e">
        <f>IF(OR(E42="Jeopardy",E42="APP Moonlighting",E42="Differential Pay"),"",March[[#This Row],[SysID]])</f>
        <v>#N/A</v>
      </c>
      <c r="H42" s="5" t="e">
        <f>IF(E42="Jeopardy",IF(C42="MD",Relay!$E$7,Relay!$E$8),IF(C42="MD",IF(COUNTIF(G:G,B42)&gt;1,Relay!$E$2,Relay!$E$1),IF(AND(COUNTIF(G:G,B42)&gt;1,COUNTA(A42)&gt;0),Relay!$E$5,Relay!$E$4)))</f>
        <v>#N/A</v>
      </c>
      <c r="I42" s="8">
        <f t="shared" si="1"/>
        <v>0</v>
      </c>
      <c r="J42" s="35"/>
      <c r="K42" s="35"/>
      <c r="L42" s="35"/>
      <c r="M42" s="35"/>
      <c r="N42" s="10" t="e">
        <f>IF(H42=March!$E$2,"N",IF(AND(COUNTIF(B:B,B42)=1,D42&gt;14),"Y","N"))</f>
        <v>#N/A</v>
      </c>
      <c r="O42" s="55" t="str">
        <f>IF(COUNT(March[[#This Row],[Date]])&gt;0,IF(March[[#This Row],[Date]]&gt;14,"Yes","No"),"N/A")</f>
        <v>N/A</v>
      </c>
      <c r="P42" s="55"/>
      <c r="Q42" s="5">
        <f>Relay!A41</f>
        <v>0</v>
      </c>
      <c r="R42" s="5">
        <f>Relay!B41</f>
        <v>40</v>
      </c>
      <c r="S42" s="8">
        <f>IF(March[After the 14th?]="No",SUMIF(March[SysID],R42,March[Pay Amount]),0)+IF(Feb[After the 14th?]="Yes",SUMIF(Feb[SysID],R42,Feb[Pay Amount]),0)</f>
        <v>0</v>
      </c>
      <c r="T42" s="8"/>
      <c r="U42" s="5" t="str">
        <f t="shared" si="2"/>
        <v>N</v>
      </c>
      <c r="X42" s="56"/>
      <c r="Y42" s="56"/>
      <c r="Z42" s="56"/>
      <c r="AA42" s="56"/>
      <c r="AC42" s="56"/>
    </row>
    <row r="43" spans="1:29" x14ac:dyDescent="0.25">
      <c r="A43" s="35"/>
      <c r="B43" s="5" t="e">
        <f>VLOOKUP(A43,Relay!$A$1:$B$50,2,FALSE)</f>
        <v>#N/A</v>
      </c>
      <c r="C43" s="5" t="e">
        <f>VLOOKUP(A43,Relay!$A$2:$C$51,3,FALSE)</f>
        <v>#N/A</v>
      </c>
      <c r="D43" s="39"/>
      <c r="E43" s="35"/>
      <c r="F43" s="35" t="str">
        <f t="shared" si="0"/>
        <v>INS</v>
      </c>
      <c r="G43" s="5" t="e">
        <f>IF(OR(E43="Jeopardy",E43="APP Moonlighting",E43="Differential Pay"),"",March[[#This Row],[SysID]])</f>
        <v>#N/A</v>
      </c>
      <c r="H43" s="5" t="e">
        <f>IF(E43="Jeopardy",IF(C43="MD",Relay!$E$7,Relay!$E$8),IF(C43="MD",IF(COUNTIF(G:G,B43)&gt;1,Relay!$E$2,Relay!$E$1),IF(AND(COUNTIF(G:G,B43)&gt;1,COUNTA(A43)&gt;0),Relay!$E$5,Relay!$E$4)))</f>
        <v>#N/A</v>
      </c>
      <c r="I43" s="8">
        <f t="shared" si="1"/>
        <v>0</v>
      </c>
      <c r="J43" s="35"/>
      <c r="K43" s="35"/>
      <c r="L43" s="35"/>
      <c r="M43" s="35"/>
      <c r="N43" s="10" t="e">
        <f>IF(H43=March!$E$2,"N",IF(AND(COUNTIF(B:B,B43)=1,D43&gt;14),"Y","N"))</f>
        <v>#N/A</v>
      </c>
      <c r="O43" s="55" t="str">
        <f>IF(COUNT(March[[#This Row],[Date]])&gt;0,IF(March[[#This Row],[Date]]&gt;14,"Yes","No"),"N/A")</f>
        <v>N/A</v>
      </c>
      <c r="P43" s="55"/>
      <c r="Q43" s="5">
        <f>Relay!A42</f>
        <v>0</v>
      </c>
      <c r="R43" s="5">
        <f>Relay!B42</f>
        <v>41</v>
      </c>
      <c r="S43" s="8">
        <f>IF(March[After the 14th?]="No",SUMIF(March[SysID],R43,March[Pay Amount]),0)+IF(Feb[After the 14th?]="Yes",SUMIF(Feb[SysID],R43,Feb[Pay Amount]),0)</f>
        <v>0</v>
      </c>
      <c r="T43" s="8"/>
      <c r="U43" s="5" t="str">
        <f t="shared" si="2"/>
        <v>N</v>
      </c>
      <c r="X43" s="56"/>
      <c r="Y43" s="56"/>
      <c r="Z43" s="56"/>
      <c r="AA43" s="56"/>
      <c r="AC43" s="56"/>
    </row>
    <row r="44" spans="1:29" x14ac:dyDescent="0.25">
      <c r="A44" s="35"/>
      <c r="B44" s="5" t="e">
        <f>VLOOKUP(A44,Relay!$A$1:$B$50,2,FALSE)</f>
        <v>#N/A</v>
      </c>
      <c r="C44" s="5" t="e">
        <f>VLOOKUP(A44,Relay!$A$2:$C$51,3,FALSE)</f>
        <v>#N/A</v>
      </c>
      <c r="D44" s="39"/>
      <c r="E44" s="35"/>
      <c r="F44" s="35" t="str">
        <f t="shared" si="0"/>
        <v>INS</v>
      </c>
      <c r="G44" s="5" t="e">
        <f>IF(OR(E44="Jeopardy",E44="APP Moonlighting",E44="Differential Pay"),"",March[[#This Row],[SysID]])</f>
        <v>#N/A</v>
      </c>
      <c r="H44" s="5" t="e">
        <f>IF(E44="Jeopardy",IF(C44="MD",Relay!$E$7,Relay!$E$8),IF(C44="MD",IF(COUNTIF(G:G,B44)&gt;1,Relay!$E$2,Relay!$E$1),IF(AND(COUNTIF(G:G,B44)&gt;1,COUNTA(A44)&gt;0),Relay!$E$5,Relay!$E$4)))</f>
        <v>#N/A</v>
      </c>
      <c r="I44" s="8">
        <f t="shared" si="1"/>
        <v>0</v>
      </c>
      <c r="J44" s="35"/>
      <c r="K44" s="35"/>
      <c r="L44" s="35"/>
      <c r="M44" s="35"/>
      <c r="N44" s="10" t="e">
        <f>IF(H44=March!$E$2,"N",IF(AND(COUNTIF(B:B,B44)=1,D44&gt;14),"Y","N"))</f>
        <v>#N/A</v>
      </c>
      <c r="O44" s="55" t="str">
        <f>IF(COUNT(March[[#This Row],[Date]])&gt;0,IF(March[[#This Row],[Date]]&gt;14,"Yes","No"),"N/A")</f>
        <v>N/A</v>
      </c>
      <c r="P44" s="55"/>
      <c r="Q44" s="5">
        <f>Relay!A43</f>
        <v>0</v>
      </c>
      <c r="R44" s="5">
        <f>Relay!B43</f>
        <v>42</v>
      </c>
      <c r="S44" s="8">
        <f>IF(March[After the 14th?]="No",SUMIF(March[SysID],R44,March[Pay Amount]),0)+IF(Feb[After the 14th?]="Yes",SUMIF(Feb[SysID],R44,Feb[Pay Amount]),0)</f>
        <v>0</v>
      </c>
      <c r="T44" s="8"/>
      <c r="U44" s="5" t="str">
        <f t="shared" si="2"/>
        <v>N</v>
      </c>
      <c r="X44" s="56"/>
      <c r="Y44" s="56"/>
      <c r="Z44" s="56"/>
      <c r="AA44" s="56"/>
      <c r="AC44" s="56"/>
    </row>
    <row r="45" spans="1:29" x14ac:dyDescent="0.25">
      <c r="A45" s="35"/>
      <c r="B45" s="5" t="e">
        <f>VLOOKUP(A45,Relay!$A$1:$B$50,2,FALSE)</f>
        <v>#N/A</v>
      </c>
      <c r="C45" s="5" t="e">
        <f>VLOOKUP(A45,Relay!$A$2:$C$51,3,FALSE)</f>
        <v>#N/A</v>
      </c>
      <c r="D45" s="39"/>
      <c r="E45" s="35"/>
      <c r="F45" s="35" t="str">
        <f t="shared" si="0"/>
        <v>INS</v>
      </c>
      <c r="G45" s="5" t="e">
        <f>IF(OR(E45="Jeopardy",E45="APP Moonlighting",E45="Differential Pay"),"",March[[#This Row],[SysID]])</f>
        <v>#N/A</v>
      </c>
      <c r="H45" s="5" t="e">
        <f>IF(E45="Jeopardy",IF(C45="MD",Relay!$E$7,Relay!$E$8),IF(C45="MD",IF(COUNTIF(G:G,B45)&gt;1,Relay!$E$2,Relay!$E$1),IF(AND(COUNTIF(G:G,B45)&gt;1,COUNTA(A45)&gt;0),Relay!$E$5,Relay!$E$4)))</f>
        <v>#N/A</v>
      </c>
      <c r="I45" s="8">
        <f t="shared" si="1"/>
        <v>0</v>
      </c>
      <c r="J45" s="35"/>
      <c r="K45" s="35"/>
      <c r="L45" s="35"/>
      <c r="M45" s="35"/>
      <c r="N45" s="10" t="e">
        <f>IF(H45=March!$E$2,"N",IF(AND(COUNTIF(B:B,B45)=1,D45&gt;14),"Y","N"))</f>
        <v>#N/A</v>
      </c>
      <c r="O45" s="55" t="str">
        <f>IF(COUNT(March[[#This Row],[Date]])&gt;0,IF(March[[#This Row],[Date]]&gt;14,"Yes","No"),"N/A")</f>
        <v>N/A</v>
      </c>
      <c r="P45" s="55"/>
      <c r="Q45" s="5">
        <f>Relay!A44</f>
        <v>0</v>
      </c>
      <c r="R45" s="5">
        <f>Relay!B44</f>
        <v>43</v>
      </c>
      <c r="S45" s="8">
        <f>IF(March[After the 14th?]="No",SUMIF(March[SysID],R45,March[Pay Amount]),0)+IF(Feb[After the 14th?]="Yes",SUMIF(Feb[SysID],R45,Feb[Pay Amount]),0)</f>
        <v>0</v>
      </c>
      <c r="T45" s="8"/>
      <c r="U45" s="5" t="str">
        <f t="shared" si="2"/>
        <v>N</v>
      </c>
      <c r="X45" s="56"/>
      <c r="Y45" s="56"/>
      <c r="Z45" s="56"/>
      <c r="AA45" s="56"/>
      <c r="AC45" s="56"/>
    </row>
    <row r="46" spans="1:29" x14ac:dyDescent="0.25">
      <c r="A46" s="35"/>
      <c r="B46" s="5" t="e">
        <f>VLOOKUP(A46,Relay!$A$1:$B$50,2,FALSE)</f>
        <v>#N/A</v>
      </c>
      <c r="C46" s="5" t="e">
        <f>VLOOKUP(A46,Relay!$A$2:$C$51,3,FALSE)</f>
        <v>#N/A</v>
      </c>
      <c r="D46" s="39"/>
      <c r="E46" s="35"/>
      <c r="F46" s="35" t="str">
        <f t="shared" si="0"/>
        <v>INS</v>
      </c>
      <c r="G46" s="5" t="e">
        <f>IF(OR(E46="Jeopardy",E46="APP Moonlighting",E46="Differential Pay"),"",March[[#This Row],[SysID]])</f>
        <v>#N/A</v>
      </c>
      <c r="H46" s="5" t="e">
        <f>IF(E46="Jeopardy",IF(C46="MD",Relay!$E$7,Relay!$E$8),IF(C46="MD",IF(COUNTIF(G:G,B46)&gt;1,Relay!$E$2,Relay!$E$1),IF(AND(COUNTIF(G:G,B46)&gt;1,COUNTA(A46)&gt;0),Relay!$E$5,Relay!$E$4)))</f>
        <v>#N/A</v>
      </c>
      <c r="I46" s="8">
        <f t="shared" si="1"/>
        <v>0</v>
      </c>
      <c r="J46" s="35"/>
      <c r="K46" s="35"/>
      <c r="L46" s="35"/>
      <c r="M46" s="35"/>
      <c r="N46" s="10" t="e">
        <f>IF(H46=March!$E$2,"N",IF(AND(COUNTIF(B:B,B46)=1,D46&gt;14),"Y","N"))</f>
        <v>#N/A</v>
      </c>
      <c r="O46" s="55" t="str">
        <f>IF(COUNT(March[[#This Row],[Date]])&gt;0,IF(March[[#This Row],[Date]]&gt;14,"Yes","No"),"N/A")</f>
        <v>N/A</v>
      </c>
      <c r="P46" s="55"/>
      <c r="Q46" s="5">
        <f>Relay!A45</f>
        <v>0</v>
      </c>
      <c r="R46" s="5">
        <f>Relay!B45</f>
        <v>44</v>
      </c>
      <c r="S46" s="8">
        <f>IF(March[After the 14th?]="No",SUMIF(March[SysID],R46,March[Pay Amount]),0)+IF(Feb[After the 14th?]="Yes",SUMIF(Feb[SysID],R46,Feb[Pay Amount]),0)</f>
        <v>0</v>
      </c>
      <c r="T46" s="8"/>
      <c r="U46" s="5" t="str">
        <f t="shared" si="2"/>
        <v>N</v>
      </c>
      <c r="X46" s="56"/>
      <c r="Y46" s="56"/>
      <c r="Z46" s="56"/>
      <c r="AA46" s="56"/>
      <c r="AC46" s="56"/>
    </row>
    <row r="47" spans="1:29" x14ac:dyDescent="0.25">
      <c r="A47" s="35"/>
      <c r="B47" s="5" t="e">
        <f>VLOOKUP(A47,Relay!$A$1:$B$50,2,FALSE)</f>
        <v>#N/A</v>
      </c>
      <c r="C47" s="5" t="e">
        <f>VLOOKUP(A47,Relay!$A$2:$C$51,3,FALSE)</f>
        <v>#N/A</v>
      </c>
      <c r="D47" s="39"/>
      <c r="E47" s="35"/>
      <c r="F47" s="35" t="str">
        <f t="shared" si="0"/>
        <v>INS</v>
      </c>
      <c r="G47" s="5" t="e">
        <f>IF(OR(E47="Jeopardy",E47="APP Moonlighting",E47="Differential Pay"),"",March[[#This Row],[SysID]])</f>
        <v>#N/A</v>
      </c>
      <c r="H47" s="5" t="e">
        <f>IF(E47="Jeopardy",IF(C47="MD",Relay!$E$7,Relay!$E$8),IF(C47="MD",IF(COUNTIF(G:G,B47)&gt;1,Relay!$E$2,Relay!$E$1),IF(AND(COUNTIF(G:G,B47)&gt;1,COUNTA(A47)&gt;0),Relay!$E$5,Relay!$E$4)))</f>
        <v>#N/A</v>
      </c>
      <c r="I47" s="8">
        <f t="shared" si="1"/>
        <v>0</v>
      </c>
      <c r="J47" s="35"/>
      <c r="K47" s="35"/>
      <c r="L47" s="35"/>
      <c r="M47" s="35"/>
      <c r="N47" s="10" t="e">
        <f>IF(H47=March!$E$2,"N",IF(AND(COUNTIF(B:B,B47)=1,D47&gt;14),"Y","N"))</f>
        <v>#N/A</v>
      </c>
      <c r="O47" s="55" t="str">
        <f>IF(COUNT(March[[#This Row],[Date]])&gt;0,IF(March[[#This Row],[Date]]&gt;14,"Yes","No"),"N/A")</f>
        <v>N/A</v>
      </c>
      <c r="P47" s="55"/>
      <c r="Q47" s="5">
        <f>Relay!A46</f>
        <v>0</v>
      </c>
      <c r="R47" s="5">
        <f>Relay!B46</f>
        <v>45</v>
      </c>
      <c r="S47" s="8">
        <f>IF(March[After the 14th?]="No",SUMIF(March[SysID],R47,March[Pay Amount]),0)+IF(Feb[After the 14th?]="Yes",SUMIF(Feb[SysID],R47,Feb[Pay Amount]),0)</f>
        <v>0</v>
      </c>
      <c r="T47" s="8"/>
      <c r="U47" s="5" t="str">
        <f t="shared" si="2"/>
        <v>N</v>
      </c>
      <c r="X47" s="56"/>
      <c r="Y47" s="56"/>
      <c r="Z47" s="56"/>
      <c r="AA47" s="56"/>
      <c r="AC47" s="56"/>
    </row>
    <row r="48" spans="1:29" x14ac:dyDescent="0.25">
      <c r="A48" s="35"/>
      <c r="B48" s="5" t="e">
        <f>VLOOKUP(A48,Relay!$A$1:$B$50,2,FALSE)</f>
        <v>#N/A</v>
      </c>
      <c r="C48" s="5" t="e">
        <f>VLOOKUP(A48,Relay!$A$2:$C$51,3,FALSE)</f>
        <v>#N/A</v>
      </c>
      <c r="D48" s="39"/>
      <c r="E48" s="35"/>
      <c r="F48" s="35" t="str">
        <f t="shared" si="0"/>
        <v>INS</v>
      </c>
      <c r="G48" s="5" t="e">
        <f>IF(OR(E48="Jeopardy",E48="APP Moonlighting",E48="Differential Pay"),"",March[[#This Row],[SysID]])</f>
        <v>#N/A</v>
      </c>
      <c r="H48" s="5" t="e">
        <f>IF(E48="Jeopardy",IF(C48="MD",Relay!$E$7,Relay!$E$8),IF(C48="MD",IF(COUNTIF(G:G,B48)&gt;1,Relay!$E$2,Relay!$E$1),IF(AND(COUNTIF(G:G,B48)&gt;1,COUNTA(A48)&gt;0),Relay!$E$5,Relay!$E$4)))</f>
        <v>#N/A</v>
      </c>
      <c r="I48" s="8">
        <f t="shared" si="1"/>
        <v>0</v>
      </c>
      <c r="J48" s="35"/>
      <c r="K48" s="35"/>
      <c r="L48" s="35"/>
      <c r="M48" s="35"/>
      <c r="N48" s="10" t="e">
        <f>IF(H48=March!$E$2,"N",IF(AND(COUNTIF(B:B,B48)=1,D48&gt;14),"Y","N"))</f>
        <v>#N/A</v>
      </c>
      <c r="O48" s="55" t="str">
        <f>IF(COUNT(March[[#This Row],[Date]])&gt;0,IF(March[[#This Row],[Date]]&gt;14,"Yes","No"),"N/A")</f>
        <v>N/A</v>
      </c>
      <c r="P48" s="55"/>
      <c r="Q48" s="5">
        <f>Relay!A47</f>
        <v>0</v>
      </c>
      <c r="R48" s="5">
        <f>Relay!B47</f>
        <v>46</v>
      </c>
      <c r="S48" s="8">
        <f>IF(March[After the 14th?]="No",SUMIF(March[SysID],R48,March[Pay Amount]),0)+IF(Feb[After the 14th?]="Yes",SUMIF(Feb[SysID],R48,Feb[Pay Amount]),0)</f>
        <v>0</v>
      </c>
      <c r="T48" s="8"/>
      <c r="U48" s="5" t="str">
        <f t="shared" si="2"/>
        <v>N</v>
      </c>
      <c r="X48" s="56"/>
      <c r="Y48" s="56"/>
      <c r="Z48" s="56"/>
      <c r="AA48" s="56"/>
      <c r="AC48" s="56"/>
    </row>
    <row r="49" spans="1:29" x14ac:dyDescent="0.25">
      <c r="A49" s="35"/>
      <c r="B49" s="5" t="e">
        <f>VLOOKUP(A49,Relay!$A$1:$B$50,2,FALSE)</f>
        <v>#N/A</v>
      </c>
      <c r="C49" s="5" t="e">
        <f>VLOOKUP(A49,Relay!$A$2:$C$51,3,FALSE)</f>
        <v>#N/A</v>
      </c>
      <c r="D49" s="39"/>
      <c r="E49" s="35"/>
      <c r="F49" s="35" t="str">
        <f t="shared" si="0"/>
        <v>INS</v>
      </c>
      <c r="G49" s="5" t="e">
        <f>IF(OR(E49="Jeopardy",E49="APP Moonlighting",E49="Differential Pay"),"",March[[#This Row],[SysID]])</f>
        <v>#N/A</v>
      </c>
      <c r="H49" s="5" t="e">
        <f>IF(E49="Jeopardy",IF(C49="MD",Relay!$E$7,Relay!$E$8),IF(C49="MD",IF(COUNTIF(G:G,B49)&gt;1,Relay!$E$2,Relay!$E$1),IF(AND(COUNTIF(G:G,B49)&gt;1,COUNTA(A49)&gt;0),Relay!$E$5,Relay!$E$4)))</f>
        <v>#N/A</v>
      </c>
      <c r="I49" s="8">
        <f t="shared" si="1"/>
        <v>0</v>
      </c>
      <c r="J49" s="35"/>
      <c r="K49" s="35"/>
      <c r="L49" s="35"/>
      <c r="M49" s="35"/>
      <c r="N49" s="10" t="e">
        <f>IF(H49=March!$E$2,"N",IF(AND(COUNTIF(B:B,B49)=1,D49&gt;14),"Y","N"))</f>
        <v>#N/A</v>
      </c>
      <c r="O49" s="55" t="str">
        <f>IF(COUNT(March[[#This Row],[Date]])&gt;0,IF(March[[#This Row],[Date]]&gt;14,"Yes","No"),"N/A")</f>
        <v>N/A</v>
      </c>
      <c r="P49" s="55"/>
      <c r="Q49" s="5">
        <f>Relay!A48</f>
        <v>0</v>
      </c>
      <c r="R49" s="5">
        <f>Relay!B48</f>
        <v>47</v>
      </c>
      <c r="S49" s="8">
        <f>IF(March[After the 14th?]="No",SUMIF(March[SysID],R49,March[Pay Amount]),0)+IF(Feb[After the 14th?]="Yes",SUMIF(Feb[SysID],R49,Feb[Pay Amount]),0)</f>
        <v>0</v>
      </c>
      <c r="T49" s="8"/>
      <c r="U49" s="5" t="str">
        <f t="shared" si="2"/>
        <v>N</v>
      </c>
      <c r="X49" s="56"/>
      <c r="Y49" s="56"/>
      <c r="Z49" s="56"/>
      <c r="AA49" s="56"/>
      <c r="AC49" s="56"/>
    </row>
    <row r="50" spans="1:29" x14ac:dyDescent="0.25">
      <c r="A50" s="35"/>
      <c r="B50" s="5" t="e">
        <f>VLOOKUP(A50,Relay!$A$1:$B$50,2,FALSE)</f>
        <v>#N/A</v>
      </c>
      <c r="C50" s="5" t="e">
        <f>VLOOKUP(A50,Relay!$A$2:$C$51,3,FALSE)</f>
        <v>#N/A</v>
      </c>
      <c r="D50" s="39"/>
      <c r="E50" s="35"/>
      <c r="F50" s="35" t="str">
        <f t="shared" si="0"/>
        <v>INS</v>
      </c>
      <c r="G50" s="5" t="e">
        <f>IF(OR(E50="Jeopardy",E50="APP Moonlighting",E50="Differential Pay"),"",March[[#This Row],[SysID]])</f>
        <v>#N/A</v>
      </c>
      <c r="H50" s="5" t="e">
        <f>IF(E50="Jeopardy",IF(C50="MD",Relay!$E$7,Relay!$E$8),IF(C50="MD",IF(COUNTIF(G:G,B50)&gt;1,Relay!$E$2,Relay!$E$1),IF(AND(COUNTIF(G:G,B50)&gt;1,COUNTA(A50)&gt;0),Relay!$E$5,Relay!$E$4)))</f>
        <v>#N/A</v>
      </c>
      <c r="I50" s="8">
        <f t="shared" si="1"/>
        <v>0</v>
      </c>
      <c r="J50" s="35"/>
      <c r="K50" s="35"/>
      <c r="L50" s="35"/>
      <c r="M50" s="35"/>
      <c r="N50" s="10" t="e">
        <f>IF(H50=March!$E$2,"N",IF(AND(COUNTIF(B:B,B50)=1,D50&gt;14),"Y","N"))</f>
        <v>#N/A</v>
      </c>
      <c r="O50" s="55" t="str">
        <f>IF(COUNT(March[[#This Row],[Date]])&gt;0,IF(March[[#This Row],[Date]]&gt;14,"Yes","No"),"N/A")</f>
        <v>N/A</v>
      </c>
      <c r="P50" s="55"/>
      <c r="Q50" s="5">
        <f>Relay!A49</f>
        <v>0</v>
      </c>
      <c r="R50" s="5">
        <f>Relay!B49</f>
        <v>48</v>
      </c>
      <c r="S50" s="8">
        <f>IF(March[After the 14th?]="No",SUMIF(March[SysID],R50,March[Pay Amount]),0)+IF(Feb[After the 14th?]="Yes",SUMIF(Feb[SysID],R50,Feb[Pay Amount]),0)</f>
        <v>0</v>
      </c>
      <c r="T50" s="8"/>
      <c r="U50" s="5" t="str">
        <f t="shared" si="2"/>
        <v>N</v>
      </c>
      <c r="X50" s="56"/>
      <c r="Y50" s="56"/>
      <c r="Z50" s="56"/>
      <c r="AA50" s="56"/>
      <c r="AC50" s="56"/>
    </row>
    <row r="51" spans="1:29" x14ac:dyDescent="0.25">
      <c r="A51" s="35"/>
      <c r="B51" s="32" t="e">
        <f>VLOOKUP(A51,Relay!$A$1:$B$50,2,FALSE)</f>
        <v>#N/A</v>
      </c>
      <c r="C51" s="32" t="e">
        <f>VLOOKUP(A51,Relay!$A$2:$C$101,3,FALSE)</f>
        <v>#N/A</v>
      </c>
      <c r="D51" s="39"/>
      <c r="E51" s="35"/>
      <c r="F51" s="58" t="str">
        <f t="shared" si="0"/>
        <v>INS</v>
      </c>
      <c r="G51" s="32" t="e">
        <f>IF(OR(E51="Jeopardy",E51="APP Moonlighting",E51="Differential Pay"),"",March[[#This Row],[SysID]])</f>
        <v>#N/A</v>
      </c>
      <c r="H51" s="32" t="e">
        <f>IF(E51="Jeopardy",IF(C51="MD",Relay!$E$7,Relay!$E$8),IF(C51="MD",IF(COUNTIF(G:G,B51)&gt;1,Relay!$E$2,Relay!$E$1),IF(AND(COUNTIF(G:G,B51)&gt;1,COUNTA(A51)&gt;0),Relay!$E$5,Relay!$E$4)))</f>
        <v>#N/A</v>
      </c>
      <c r="I51" s="8">
        <f t="shared" si="1"/>
        <v>0</v>
      </c>
      <c r="J51" s="35"/>
      <c r="K51" s="35"/>
      <c r="L51" s="35"/>
      <c r="M51" s="35"/>
      <c r="N51" s="32" t="e">
        <f>IF(H51=March!$E$2,"N",IF(AND(COUNTIF(B:B,B51)=1,D51&gt;14),"Y","N"))</f>
        <v>#N/A</v>
      </c>
      <c r="O51" s="55" t="str">
        <f>IF(COUNT(March[[#This Row],[Date]])&gt;0,IF(March[[#This Row],[Date]]&gt;14,"Yes","No"),"N/A")</f>
        <v>N/A</v>
      </c>
      <c r="P51" s="55"/>
      <c r="Q51" s="5">
        <f>Relay!A50</f>
        <v>0</v>
      </c>
      <c r="R51" s="5">
        <f>Relay!B50</f>
        <v>49</v>
      </c>
      <c r="S51" s="8">
        <f>IF(March[After the 14th?]="No",SUMIF(March[SysID],R51,March[Pay Amount]),0)+IF(Feb[After the 14th?]="Yes",SUMIF(Feb[SysID],R51,Feb[Pay Amount]),0)</f>
        <v>0</v>
      </c>
      <c r="T51" s="8"/>
      <c r="U51" s="5" t="str">
        <f t="shared" si="2"/>
        <v>N</v>
      </c>
      <c r="X51" s="56"/>
      <c r="Y51" s="56"/>
      <c r="Z51" s="56"/>
      <c r="AA51" s="56"/>
      <c r="AC51" s="56"/>
    </row>
    <row r="52" spans="1:29" x14ac:dyDescent="0.25">
      <c r="A52" s="35"/>
      <c r="B52" s="32" t="e">
        <f>VLOOKUP(A52,Relay!$A$1:$B$50,2,FALSE)</f>
        <v>#N/A</v>
      </c>
      <c r="C52" s="32" t="e">
        <f>VLOOKUP(A52,Relay!$A$2:$C$101,3,FALSE)</f>
        <v>#N/A</v>
      </c>
      <c r="D52" s="39"/>
      <c r="E52" s="35"/>
      <c r="F52" s="58" t="str">
        <f t="shared" si="0"/>
        <v>INS</v>
      </c>
      <c r="G52" s="32" t="e">
        <f>IF(OR(E52="Jeopardy",E52="APP Moonlighting",E52="Differential Pay"),"",March[[#This Row],[SysID]])</f>
        <v>#N/A</v>
      </c>
      <c r="H52" s="32" t="e">
        <f>IF(E52="Jeopardy",IF(C52="MD",Relay!$E$7,Relay!$E$8),IF(C52="MD",IF(COUNTIF(G:G,B52)&gt;1,Relay!$E$2,Relay!$E$1),IF(AND(COUNTIF(G:G,B52)&gt;1,COUNTA(A52)&gt;0),Relay!$E$5,Relay!$E$4)))</f>
        <v>#N/A</v>
      </c>
      <c r="I52" s="8">
        <f t="shared" si="1"/>
        <v>0</v>
      </c>
      <c r="J52" s="35"/>
      <c r="K52" s="35"/>
      <c r="L52" s="35"/>
      <c r="M52" s="35"/>
      <c r="N52" s="32" t="e">
        <f>IF(H52=March!$E$2,"N",IF(AND(COUNTIF(B:B,B52)=1,D52&gt;14),"Y","N"))</f>
        <v>#N/A</v>
      </c>
      <c r="O52" s="55" t="str">
        <f>IF(COUNT(March[[#This Row],[Date]])&gt;0,IF(March[[#This Row],[Date]]&gt;14,"Yes","No"),"N/A")</f>
        <v>N/A</v>
      </c>
      <c r="P52" s="55"/>
      <c r="Q52" s="5">
        <f>Relay!A51</f>
        <v>0</v>
      </c>
      <c r="R52" s="5">
        <f>Relay!B51</f>
        <v>50</v>
      </c>
      <c r="S52" s="8">
        <f>IF(March[After the 14th?]="No",SUMIF(March[SysID],R52,March[Pay Amount]),0)+IF(Feb[After the 14th?]="Yes",SUMIF(Feb[SysID],R52,Feb[Pay Amount]),0)</f>
        <v>0</v>
      </c>
      <c r="T52" s="8"/>
      <c r="U52" s="5" t="str">
        <f t="shared" si="2"/>
        <v>N</v>
      </c>
      <c r="X52" s="56"/>
      <c r="Y52" s="56"/>
      <c r="Z52" s="56"/>
      <c r="AA52" s="56"/>
      <c r="AC52" s="56"/>
    </row>
    <row r="53" spans="1:29" x14ac:dyDescent="0.25">
      <c r="A53" s="35"/>
      <c r="B53" s="32" t="e">
        <f>VLOOKUP(A53,Relay!$A$1:$B$50,2,FALSE)</f>
        <v>#N/A</v>
      </c>
      <c r="C53" s="32" t="e">
        <f>VLOOKUP(A53,Relay!$A$2:$C$101,3,FALSE)</f>
        <v>#N/A</v>
      </c>
      <c r="D53" s="39"/>
      <c r="E53" s="35"/>
      <c r="F53" s="58" t="str">
        <f t="shared" si="0"/>
        <v>INS</v>
      </c>
      <c r="G53" s="32" t="e">
        <f>IF(OR(E53="Jeopardy",E53="APP Moonlighting",E53="Differential Pay"),"",March[[#This Row],[SysID]])</f>
        <v>#N/A</v>
      </c>
      <c r="H53" s="32" t="e">
        <f>IF(E53="Jeopardy",IF(C53="MD",Relay!$E$7,Relay!$E$8),IF(C53="MD",IF(COUNTIF(G:G,B53)&gt;1,Relay!$E$2,Relay!$E$1),IF(AND(COUNTIF(G:G,B53)&gt;1,COUNTA(A53)&gt;0),Relay!$E$5,Relay!$E$4)))</f>
        <v>#N/A</v>
      </c>
      <c r="I53" s="8">
        <f t="shared" si="1"/>
        <v>0</v>
      </c>
      <c r="J53" s="35"/>
      <c r="K53" s="35"/>
      <c r="L53" s="35"/>
      <c r="M53" s="35"/>
      <c r="N53" s="32" t="e">
        <f>IF(H53=March!$E$2,"N",IF(AND(COUNTIF(B:B,B53)=1,D53&gt;14),"Y","N"))</f>
        <v>#N/A</v>
      </c>
      <c r="O53" s="55" t="str">
        <f>IF(COUNT(March[[#This Row],[Date]])&gt;0,IF(March[[#This Row],[Date]]&gt;14,"Yes","No"),"N/A")</f>
        <v>N/A</v>
      </c>
      <c r="P53" s="55"/>
      <c r="Q53" s="5">
        <f>Relay!A52</f>
        <v>0</v>
      </c>
      <c r="R53" s="5">
        <f>Relay!B52</f>
        <v>51</v>
      </c>
      <c r="S53" s="8">
        <f>IF(March[After the 14th?]="No",SUMIF(March[SysID],R53,March[Pay Amount]),0)+IF(Feb[After the 14th?]="Yes",SUMIF(Feb[SysID],R53,Feb[Pay Amount]),0)</f>
        <v>0</v>
      </c>
      <c r="T53" s="8"/>
      <c r="U53" s="5" t="str">
        <f t="shared" si="2"/>
        <v>N</v>
      </c>
      <c r="X53" s="56"/>
      <c r="Y53" s="56"/>
      <c r="Z53" s="56"/>
      <c r="AA53" s="56"/>
      <c r="AC53" s="56"/>
    </row>
    <row r="54" spans="1:29" x14ac:dyDescent="0.25">
      <c r="A54" s="35"/>
      <c r="B54" s="32" t="e">
        <f>VLOOKUP(A54,Relay!$A$1:$B$50,2,FALSE)</f>
        <v>#N/A</v>
      </c>
      <c r="C54" s="32" t="e">
        <f>VLOOKUP(A54,Relay!$A$2:$C$101,3,FALSE)</f>
        <v>#N/A</v>
      </c>
      <c r="D54" s="39"/>
      <c r="E54" s="35"/>
      <c r="F54" s="58" t="str">
        <f t="shared" si="0"/>
        <v>INS</v>
      </c>
      <c r="G54" s="32" t="e">
        <f>IF(OR(E54="Jeopardy",E54="APP Moonlighting",E54="Differential Pay"),"",March[[#This Row],[SysID]])</f>
        <v>#N/A</v>
      </c>
      <c r="H54" s="32" t="e">
        <f>IF(E54="Jeopardy",IF(C54="MD",Relay!$E$7,Relay!$E$8),IF(C54="MD",IF(COUNTIF(G:G,B54)&gt;1,Relay!$E$2,Relay!$E$1),IF(AND(COUNTIF(G:G,B54)&gt;1,COUNTA(A54)&gt;0),Relay!$E$5,Relay!$E$4)))</f>
        <v>#N/A</v>
      </c>
      <c r="I54" s="8">
        <f t="shared" si="1"/>
        <v>0</v>
      </c>
      <c r="J54" s="35"/>
      <c r="K54" s="35"/>
      <c r="L54" s="35"/>
      <c r="M54" s="35"/>
      <c r="N54" s="32" t="e">
        <f>IF(H54=March!$E$2,"N",IF(AND(COUNTIF(B:B,B54)=1,D54&gt;14),"Y","N"))</f>
        <v>#N/A</v>
      </c>
      <c r="O54" s="55" t="str">
        <f>IF(COUNT(March[[#This Row],[Date]])&gt;0,IF(March[[#This Row],[Date]]&gt;14,"Yes","No"),"N/A")</f>
        <v>N/A</v>
      </c>
      <c r="P54" s="55"/>
      <c r="Q54" s="5">
        <f>Relay!A53</f>
        <v>0</v>
      </c>
      <c r="R54" s="5">
        <f>Relay!B53</f>
        <v>52</v>
      </c>
      <c r="S54" s="8">
        <f>IF(March[After the 14th?]="No",SUMIF(March[SysID],R54,March[Pay Amount]),0)+IF(Feb[After the 14th?]="Yes",SUMIF(Feb[SysID],R54,Feb[Pay Amount]),0)</f>
        <v>0</v>
      </c>
      <c r="T54" s="8"/>
      <c r="U54" s="5" t="str">
        <f t="shared" si="2"/>
        <v>N</v>
      </c>
      <c r="X54" s="56"/>
      <c r="Y54" s="56"/>
      <c r="Z54" s="56"/>
      <c r="AA54" s="56"/>
      <c r="AC54" s="56"/>
    </row>
    <row r="55" spans="1:29" x14ac:dyDescent="0.25">
      <c r="A55" s="35"/>
      <c r="B55" s="32" t="e">
        <f>VLOOKUP(A55,Relay!$A$1:$B$50,2,FALSE)</f>
        <v>#N/A</v>
      </c>
      <c r="C55" s="32" t="e">
        <f>VLOOKUP(A55,Relay!$A$2:$C$101,3,FALSE)</f>
        <v>#N/A</v>
      </c>
      <c r="D55" s="39"/>
      <c r="E55" s="35"/>
      <c r="F55" s="58" t="str">
        <f t="shared" si="0"/>
        <v>INS</v>
      </c>
      <c r="G55" s="32" t="e">
        <f>IF(OR(E55="Jeopardy",E55="APP Moonlighting",E55="Differential Pay"),"",March[[#This Row],[SysID]])</f>
        <v>#N/A</v>
      </c>
      <c r="H55" s="32" t="e">
        <f>IF(E55="Jeopardy",IF(C55="MD",Relay!$E$7,Relay!$E$8),IF(C55="MD",IF(COUNTIF(G:G,B55)&gt;1,Relay!$E$2,Relay!$E$1),IF(AND(COUNTIF(G:G,B55)&gt;1,COUNTA(A55)&gt;0),Relay!$E$5,Relay!$E$4)))</f>
        <v>#N/A</v>
      </c>
      <c r="I55" s="8">
        <f t="shared" si="1"/>
        <v>0</v>
      </c>
      <c r="J55" s="35"/>
      <c r="K55" s="35"/>
      <c r="L55" s="35"/>
      <c r="M55" s="35"/>
      <c r="N55" s="32" t="e">
        <f>IF(H55=March!$E$2,"N",IF(AND(COUNTIF(B:B,B55)=1,D55&gt;14),"Y","N"))</f>
        <v>#N/A</v>
      </c>
      <c r="O55" s="55" t="str">
        <f>IF(COUNT(March[[#This Row],[Date]])&gt;0,IF(March[[#This Row],[Date]]&gt;14,"Yes","No"),"N/A")</f>
        <v>N/A</v>
      </c>
      <c r="P55" s="55"/>
      <c r="Q55" s="5">
        <f>Relay!A54</f>
        <v>0</v>
      </c>
      <c r="R55" s="5">
        <f>Relay!B54</f>
        <v>53</v>
      </c>
      <c r="S55" s="8">
        <f>IF(March[After the 14th?]="No",SUMIF(March[SysID],R55,March[Pay Amount]),0)+IF(Feb[After the 14th?]="Yes",SUMIF(Feb[SysID],R55,Feb[Pay Amount]),0)</f>
        <v>0</v>
      </c>
      <c r="T55" s="8"/>
      <c r="U55" s="5" t="str">
        <f t="shared" si="2"/>
        <v>N</v>
      </c>
      <c r="X55" s="56"/>
      <c r="Y55" s="56"/>
      <c r="Z55" s="56"/>
      <c r="AA55" s="56"/>
      <c r="AC55" s="56"/>
    </row>
    <row r="56" spans="1:29" x14ac:dyDescent="0.25">
      <c r="A56" s="35"/>
      <c r="B56" s="32" t="e">
        <f>VLOOKUP(A56,Relay!$A$1:$B$50,2,FALSE)</f>
        <v>#N/A</v>
      </c>
      <c r="C56" s="32" t="e">
        <f>VLOOKUP(A56,Relay!$A$2:$C$101,3,FALSE)</f>
        <v>#N/A</v>
      </c>
      <c r="D56" s="39"/>
      <c r="E56" s="35"/>
      <c r="F56" s="58" t="str">
        <f t="shared" si="0"/>
        <v>INS</v>
      </c>
      <c r="G56" s="32" t="e">
        <f>IF(OR(E56="Jeopardy",E56="APP Moonlighting",E56="Differential Pay"),"",March[[#This Row],[SysID]])</f>
        <v>#N/A</v>
      </c>
      <c r="H56" s="32" t="e">
        <f>IF(E56="Jeopardy",IF(C56="MD",Relay!$E$7,Relay!$E$8),IF(C56="MD",IF(COUNTIF(G:G,B56)&gt;1,Relay!$E$2,Relay!$E$1),IF(AND(COUNTIF(G:G,B56)&gt;1,COUNTA(A56)&gt;0),Relay!$E$5,Relay!$E$4)))</f>
        <v>#N/A</v>
      </c>
      <c r="I56" s="8">
        <f t="shared" si="1"/>
        <v>0</v>
      </c>
      <c r="J56" s="35"/>
      <c r="K56" s="35"/>
      <c r="L56" s="35"/>
      <c r="M56" s="35"/>
      <c r="N56" s="32" t="e">
        <f>IF(H56=March!$E$2,"N",IF(AND(COUNTIF(B:B,B56)=1,D56&gt;14),"Y","N"))</f>
        <v>#N/A</v>
      </c>
      <c r="O56" s="55" t="str">
        <f>IF(COUNT(March[[#This Row],[Date]])&gt;0,IF(March[[#This Row],[Date]]&gt;14,"Yes","No"),"N/A")</f>
        <v>N/A</v>
      </c>
      <c r="P56" s="55"/>
      <c r="Q56" s="5">
        <f>Relay!A55</f>
        <v>0</v>
      </c>
      <c r="R56" s="5">
        <f>Relay!B55</f>
        <v>54</v>
      </c>
      <c r="S56" s="8">
        <f>IF(March[After the 14th?]="No",SUMIF(March[SysID],R56,March[Pay Amount]),0)+IF(Feb[After the 14th?]="Yes",SUMIF(Feb[SysID],R56,Feb[Pay Amount]),0)</f>
        <v>0</v>
      </c>
      <c r="T56" s="8"/>
      <c r="U56" s="5" t="str">
        <f t="shared" si="2"/>
        <v>N</v>
      </c>
      <c r="X56" s="56"/>
      <c r="Y56" s="56"/>
      <c r="Z56" s="56"/>
      <c r="AA56" s="56"/>
      <c r="AC56" s="56"/>
    </row>
    <row r="57" spans="1:29" x14ac:dyDescent="0.25">
      <c r="A57" s="35"/>
      <c r="B57" s="32" t="e">
        <f>VLOOKUP(A57,Relay!$A$1:$B$50,2,FALSE)</f>
        <v>#N/A</v>
      </c>
      <c r="C57" s="32" t="e">
        <f>VLOOKUP(A57,Relay!$A$2:$C$101,3,FALSE)</f>
        <v>#N/A</v>
      </c>
      <c r="D57" s="39"/>
      <c r="E57" s="35"/>
      <c r="F57" s="58" t="str">
        <f t="shared" si="0"/>
        <v>INS</v>
      </c>
      <c r="G57" s="32" t="e">
        <f>IF(OR(E57="Jeopardy",E57="APP Moonlighting",E57="Differential Pay"),"",March[[#This Row],[SysID]])</f>
        <v>#N/A</v>
      </c>
      <c r="H57" s="32" t="e">
        <f>IF(E57="Jeopardy",IF(C57="MD",Relay!$E$7,Relay!$E$8),IF(C57="MD",IF(COUNTIF(G:G,B57)&gt;1,Relay!$E$2,Relay!$E$1),IF(AND(COUNTIF(G:G,B57)&gt;1,COUNTA(A57)&gt;0),Relay!$E$5,Relay!$E$4)))</f>
        <v>#N/A</v>
      </c>
      <c r="I57" s="8">
        <f t="shared" si="1"/>
        <v>0</v>
      </c>
      <c r="J57" s="35"/>
      <c r="K57" s="35"/>
      <c r="L57" s="35"/>
      <c r="M57" s="35"/>
      <c r="N57" s="32" t="e">
        <f>IF(H57=March!$E$2,"N",IF(AND(COUNTIF(B:B,B57)=1,D57&gt;14),"Y","N"))</f>
        <v>#N/A</v>
      </c>
      <c r="O57" s="55" t="str">
        <f>IF(COUNT(March[[#This Row],[Date]])&gt;0,IF(March[[#This Row],[Date]]&gt;14,"Yes","No"),"N/A")</f>
        <v>N/A</v>
      </c>
      <c r="P57" s="55"/>
      <c r="Q57" s="5">
        <f>Relay!A56</f>
        <v>0</v>
      </c>
      <c r="R57" s="5">
        <f>Relay!B56</f>
        <v>55</v>
      </c>
      <c r="S57" s="8">
        <f>IF(March[After the 14th?]="No",SUMIF(March[SysID],R57,March[Pay Amount]),0)+IF(Feb[After the 14th?]="Yes",SUMIF(Feb[SysID],R57,Feb[Pay Amount]),0)</f>
        <v>0</v>
      </c>
      <c r="T57" s="8"/>
      <c r="U57" s="5" t="str">
        <f t="shared" si="2"/>
        <v>N</v>
      </c>
      <c r="X57" s="56"/>
      <c r="Y57" s="56"/>
      <c r="Z57" s="56"/>
      <c r="AA57" s="56"/>
      <c r="AC57" s="56"/>
    </row>
    <row r="58" spans="1:29" x14ac:dyDescent="0.25">
      <c r="A58" s="35"/>
      <c r="B58" s="32" t="e">
        <f>VLOOKUP(A58,Relay!$A$1:$B$50,2,FALSE)</f>
        <v>#N/A</v>
      </c>
      <c r="C58" s="32" t="e">
        <f>VLOOKUP(A58,Relay!$A$2:$C$101,3,FALSE)</f>
        <v>#N/A</v>
      </c>
      <c r="D58" s="39"/>
      <c r="E58" s="35"/>
      <c r="F58" s="58" t="str">
        <f t="shared" si="0"/>
        <v>INS</v>
      </c>
      <c r="G58" s="32" t="e">
        <f>IF(OR(E58="Jeopardy",E58="APP Moonlighting",E58="Differential Pay"),"",March[[#This Row],[SysID]])</f>
        <v>#N/A</v>
      </c>
      <c r="H58" s="32" t="e">
        <f>IF(E58="Jeopardy",IF(C58="MD",Relay!$E$7,Relay!$E$8),IF(C58="MD",IF(COUNTIF(G:G,B58)&gt;1,Relay!$E$2,Relay!$E$1),IF(AND(COUNTIF(G:G,B58)&gt;1,COUNTA(A58)&gt;0),Relay!$E$5,Relay!$E$4)))</f>
        <v>#N/A</v>
      </c>
      <c r="I58" s="8">
        <f t="shared" si="1"/>
        <v>0</v>
      </c>
      <c r="J58" s="35"/>
      <c r="K58" s="35"/>
      <c r="L58" s="35"/>
      <c r="M58" s="35"/>
      <c r="N58" s="32" t="e">
        <f>IF(H58=March!$E$2,"N",IF(AND(COUNTIF(B:B,B58)=1,D58&gt;14),"Y","N"))</f>
        <v>#N/A</v>
      </c>
      <c r="O58" s="55" t="str">
        <f>IF(COUNT(March[[#This Row],[Date]])&gt;0,IF(March[[#This Row],[Date]]&gt;14,"Yes","No"),"N/A")</f>
        <v>N/A</v>
      </c>
      <c r="P58" s="55"/>
      <c r="Q58" s="5">
        <f>Relay!A57</f>
        <v>0</v>
      </c>
      <c r="R58" s="5">
        <f>Relay!B57</f>
        <v>56</v>
      </c>
      <c r="S58" s="8">
        <f>IF(March[After the 14th?]="No",SUMIF(March[SysID],R58,March[Pay Amount]),0)+IF(Feb[After the 14th?]="Yes",SUMIF(Feb[SysID],R58,Feb[Pay Amount]),0)</f>
        <v>0</v>
      </c>
      <c r="T58" s="8"/>
      <c r="U58" s="5" t="str">
        <f t="shared" si="2"/>
        <v>N</v>
      </c>
      <c r="X58" s="56"/>
      <c r="Y58" s="56"/>
      <c r="Z58" s="56"/>
      <c r="AA58" s="56"/>
      <c r="AC58" s="56"/>
    </row>
    <row r="59" spans="1:29" x14ac:dyDescent="0.25">
      <c r="A59" s="35"/>
      <c r="B59" s="32" t="e">
        <f>VLOOKUP(A59,Relay!$A$1:$B$50,2,FALSE)</f>
        <v>#N/A</v>
      </c>
      <c r="C59" s="32" t="e">
        <f>VLOOKUP(A59,Relay!$A$2:$C$101,3,FALSE)</f>
        <v>#N/A</v>
      </c>
      <c r="D59" s="39"/>
      <c r="E59" s="35"/>
      <c r="F59" s="58" t="str">
        <f t="shared" si="0"/>
        <v>INS</v>
      </c>
      <c r="G59" s="32" t="e">
        <f>IF(OR(E59="Jeopardy",E59="APP Moonlighting",E59="Differential Pay"),"",March[[#This Row],[SysID]])</f>
        <v>#N/A</v>
      </c>
      <c r="H59" s="32" t="e">
        <f>IF(E59="Jeopardy",IF(C59="MD",Relay!$E$7,Relay!$E$8),IF(C59="MD",IF(COUNTIF(G:G,B59)&gt;1,Relay!$E$2,Relay!$E$1),IF(AND(COUNTIF(G:G,B59)&gt;1,COUNTA(A59)&gt;0),Relay!$E$5,Relay!$E$4)))</f>
        <v>#N/A</v>
      </c>
      <c r="I59" s="8">
        <f t="shared" si="1"/>
        <v>0</v>
      </c>
      <c r="J59" s="35"/>
      <c r="K59" s="35"/>
      <c r="L59" s="35"/>
      <c r="M59" s="35"/>
      <c r="N59" s="32" t="e">
        <f>IF(H59=March!$E$2,"N",IF(AND(COUNTIF(B:B,B59)=1,D59&gt;14),"Y","N"))</f>
        <v>#N/A</v>
      </c>
      <c r="O59" s="55" t="str">
        <f>IF(COUNT(March[[#This Row],[Date]])&gt;0,IF(March[[#This Row],[Date]]&gt;14,"Yes","No"),"N/A")</f>
        <v>N/A</v>
      </c>
      <c r="P59" s="55"/>
      <c r="Q59" s="5">
        <f>Relay!A58</f>
        <v>0</v>
      </c>
      <c r="R59" s="5">
        <f>Relay!B58</f>
        <v>57</v>
      </c>
      <c r="S59" s="8">
        <f>IF(March[After the 14th?]="No",SUMIF(March[SysID],R59,March[Pay Amount]),0)+IF(Feb[After the 14th?]="Yes",SUMIF(Feb[SysID],R59,Feb[Pay Amount]),0)</f>
        <v>0</v>
      </c>
      <c r="T59" s="8"/>
      <c r="U59" s="5" t="str">
        <f t="shared" si="2"/>
        <v>N</v>
      </c>
      <c r="X59" s="56"/>
      <c r="Y59" s="56"/>
      <c r="Z59" s="56"/>
      <c r="AA59" s="56"/>
      <c r="AC59" s="56"/>
    </row>
    <row r="60" spans="1:29" x14ac:dyDescent="0.25">
      <c r="A60" s="35"/>
      <c r="B60" s="32" t="e">
        <f>VLOOKUP(A60,Relay!$A$1:$B$50,2,FALSE)</f>
        <v>#N/A</v>
      </c>
      <c r="C60" s="32" t="e">
        <f>VLOOKUP(A60,Relay!$A$2:$C$101,3,FALSE)</f>
        <v>#N/A</v>
      </c>
      <c r="D60" s="39"/>
      <c r="E60" s="35"/>
      <c r="F60" s="58" t="str">
        <f t="shared" si="0"/>
        <v>INS</v>
      </c>
      <c r="G60" s="32" t="e">
        <f>IF(OR(E60="Jeopardy",E60="APP Moonlighting",E60="Differential Pay"),"",March[[#This Row],[SysID]])</f>
        <v>#N/A</v>
      </c>
      <c r="H60" s="32" t="e">
        <f>IF(E60="Jeopardy",IF(C60="MD",Relay!$E$7,Relay!$E$8),IF(C60="MD",IF(COUNTIF(G:G,B60)&gt;1,Relay!$E$2,Relay!$E$1),IF(AND(COUNTIF(G:G,B60)&gt;1,COUNTA(A60)&gt;0),Relay!$E$5,Relay!$E$4)))</f>
        <v>#N/A</v>
      </c>
      <c r="I60" s="8">
        <f t="shared" si="1"/>
        <v>0</v>
      </c>
      <c r="J60" s="35"/>
      <c r="K60" s="35"/>
      <c r="L60" s="35"/>
      <c r="M60" s="35"/>
      <c r="N60" s="32" t="e">
        <f>IF(H60=March!$E$2,"N",IF(AND(COUNTIF(B:B,B60)=1,D60&gt;14),"Y","N"))</f>
        <v>#N/A</v>
      </c>
      <c r="O60" s="55" t="str">
        <f>IF(COUNT(March[[#This Row],[Date]])&gt;0,IF(March[[#This Row],[Date]]&gt;14,"Yes","No"),"N/A")</f>
        <v>N/A</v>
      </c>
      <c r="P60" s="55"/>
      <c r="Q60" s="5">
        <f>Relay!A59</f>
        <v>0</v>
      </c>
      <c r="R60" s="5">
        <f>Relay!B59</f>
        <v>58</v>
      </c>
      <c r="S60" s="8">
        <f>IF(March[After the 14th?]="No",SUMIF(March[SysID],R60,March[Pay Amount]),0)+IF(Feb[After the 14th?]="Yes",SUMIF(Feb[SysID],R60,Feb[Pay Amount]),0)</f>
        <v>0</v>
      </c>
      <c r="T60" s="8"/>
      <c r="U60" s="5" t="str">
        <f t="shared" si="2"/>
        <v>N</v>
      </c>
      <c r="X60" s="56"/>
      <c r="Y60" s="56"/>
      <c r="Z60" s="56"/>
      <c r="AA60" s="56"/>
      <c r="AC60" s="56"/>
    </row>
    <row r="61" spans="1:29" x14ac:dyDescent="0.25">
      <c r="A61" s="35"/>
      <c r="B61" s="32" t="e">
        <f>VLOOKUP(A61,Relay!$A$1:$B$50,2,FALSE)</f>
        <v>#N/A</v>
      </c>
      <c r="C61" s="32" t="e">
        <f>VLOOKUP(A61,Relay!$A$2:$C$101,3,FALSE)</f>
        <v>#N/A</v>
      </c>
      <c r="D61" s="39"/>
      <c r="E61" s="35"/>
      <c r="F61" s="58" t="str">
        <f t="shared" si="0"/>
        <v>INS</v>
      </c>
      <c r="G61" s="32" t="e">
        <f>IF(OR(E61="Jeopardy",E61="APP Moonlighting",E61="Differential Pay"),"",March[[#This Row],[SysID]])</f>
        <v>#N/A</v>
      </c>
      <c r="H61" s="32" t="e">
        <f>IF(E61="Jeopardy",IF(C61="MD",Relay!$E$7,Relay!$E$8),IF(C61="MD",IF(COUNTIF(G:G,B61)&gt;1,Relay!$E$2,Relay!$E$1),IF(AND(COUNTIF(G:G,B61)&gt;1,COUNTA(A61)&gt;0),Relay!$E$5,Relay!$E$4)))</f>
        <v>#N/A</v>
      </c>
      <c r="I61" s="8">
        <f t="shared" si="1"/>
        <v>0</v>
      </c>
      <c r="J61" s="35"/>
      <c r="K61" s="35"/>
      <c r="L61" s="35"/>
      <c r="M61" s="35"/>
      <c r="N61" s="32" t="e">
        <f>IF(H61=March!$E$2,"N",IF(AND(COUNTIF(B:B,B61)=1,D61&gt;14),"Y","N"))</f>
        <v>#N/A</v>
      </c>
      <c r="O61" s="55" t="str">
        <f>IF(COUNT(March[[#This Row],[Date]])&gt;0,IF(March[[#This Row],[Date]]&gt;14,"Yes","No"),"N/A")</f>
        <v>N/A</v>
      </c>
      <c r="P61" s="55"/>
      <c r="Q61" s="5">
        <f>Relay!A60</f>
        <v>0</v>
      </c>
      <c r="R61" s="5">
        <f>Relay!B60</f>
        <v>59</v>
      </c>
      <c r="S61" s="8">
        <f>IF(March[After the 14th?]="No",SUMIF(March[SysID],R61,March[Pay Amount]),0)+IF(Feb[After the 14th?]="Yes",SUMIF(Feb[SysID],R61,Feb[Pay Amount]),0)</f>
        <v>0</v>
      </c>
      <c r="T61" s="8"/>
      <c r="U61" s="5" t="str">
        <f t="shared" si="2"/>
        <v>N</v>
      </c>
      <c r="X61" s="56"/>
      <c r="Y61" s="56"/>
      <c r="Z61" s="56"/>
      <c r="AA61" s="56"/>
      <c r="AC61" s="56"/>
    </row>
    <row r="62" spans="1:29" x14ac:dyDescent="0.25">
      <c r="A62" s="35"/>
      <c r="B62" s="32" t="e">
        <f>VLOOKUP(A62,Relay!$A$1:$B$50,2,FALSE)</f>
        <v>#N/A</v>
      </c>
      <c r="C62" s="32" t="e">
        <f>VLOOKUP(A62,Relay!$A$2:$C$101,3,FALSE)</f>
        <v>#N/A</v>
      </c>
      <c r="D62" s="39"/>
      <c r="E62" s="35"/>
      <c r="F62" s="58" t="str">
        <f t="shared" si="0"/>
        <v>INS</v>
      </c>
      <c r="G62" s="32" t="e">
        <f>IF(OR(E62="Jeopardy",E62="APP Moonlighting",E62="Differential Pay"),"",March[[#This Row],[SysID]])</f>
        <v>#N/A</v>
      </c>
      <c r="H62" s="32" t="e">
        <f>IF(E62="Jeopardy",IF(C62="MD",Relay!$E$7,Relay!$E$8),IF(C62="MD",IF(COUNTIF(G:G,B62)&gt;1,Relay!$E$2,Relay!$E$1),IF(AND(COUNTIF(G:G,B62)&gt;1,COUNTA(A62)&gt;0),Relay!$E$5,Relay!$E$4)))</f>
        <v>#N/A</v>
      </c>
      <c r="I62" s="8">
        <f t="shared" si="1"/>
        <v>0</v>
      </c>
      <c r="J62" s="35"/>
      <c r="K62" s="35"/>
      <c r="L62" s="35"/>
      <c r="M62" s="35"/>
      <c r="N62" s="32" t="e">
        <f>IF(H62=March!$E$2,"N",IF(AND(COUNTIF(B:B,B62)=1,D62&gt;14),"Y","N"))</f>
        <v>#N/A</v>
      </c>
      <c r="O62" s="55" t="str">
        <f>IF(COUNT(March[[#This Row],[Date]])&gt;0,IF(March[[#This Row],[Date]]&gt;14,"Yes","No"),"N/A")</f>
        <v>N/A</v>
      </c>
      <c r="P62" s="55"/>
      <c r="Q62" s="5">
        <f>Relay!A61</f>
        <v>0</v>
      </c>
      <c r="R62" s="5">
        <f>Relay!B61</f>
        <v>60</v>
      </c>
      <c r="S62" s="8">
        <f>IF(March[After the 14th?]="No",SUMIF(March[SysID],R62,March[Pay Amount]),0)+IF(Feb[After the 14th?]="Yes",SUMIF(Feb[SysID],R62,Feb[Pay Amount]),0)</f>
        <v>0</v>
      </c>
      <c r="T62" s="8"/>
      <c r="U62" s="5" t="str">
        <f t="shared" si="2"/>
        <v>N</v>
      </c>
      <c r="X62" s="56"/>
      <c r="Y62" s="56"/>
      <c r="Z62" s="56"/>
      <c r="AA62" s="56"/>
      <c r="AC62" s="56"/>
    </row>
    <row r="63" spans="1:29" x14ac:dyDescent="0.25">
      <c r="A63" s="35"/>
      <c r="B63" s="32" t="e">
        <f>VLOOKUP(A63,Relay!$A$1:$B$50,2,FALSE)</f>
        <v>#N/A</v>
      </c>
      <c r="C63" s="32" t="e">
        <f>VLOOKUP(A63,Relay!$A$2:$C$101,3,FALSE)</f>
        <v>#N/A</v>
      </c>
      <c r="D63" s="39"/>
      <c r="E63" s="35"/>
      <c r="F63" s="58" t="str">
        <f t="shared" si="0"/>
        <v>INS</v>
      </c>
      <c r="G63" s="32" t="e">
        <f>IF(OR(E63="Jeopardy",E63="APP Moonlighting",E63="Differential Pay"),"",March[[#This Row],[SysID]])</f>
        <v>#N/A</v>
      </c>
      <c r="H63" s="32" t="e">
        <f>IF(E63="Jeopardy",IF(C63="MD",Relay!$E$7,Relay!$E$8),IF(C63="MD",IF(COUNTIF(G:G,B63)&gt;1,Relay!$E$2,Relay!$E$1),IF(AND(COUNTIF(G:G,B63)&gt;1,COUNTA(A63)&gt;0),Relay!$E$5,Relay!$E$4)))</f>
        <v>#N/A</v>
      </c>
      <c r="I63" s="8">
        <f t="shared" si="1"/>
        <v>0</v>
      </c>
      <c r="J63" s="35"/>
      <c r="K63" s="35"/>
      <c r="L63" s="35"/>
      <c r="M63" s="35"/>
      <c r="N63" s="32" t="e">
        <f>IF(H63=March!$E$2,"N",IF(AND(COUNTIF(B:B,B63)=1,D63&gt;14),"Y","N"))</f>
        <v>#N/A</v>
      </c>
      <c r="O63" s="55" t="str">
        <f>IF(COUNT(March[[#This Row],[Date]])&gt;0,IF(March[[#This Row],[Date]]&gt;14,"Yes","No"),"N/A")</f>
        <v>N/A</v>
      </c>
      <c r="P63" s="55"/>
      <c r="Q63" s="5">
        <f>Relay!A62</f>
        <v>0</v>
      </c>
      <c r="R63" s="5">
        <f>Relay!B62</f>
        <v>61</v>
      </c>
      <c r="S63" s="8">
        <f>IF(March[After the 14th?]="No",SUMIF(March[SysID],R63,March[Pay Amount]),0)+IF(Feb[After the 14th?]="Yes",SUMIF(Feb[SysID],R63,Feb[Pay Amount]),0)</f>
        <v>0</v>
      </c>
      <c r="T63" s="8"/>
      <c r="U63" s="5" t="str">
        <f t="shared" si="2"/>
        <v>N</v>
      </c>
      <c r="X63" s="56"/>
      <c r="Y63" s="56"/>
      <c r="Z63" s="56"/>
      <c r="AA63" s="56"/>
      <c r="AC63" s="56"/>
    </row>
    <row r="64" spans="1:29" x14ac:dyDescent="0.25">
      <c r="A64" s="35"/>
      <c r="B64" s="32" t="e">
        <f>VLOOKUP(A64,Relay!$A$1:$B$50,2,FALSE)</f>
        <v>#N/A</v>
      </c>
      <c r="C64" s="32" t="e">
        <f>VLOOKUP(A64,Relay!$A$2:$C$101,3,FALSE)</f>
        <v>#N/A</v>
      </c>
      <c r="D64" s="39"/>
      <c r="E64" s="35"/>
      <c r="F64" s="58" t="str">
        <f t="shared" si="0"/>
        <v>INS</v>
      </c>
      <c r="G64" s="32" t="e">
        <f>IF(OR(E64="Jeopardy",E64="APP Moonlighting",E64="Differential Pay"),"",March[[#This Row],[SysID]])</f>
        <v>#N/A</v>
      </c>
      <c r="H64" s="32" t="e">
        <f>IF(E64="Jeopardy",IF(C64="MD",Relay!$E$7,Relay!$E$8),IF(C64="MD",IF(COUNTIF(G:G,B64)&gt;1,Relay!$E$2,Relay!$E$1),IF(AND(COUNTIF(G:G,B64)&gt;1,COUNTA(A64)&gt;0),Relay!$E$5,Relay!$E$4)))</f>
        <v>#N/A</v>
      </c>
      <c r="I64" s="8">
        <f t="shared" si="1"/>
        <v>0</v>
      </c>
      <c r="J64" s="35"/>
      <c r="K64" s="35"/>
      <c r="L64" s="35"/>
      <c r="M64" s="35"/>
      <c r="N64" s="32" t="e">
        <f>IF(H64=March!$E$2,"N",IF(AND(COUNTIF(B:B,B64)=1,D64&gt;14),"Y","N"))</f>
        <v>#N/A</v>
      </c>
      <c r="O64" s="55" t="str">
        <f>IF(COUNT(March[[#This Row],[Date]])&gt;0,IF(March[[#This Row],[Date]]&gt;14,"Yes","No"),"N/A")</f>
        <v>N/A</v>
      </c>
      <c r="P64" s="55"/>
      <c r="Q64" s="5">
        <f>Relay!A63</f>
        <v>0</v>
      </c>
      <c r="R64" s="5">
        <f>Relay!B63</f>
        <v>62</v>
      </c>
      <c r="S64" s="8">
        <f>IF(March[After the 14th?]="No",SUMIF(March[SysID],R64,March[Pay Amount]),0)+IF(Feb[After the 14th?]="Yes",SUMIF(Feb[SysID],R64,Feb[Pay Amount]),0)</f>
        <v>0</v>
      </c>
      <c r="T64" s="8"/>
      <c r="U64" s="5" t="str">
        <f t="shared" si="2"/>
        <v>N</v>
      </c>
      <c r="X64" s="56"/>
      <c r="Y64" s="56"/>
      <c r="Z64" s="56"/>
      <c r="AA64" s="56"/>
      <c r="AC64" s="56"/>
    </row>
    <row r="65" spans="1:29" x14ac:dyDescent="0.25">
      <c r="A65" s="35"/>
      <c r="B65" s="32" t="e">
        <f>VLOOKUP(A65,Relay!$A$1:$B$50,2,FALSE)</f>
        <v>#N/A</v>
      </c>
      <c r="C65" s="32" t="e">
        <f>VLOOKUP(A65,Relay!$A$2:$C$101,3,FALSE)</f>
        <v>#N/A</v>
      </c>
      <c r="D65" s="39"/>
      <c r="E65" s="35"/>
      <c r="F65" s="58" t="str">
        <f t="shared" si="0"/>
        <v>INS</v>
      </c>
      <c r="G65" s="32" t="e">
        <f>IF(OR(E65="Jeopardy",E65="APP Moonlighting",E65="Differential Pay"),"",March[[#This Row],[SysID]])</f>
        <v>#N/A</v>
      </c>
      <c r="H65" s="32" t="e">
        <f>IF(E65="Jeopardy",IF(C65="MD",Relay!$E$7,Relay!$E$8),IF(C65="MD",IF(COUNTIF(G:G,B65)&gt;1,Relay!$E$2,Relay!$E$1),IF(AND(COUNTIF(G:G,B65)&gt;1,COUNTA(A65)&gt;0),Relay!$E$5,Relay!$E$4)))</f>
        <v>#N/A</v>
      </c>
      <c r="I65" s="8">
        <f t="shared" si="1"/>
        <v>0</v>
      </c>
      <c r="J65" s="35"/>
      <c r="K65" s="35"/>
      <c r="L65" s="35"/>
      <c r="M65" s="35"/>
      <c r="N65" s="32" t="e">
        <f>IF(H65=March!$E$2,"N",IF(AND(COUNTIF(B:B,B65)=1,D65&gt;14),"Y","N"))</f>
        <v>#N/A</v>
      </c>
      <c r="O65" s="55" t="str">
        <f>IF(COUNT(March[[#This Row],[Date]])&gt;0,IF(March[[#This Row],[Date]]&gt;14,"Yes","No"),"N/A")</f>
        <v>N/A</v>
      </c>
      <c r="P65" s="55"/>
      <c r="Q65" s="5">
        <f>Relay!A64</f>
        <v>0</v>
      </c>
      <c r="R65" s="5">
        <f>Relay!B64</f>
        <v>63</v>
      </c>
      <c r="S65" s="8">
        <f>IF(March[After the 14th?]="No",SUMIF(March[SysID],R65,March[Pay Amount]),0)+IF(Feb[After the 14th?]="Yes",SUMIF(Feb[SysID],R65,Feb[Pay Amount]),0)</f>
        <v>0</v>
      </c>
      <c r="T65" s="8"/>
      <c r="U65" s="5" t="str">
        <f t="shared" si="2"/>
        <v>N</v>
      </c>
      <c r="X65" s="56"/>
      <c r="Y65" s="56"/>
      <c r="Z65" s="56"/>
      <c r="AA65" s="56"/>
      <c r="AC65" s="56"/>
    </row>
    <row r="66" spans="1:29" x14ac:dyDescent="0.25">
      <c r="A66" s="35"/>
      <c r="B66" s="32" t="e">
        <f>VLOOKUP(A66,Relay!$A$1:$B$50,2,FALSE)</f>
        <v>#N/A</v>
      </c>
      <c r="C66" s="32" t="e">
        <f>VLOOKUP(A66,Relay!$A$2:$C$101,3,FALSE)</f>
        <v>#N/A</v>
      </c>
      <c r="D66" s="39"/>
      <c r="E66" s="35"/>
      <c r="F66" s="58" t="str">
        <f t="shared" si="0"/>
        <v>INS</v>
      </c>
      <c r="G66" s="32" t="e">
        <f>IF(OR(E66="Jeopardy",E66="APP Moonlighting",E66="Differential Pay"),"",March[[#This Row],[SysID]])</f>
        <v>#N/A</v>
      </c>
      <c r="H66" s="32" t="e">
        <f>IF(E66="Jeopardy",IF(C66="MD",Relay!$E$7,Relay!$E$8),IF(C66="MD",IF(COUNTIF(G:G,B66)&gt;1,Relay!$E$2,Relay!$E$1),IF(AND(COUNTIF(G:G,B66)&gt;1,COUNTA(A66)&gt;0),Relay!$E$5,Relay!$E$4)))</f>
        <v>#N/A</v>
      </c>
      <c r="I66" s="8">
        <f t="shared" si="1"/>
        <v>0</v>
      </c>
      <c r="J66" s="35"/>
      <c r="K66" s="35"/>
      <c r="L66" s="35"/>
      <c r="M66" s="35"/>
      <c r="N66" s="32" t="e">
        <f>IF(H66=March!$E$2,"N",IF(AND(COUNTIF(B:B,B66)=1,D66&gt;14),"Y","N"))</f>
        <v>#N/A</v>
      </c>
      <c r="O66" s="55" t="str">
        <f>IF(COUNT(March[[#This Row],[Date]])&gt;0,IF(March[[#This Row],[Date]]&gt;14,"Yes","No"),"N/A")</f>
        <v>N/A</v>
      </c>
      <c r="P66" s="55"/>
      <c r="Q66" s="5">
        <f>Relay!A65</f>
        <v>0</v>
      </c>
      <c r="R66" s="5">
        <f>Relay!B65</f>
        <v>64</v>
      </c>
      <c r="S66" s="8">
        <f>IF(March[After the 14th?]="No",SUMIF(March[SysID],R66,March[Pay Amount]),0)+IF(Feb[After the 14th?]="Yes",SUMIF(Feb[SysID],R66,Feb[Pay Amount]),0)</f>
        <v>0</v>
      </c>
      <c r="T66" s="8"/>
      <c r="U66" s="5" t="str">
        <f t="shared" si="2"/>
        <v>N</v>
      </c>
      <c r="X66" s="56"/>
      <c r="Y66" s="56"/>
      <c r="Z66" s="56"/>
      <c r="AA66" s="56"/>
      <c r="AC66" s="56"/>
    </row>
    <row r="67" spans="1:29" x14ac:dyDescent="0.25">
      <c r="A67" s="35"/>
      <c r="B67" s="32" t="e">
        <f>VLOOKUP(A67,Relay!$A$1:$B$50,2,FALSE)</f>
        <v>#N/A</v>
      </c>
      <c r="C67" s="32" t="e">
        <f>VLOOKUP(A67,Relay!$A$2:$C$101,3,FALSE)</f>
        <v>#N/A</v>
      </c>
      <c r="D67" s="39"/>
      <c r="E67" s="35"/>
      <c r="F67" s="58" t="str">
        <f t="shared" ref="F67:F103" si="3">IF(E67="Moonlighting", 12, "INS")</f>
        <v>INS</v>
      </c>
      <c r="G67" s="32" t="e">
        <f>IF(OR(E67="Jeopardy",E67="APP Moonlighting",E67="Differential Pay"),"",March[[#This Row],[SysID]])</f>
        <v>#N/A</v>
      </c>
      <c r="H67" s="32" t="e">
        <f>IF(E67="Jeopardy",IF(C67="MD",Relay!$E$7,Relay!$E$8),IF(C67="MD",IF(COUNTIF(G:G,B67)&gt;1,Relay!$E$2,Relay!$E$1),IF(AND(COUNTIF(G:G,B67)&gt;1,COUNTA(A67)&gt;0),Relay!$E$5,Relay!$E$4)))</f>
        <v>#N/A</v>
      </c>
      <c r="I67" s="8">
        <f t="shared" ref="I67:I103" si="4">IF(COUNTA(A67)&gt;0,H67*F67,0)</f>
        <v>0</v>
      </c>
      <c r="J67" s="35"/>
      <c r="K67" s="35"/>
      <c r="L67" s="35"/>
      <c r="M67" s="35"/>
      <c r="N67" s="32" t="e">
        <f>IF(H67=March!$E$2,"N",IF(AND(COUNTIF(B:B,B67)=1,D67&gt;14),"Y","N"))</f>
        <v>#N/A</v>
      </c>
      <c r="O67" s="55" t="str">
        <f>IF(COUNT(March[[#This Row],[Date]])&gt;0,IF(March[[#This Row],[Date]]&gt;14,"Yes","No"),"N/A")</f>
        <v>N/A</v>
      </c>
      <c r="P67" s="55"/>
      <c r="Q67" s="5">
        <f>Relay!A66</f>
        <v>0</v>
      </c>
      <c r="R67" s="5">
        <f>Relay!B66</f>
        <v>65</v>
      </c>
      <c r="S67" s="8">
        <f>IF(March[After the 14th?]="No",SUMIF(March[SysID],R67,March[Pay Amount]),0)+IF(Feb[After the 14th?]="Yes",SUMIF(Feb[SysID],R67,Feb[Pay Amount]),0)</f>
        <v>0</v>
      </c>
      <c r="T67" s="8"/>
      <c r="U67" s="5" t="str">
        <f t="shared" ref="U67:U103" si="5">IF(S67=T67,"N","Y")</f>
        <v>N</v>
      </c>
      <c r="X67" s="56"/>
      <c r="Y67" s="56"/>
      <c r="Z67" s="56"/>
      <c r="AA67" s="56"/>
      <c r="AC67" s="56"/>
    </row>
    <row r="68" spans="1:29" x14ac:dyDescent="0.25">
      <c r="A68" s="35"/>
      <c r="B68" s="32" t="e">
        <f>VLOOKUP(A68,Relay!$A$1:$B$50,2,FALSE)</f>
        <v>#N/A</v>
      </c>
      <c r="C68" s="32" t="e">
        <f>VLOOKUP(A68,Relay!$A$2:$C$101,3,FALSE)</f>
        <v>#N/A</v>
      </c>
      <c r="D68" s="39"/>
      <c r="E68" s="35"/>
      <c r="F68" s="58" t="str">
        <f t="shared" si="3"/>
        <v>INS</v>
      </c>
      <c r="G68" s="32" t="e">
        <f>IF(OR(E68="Jeopardy",E68="APP Moonlighting",E68="Differential Pay"),"",March[[#This Row],[SysID]])</f>
        <v>#N/A</v>
      </c>
      <c r="H68" s="32" t="e">
        <f>IF(E68="Jeopardy",IF(C68="MD",Relay!$E$7,Relay!$E$8),IF(C68="MD",IF(COUNTIF(G:G,B68)&gt;1,Relay!$E$2,Relay!$E$1),IF(AND(COUNTIF(G:G,B68)&gt;1,COUNTA(A68)&gt;0),Relay!$E$5,Relay!$E$4)))</f>
        <v>#N/A</v>
      </c>
      <c r="I68" s="8">
        <f t="shared" si="4"/>
        <v>0</v>
      </c>
      <c r="J68" s="35"/>
      <c r="K68" s="35"/>
      <c r="L68" s="35"/>
      <c r="M68" s="35"/>
      <c r="N68" s="32" t="e">
        <f>IF(H68=March!$E$2,"N",IF(AND(COUNTIF(B:B,B68)=1,D68&gt;14),"Y","N"))</f>
        <v>#N/A</v>
      </c>
      <c r="O68" s="55" t="str">
        <f>IF(COUNT(March[[#This Row],[Date]])&gt;0,IF(March[[#This Row],[Date]]&gt;14,"Yes","No"),"N/A")</f>
        <v>N/A</v>
      </c>
      <c r="P68" s="55"/>
      <c r="Q68" s="5">
        <f>Relay!A67</f>
        <v>0</v>
      </c>
      <c r="R68" s="5">
        <f>Relay!B67</f>
        <v>66</v>
      </c>
      <c r="S68" s="8">
        <f>IF(March[After the 14th?]="No",SUMIF(March[SysID],R68,March[Pay Amount]),0)+IF(Feb[After the 14th?]="Yes",SUMIF(Feb[SysID],R68,Feb[Pay Amount]),0)</f>
        <v>0</v>
      </c>
      <c r="T68" s="8"/>
      <c r="U68" s="5" t="str">
        <f t="shared" si="5"/>
        <v>N</v>
      </c>
      <c r="X68" s="56"/>
      <c r="Y68" s="56"/>
      <c r="Z68" s="56"/>
      <c r="AA68" s="56"/>
      <c r="AC68" s="56"/>
    </row>
    <row r="69" spans="1:29" x14ac:dyDescent="0.25">
      <c r="A69" s="35"/>
      <c r="B69" s="32" t="e">
        <f>VLOOKUP(A69,Relay!$A$1:$B$50,2,FALSE)</f>
        <v>#N/A</v>
      </c>
      <c r="C69" s="32" t="e">
        <f>VLOOKUP(A69,Relay!$A$2:$C$101,3,FALSE)</f>
        <v>#N/A</v>
      </c>
      <c r="D69" s="39"/>
      <c r="E69" s="35"/>
      <c r="F69" s="58" t="str">
        <f t="shared" si="3"/>
        <v>INS</v>
      </c>
      <c r="G69" s="32" t="e">
        <f>IF(OR(E69="Jeopardy",E69="APP Moonlighting",E69="Differential Pay"),"",March[[#This Row],[SysID]])</f>
        <v>#N/A</v>
      </c>
      <c r="H69" s="32" t="e">
        <f>IF(E69="Jeopardy",IF(C69="MD",Relay!$E$7,Relay!$E$8),IF(C69="MD",IF(COUNTIF(G:G,B69)&gt;1,Relay!$E$2,Relay!$E$1),IF(AND(COUNTIF(G:G,B69)&gt;1,COUNTA(A69)&gt;0),Relay!$E$5,Relay!$E$4)))</f>
        <v>#N/A</v>
      </c>
      <c r="I69" s="8">
        <f t="shared" si="4"/>
        <v>0</v>
      </c>
      <c r="J69" s="35"/>
      <c r="K69" s="35"/>
      <c r="L69" s="35"/>
      <c r="M69" s="35"/>
      <c r="N69" s="32" t="e">
        <f>IF(H69=March!$E$2,"N",IF(AND(COUNTIF(B:B,B69)=1,D69&gt;14),"Y","N"))</f>
        <v>#N/A</v>
      </c>
      <c r="O69" s="55" t="str">
        <f>IF(COUNT(March[[#This Row],[Date]])&gt;0,IF(March[[#This Row],[Date]]&gt;14,"Yes","No"),"N/A")</f>
        <v>N/A</v>
      </c>
      <c r="P69" s="55"/>
      <c r="Q69" s="5">
        <f>Relay!A68</f>
        <v>0</v>
      </c>
      <c r="R69" s="5">
        <f>Relay!B68</f>
        <v>67</v>
      </c>
      <c r="S69" s="8">
        <f>IF(March[After the 14th?]="No",SUMIF(March[SysID],R69,March[Pay Amount]),0)+IF(Feb[After the 14th?]="Yes",SUMIF(Feb[SysID],R69,Feb[Pay Amount]),0)</f>
        <v>0</v>
      </c>
      <c r="T69" s="8"/>
      <c r="U69" s="5" t="str">
        <f t="shared" si="5"/>
        <v>N</v>
      </c>
      <c r="X69" s="56"/>
      <c r="Y69" s="56"/>
      <c r="Z69" s="56"/>
      <c r="AA69" s="56"/>
      <c r="AC69" s="56"/>
    </row>
    <row r="70" spans="1:29" x14ac:dyDescent="0.25">
      <c r="A70" s="35"/>
      <c r="B70" s="32" t="e">
        <f>VLOOKUP(A70,Relay!$A$1:$B$50,2,FALSE)</f>
        <v>#N/A</v>
      </c>
      <c r="C70" s="32" t="e">
        <f>VLOOKUP(A70,Relay!$A$2:$C$101,3,FALSE)</f>
        <v>#N/A</v>
      </c>
      <c r="D70" s="39"/>
      <c r="E70" s="35"/>
      <c r="F70" s="58" t="str">
        <f t="shared" si="3"/>
        <v>INS</v>
      </c>
      <c r="G70" s="32" t="e">
        <f>IF(OR(E70="Jeopardy",E70="APP Moonlighting",E70="Differential Pay"),"",March[[#This Row],[SysID]])</f>
        <v>#N/A</v>
      </c>
      <c r="H70" s="32" t="e">
        <f>IF(E70="Jeopardy",IF(C70="MD",Relay!$E$7,Relay!$E$8),IF(C70="MD",IF(COUNTIF(G:G,B70)&gt;1,Relay!$E$2,Relay!$E$1),IF(AND(COUNTIF(G:G,B70)&gt;1,COUNTA(A70)&gt;0),Relay!$E$5,Relay!$E$4)))</f>
        <v>#N/A</v>
      </c>
      <c r="I70" s="8">
        <f t="shared" si="4"/>
        <v>0</v>
      </c>
      <c r="J70" s="35"/>
      <c r="K70" s="35"/>
      <c r="L70" s="35"/>
      <c r="M70" s="35"/>
      <c r="N70" s="32" t="e">
        <f>IF(H70=March!$E$2,"N",IF(AND(COUNTIF(B:B,B70)=1,D70&gt;14),"Y","N"))</f>
        <v>#N/A</v>
      </c>
      <c r="O70" s="55" t="str">
        <f>IF(COUNT(March[[#This Row],[Date]])&gt;0,IF(March[[#This Row],[Date]]&gt;14,"Yes","No"),"N/A")</f>
        <v>N/A</v>
      </c>
      <c r="P70" s="55"/>
      <c r="Q70" s="5">
        <f>Relay!A69</f>
        <v>0</v>
      </c>
      <c r="R70" s="5">
        <f>Relay!B69</f>
        <v>68</v>
      </c>
      <c r="S70" s="8">
        <f>IF(March[After the 14th?]="No",SUMIF(March[SysID],R70,March[Pay Amount]),0)+IF(Feb[After the 14th?]="Yes",SUMIF(Feb[SysID],R70,Feb[Pay Amount]),0)</f>
        <v>0</v>
      </c>
      <c r="T70" s="8"/>
      <c r="U70" s="5" t="str">
        <f t="shared" si="5"/>
        <v>N</v>
      </c>
      <c r="X70" s="56"/>
      <c r="Y70" s="56"/>
      <c r="Z70" s="56"/>
      <c r="AA70" s="56"/>
      <c r="AC70" s="56"/>
    </row>
    <row r="71" spans="1:29" x14ac:dyDescent="0.25">
      <c r="A71" s="35"/>
      <c r="B71" s="32" t="e">
        <f>VLOOKUP(A71,Relay!$A$1:$B$50,2,FALSE)</f>
        <v>#N/A</v>
      </c>
      <c r="C71" s="32" t="e">
        <f>VLOOKUP(A71,Relay!$A$2:$C$101,3,FALSE)</f>
        <v>#N/A</v>
      </c>
      <c r="D71" s="39"/>
      <c r="E71" s="35"/>
      <c r="F71" s="58" t="str">
        <f t="shared" si="3"/>
        <v>INS</v>
      </c>
      <c r="G71" s="32" t="e">
        <f>IF(OR(E71="Jeopardy",E71="APP Moonlighting",E71="Differential Pay"),"",March[[#This Row],[SysID]])</f>
        <v>#N/A</v>
      </c>
      <c r="H71" s="32" t="e">
        <f>IF(E71="Jeopardy",IF(C71="MD",Relay!$E$7,Relay!$E$8),IF(C71="MD",IF(COUNTIF(G:G,B71)&gt;1,Relay!$E$2,Relay!$E$1),IF(AND(COUNTIF(G:G,B71)&gt;1,COUNTA(A71)&gt;0),Relay!$E$5,Relay!$E$4)))</f>
        <v>#N/A</v>
      </c>
      <c r="I71" s="8">
        <f t="shared" si="4"/>
        <v>0</v>
      </c>
      <c r="J71" s="35"/>
      <c r="K71" s="35"/>
      <c r="L71" s="35"/>
      <c r="M71" s="35"/>
      <c r="N71" s="32" t="e">
        <f>IF(H71=March!$E$2,"N",IF(AND(COUNTIF(B:B,B71)=1,D71&gt;14),"Y","N"))</f>
        <v>#N/A</v>
      </c>
      <c r="O71" s="55" t="str">
        <f>IF(COUNT(March[[#This Row],[Date]])&gt;0,IF(March[[#This Row],[Date]]&gt;14,"Yes","No"),"N/A")</f>
        <v>N/A</v>
      </c>
      <c r="P71" s="55"/>
      <c r="Q71" s="5">
        <f>Relay!A70</f>
        <v>0</v>
      </c>
      <c r="R71" s="5">
        <f>Relay!B70</f>
        <v>69</v>
      </c>
      <c r="S71" s="8">
        <f>IF(March[After the 14th?]="No",SUMIF(March[SysID],R71,March[Pay Amount]),0)+IF(Feb[After the 14th?]="Yes",SUMIF(Feb[SysID],R71,Feb[Pay Amount]),0)</f>
        <v>0</v>
      </c>
      <c r="T71" s="8"/>
      <c r="U71" s="5" t="str">
        <f t="shared" si="5"/>
        <v>N</v>
      </c>
      <c r="X71" s="56"/>
      <c r="Y71" s="56"/>
      <c r="Z71" s="56"/>
      <c r="AA71" s="56"/>
      <c r="AC71" s="56"/>
    </row>
    <row r="72" spans="1:29" x14ac:dyDescent="0.25">
      <c r="A72" s="35"/>
      <c r="B72" s="32" t="e">
        <f>VLOOKUP(A72,Relay!$A$1:$B$50,2,FALSE)</f>
        <v>#N/A</v>
      </c>
      <c r="C72" s="32" t="e">
        <f>VLOOKUP(A72,Relay!$A$2:$C$101,3,FALSE)</f>
        <v>#N/A</v>
      </c>
      <c r="D72" s="39"/>
      <c r="E72" s="35"/>
      <c r="F72" s="58" t="str">
        <f t="shared" si="3"/>
        <v>INS</v>
      </c>
      <c r="G72" s="32" t="e">
        <f>IF(OR(E72="Jeopardy",E72="APP Moonlighting",E72="Differential Pay"),"",March[[#This Row],[SysID]])</f>
        <v>#N/A</v>
      </c>
      <c r="H72" s="32" t="e">
        <f>IF(E72="Jeopardy",IF(C72="MD",Relay!$E$7,Relay!$E$8),IF(C72="MD",IF(COUNTIF(G:G,B72)&gt;1,Relay!$E$2,Relay!$E$1),IF(AND(COUNTIF(G:G,B72)&gt;1,COUNTA(A72)&gt;0),Relay!$E$5,Relay!$E$4)))</f>
        <v>#N/A</v>
      </c>
      <c r="I72" s="8">
        <f t="shared" si="4"/>
        <v>0</v>
      </c>
      <c r="J72" s="35"/>
      <c r="K72" s="35"/>
      <c r="L72" s="35"/>
      <c r="M72" s="35"/>
      <c r="N72" s="32" t="e">
        <f>IF(H72=March!$E$2,"N",IF(AND(COUNTIF(B:B,B72)=1,D72&gt;14),"Y","N"))</f>
        <v>#N/A</v>
      </c>
      <c r="O72" s="55" t="str">
        <f>IF(COUNT(March[[#This Row],[Date]])&gt;0,IF(March[[#This Row],[Date]]&gt;14,"Yes","No"),"N/A")</f>
        <v>N/A</v>
      </c>
      <c r="P72" s="55"/>
      <c r="Q72" s="5">
        <f>Relay!A71</f>
        <v>0</v>
      </c>
      <c r="R72" s="5">
        <f>Relay!B71</f>
        <v>70</v>
      </c>
      <c r="S72" s="8">
        <f>IF(March[After the 14th?]="No",SUMIF(March[SysID],R72,March[Pay Amount]),0)+IF(Feb[After the 14th?]="Yes",SUMIF(Feb[SysID],R72,Feb[Pay Amount]),0)</f>
        <v>0</v>
      </c>
      <c r="T72" s="8"/>
      <c r="U72" s="5" t="str">
        <f t="shared" si="5"/>
        <v>N</v>
      </c>
      <c r="X72" s="56"/>
      <c r="Y72" s="56"/>
      <c r="Z72" s="56"/>
      <c r="AA72" s="56"/>
      <c r="AC72" s="56"/>
    </row>
    <row r="73" spans="1:29" x14ac:dyDescent="0.25">
      <c r="A73" s="35"/>
      <c r="B73" s="32" t="e">
        <f>VLOOKUP(A73,Relay!$A$1:$B$50,2,FALSE)</f>
        <v>#N/A</v>
      </c>
      <c r="C73" s="32" t="e">
        <f>VLOOKUP(A73,Relay!$A$2:$C$101,3,FALSE)</f>
        <v>#N/A</v>
      </c>
      <c r="D73" s="39"/>
      <c r="E73" s="35"/>
      <c r="F73" s="58" t="str">
        <f t="shared" si="3"/>
        <v>INS</v>
      </c>
      <c r="G73" s="32" t="e">
        <f>IF(OR(E73="Jeopardy",E73="APP Moonlighting",E73="Differential Pay"),"",March[[#This Row],[SysID]])</f>
        <v>#N/A</v>
      </c>
      <c r="H73" s="32" t="e">
        <f>IF(E73="Jeopardy",IF(C73="MD",Relay!$E$7,Relay!$E$8),IF(C73="MD",IF(COUNTIF(G:G,B73)&gt;1,Relay!$E$2,Relay!$E$1),IF(AND(COUNTIF(G:G,B73)&gt;1,COUNTA(A73)&gt;0),Relay!$E$5,Relay!$E$4)))</f>
        <v>#N/A</v>
      </c>
      <c r="I73" s="8">
        <f t="shared" si="4"/>
        <v>0</v>
      </c>
      <c r="J73" s="35"/>
      <c r="K73" s="35"/>
      <c r="L73" s="35"/>
      <c r="M73" s="35"/>
      <c r="N73" s="32" t="e">
        <f>IF(H73=March!$E$2,"N",IF(AND(COUNTIF(B:B,B73)=1,D73&gt;14),"Y","N"))</f>
        <v>#N/A</v>
      </c>
      <c r="O73" s="55" t="str">
        <f>IF(COUNT(March[[#This Row],[Date]])&gt;0,IF(March[[#This Row],[Date]]&gt;14,"Yes","No"),"N/A")</f>
        <v>N/A</v>
      </c>
      <c r="P73" s="55"/>
      <c r="Q73" s="5">
        <f>Relay!A72</f>
        <v>0</v>
      </c>
      <c r="R73" s="5">
        <f>Relay!B72</f>
        <v>71</v>
      </c>
      <c r="S73" s="8">
        <f>IF(March[After the 14th?]="No",SUMIF(March[SysID],R73,March[Pay Amount]),0)+IF(Feb[After the 14th?]="Yes",SUMIF(Feb[SysID],R73,Feb[Pay Amount]),0)</f>
        <v>0</v>
      </c>
      <c r="T73" s="8"/>
      <c r="U73" s="5" t="str">
        <f t="shared" si="5"/>
        <v>N</v>
      </c>
      <c r="X73" s="56"/>
      <c r="Y73" s="56"/>
      <c r="Z73" s="56"/>
      <c r="AA73" s="56"/>
      <c r="AC73" s="56"/>
    </row>
    <row r="74" spans="1:29" x14ac:dyDescent="0.25">
      <c r="A74" s="35"/>
      <c r="B74" s="32" t="e">
        <f>VLOOKUP(A74,Relay!$A$1:$B$50,2,FALSE)</f>
        <v>#N/A</v>
      </c>
      <c r="C74" s="32" t="e">
        <f>VLOOKUP(A74,Relay!$A$2:$C$101,3,FALSE)</f>
        <v>#N/A</v>
      </c>
      <c r="D74" s="39"/>
      <c r="E74" s="35"/>
      <c r="F74" s="58" t="str">
        <f t="shared" si="3"/>
        <v>INS</v>
      </c>
      <c r="G74" s="32" t="e">
        <f>IF(OR(E74="Jeopardy",E74="APP Moonlighting",E74="Differential Pay"),"",March[[#This Row],[SysID]])</f>
        <v>#N/A</v>
      </c>
      <c r="H74" s="32" t="e">
        <f>IF(E74="Jeopardy",IF(C74="MD",Relay!$E$7,Relay!$E$8),IF(C74="MD",IF(COUNTIF(G:G,B74)&gt;1,Relay!$E$2,Relay!$E$1),IF(AND(COUNTIF(G:G,B74)&gt;1,COUNTA(A74)&gt;0),Relay!$E$5,Relay!$E$4)))</f>
        <v>#N/A</v>
      </c>
      <c r="I74" s="8">
        <f t="shared" si="4"/>
        <v>0</v>
      </c>
      <c r="J74" s="35"/>
      <c r="K74" s="35"/>
      <c r="L74" s="35"/>
      <c r="M74" s="35"/>
      <c r="N74" s="32" t="e">
        <f>IF(H74=March!$E$2,"N",IF(AND(COUNTIF(B:B,B74)=1,D74&gt;14),"Y","N"))</f>
        <v>#N/A</v>
      </c>
      <c r="O74" s="55" t="str">
        <f>IF(COUNT(March[[#This Row],[Date]])&gt;0,IF(March[[#This Row],[Date]]&gt;14,"Yes","No"),"N/A")</f>
        <v>N/A</v>
      </c>
      <c r="P74" s="55"/>
      <c r="Q74" s="5">
        <f>Relay!A73</f>
        <v>0</v>
      </c>
      <c r="R74" s="5">
        <f>Relay!B73</f>
        <v>72</v>
      </c>
      <c r="S74" s="8">
        <f>IF(March[After the 14th?]="No",SUMIF(March[SysID],R74,March[Pay Amount]),0)+IF(Feb[After the 14th?]="Yes",SUMIF(Feb[SysID],R74,Feb[Pay Amount]),0)</f>
        <v>0</v>
      </c>
      <c r="T74" s="8"/>
      <c r="U74" s="5" t="str">
        <f t="shared" si="5"/>
        <v>N</v>
      </c>
      <c r="X74" s="56"/>
      <c r="Y74" s="56"/>
      <c r="Z74" s="56"/>
      <c r="AA74" s="56"/>
      <c r="AC74" s="56"/>
    </row>
    <row r="75" spans="1:29" x14ac:dyDescent="0.25">
      <c r="A75" s="35"/>
      <c r="B75" s="32" t="e">
        <f>VLOOKUP(A75,Relay!$A$1:$B$50,2,FALSE)</f>
        <v>#N/A</v>
      </c>
      <c r="C75" s="32" t="e">
        <f>VLOOKUP(A75,Relay!$A$2:$C$101,3,FALSE)</f>
        <v>#N/A</v>
      </c>
      <c r="D75" s="39"/>
      <c r="E75" s="35"/>
      <c r="F75" s="58" t="str">
        <f t="shared" si="3"/>
        <v>INS</v>
      </c>
      <c r="G75" s="32" t="e">
        <f>IF(OR(E75="Jeopardy",E75="APP Moonlighting",E75="Differential Pay"),"",March[[#This Row],[SysID]])</f>
        <v>#N/A</v>
      </c>
      <c r="H75" s="32" t="e">
        <f>IF(E75="Jeopardy",IF(C75="MD",Relay!$E$7,Relay!$E$8),IF(C75="MD",IF(COUNTIF(G:G,B75)&gt;1,Relay!$E$2,Relay!$E$1),IF(AND(COUNTIF(G:G,B75)&gt;1,COUNTA(A75)&gt;0),Relay!$E$5,Relay!$E$4)))</f>
        <v>#N/A</v>
      </c>
      <c r="I75" s="8">
        <f t="shared" si="4"/>
        <v>0</v>
      </c>
      <c r="J75" s="35"/>
      <c r="K75" s="35"/>
      <c r="L75" s="35"/>
      <c r="M75" s="35"/>
      <c r="N75" s="32" t="e">
        <f>IF(H75=March!$E$2,"N",IF(AND(COUNTIF(B:B,B75)=1,D75&gt;14),"Y","N"))</f>
        <v>#N/A</v>
      </c>
      <c r="O75" s="55" t="str">
        <f>IF(COUNT(March[[#This Row],[Date]])&gt;0,IF(March[[#This Row],[Date]]&gt;14,"Yes","No"),"N/A")</f>
        <v>N/A</v>
      </c>
      <c r="P75" s="55"/>
      <c r="Q75" s="5">
        <f>Relay!A74</f>
        <v>0</v>
      </c>
      <c r="R75" s="5">
        <f>Relay!B74</f>
        <v>73</v>
      </c>
      <c r="S75" s="8">
        <f>IF(March[After the 14th?]="No",SUMIF(March[SysID],R75,March[Pay Amount]),0)+IF(Feb[After the 14th?]="Yes",SUMIF(Feb[SysID],R75,Feb[Pay Amount]),0)</f>
        <v>0</v>
      </c>
      <c r="T75" s="8"/>
      <c r="U75" s="5" t="str">
        <f t="shared" si="5"/>
        <v>N</v>
      </c>
      <c r="X75" s="56"/>
      <c r="Y75" s="56"/>
      <c r="Z75" s="56"/>
      <c r="AA75" s="56"/>
      <c r="AC75" s="56"/>
    </row>
    <row r="76" spans="1:29" x14ac:dyDescent="0.25">
      <c r="A76" s="35"/>
      <c r="B76" s="32" t="e">
        <f>VLOOKUP(A76,Relay!$A$1:$B$50,2,FALSE)</f>
        <v>#N/A</v>
      </c>
      <c r="C76" s="32" t="e">
        <f>VLOOKUP(A76,Relay!$A$2:$C$101,3,FALSE)</f>
        <v>#N/A</v>
      </c>
      <c r="D76" s="39"/>
      <c r="E76" s="35"/>
      <c r="F76" s="58" t="str">
        <f t="shared" si="3"/>
        <v>INS</v>
      </c>
      <c r="G76" s="32" t="e">
        <f>IF(OR(E76="Jeopardy",E76="APP Moonlighting",E76="Differential Pay"),"",March[[#This Row],[SysID]])</f>
        <v>#N/A</v>
      </c>
      <c r="H76" s="32" t="e">
        <f>IF(E76="Jeopardy",IF(C76="MD",Relay!$E$7,Relay!$E$8),IF(C76="MD",IF(COUNTIF(G:G,B76)&gt;1,Relay!$E$2,Relay!$E$1),IF(AND(COUNTIF(G:G,B76)&gt;1,COUNTA(A76)&gt;0),Relay!$E$5,Relay!$E$4)))</f>
        <v>#N/A</v>
      </c>
      <c r="I76" s="8">
        <f t="shared" si="4"/>
        <v>0</v>
      </c>
      <c r="J76" s="35"/>
      <c r="K76" s="35"/>
      <c r="L76" s="35"/>
      <c r="M76" s="35"/>
      <c r="N76" s="32" t="e">
        <f>IF(H76=March!$E$2,"N",IF(AND(COUNTIF(B:B,B76)=1,D76&gt;14),"Y","N"))</f>
        <v>#N/A</v>
      </c>
      <c r="O76" s="55" t="str">
        <f>IF(COUNT(March[[#This Row],[Date]])&gt;0,IF(March[[#This Row],[Date]]&gt;14,"Yes","No"),"N/A")</f>
        <v>N/A</v>
      </c>
      <c r="P76" s="55"/>
      <c r="Q76" s="5">
        <f>Relay!A75</f>
        <v>0</v>
      </c>
      <c r="R76" s="5">
        <f>Relay!B75</f>
        <v>74</v>
      </c>
      <c r="S76" s="8">
        <f>IF(March[After the 14th?]="No",SUMIF(March[SysID],R76,March[Pay Amount]),0)+IF(Feb[After the 14th?]="Yes",SUMIF(Feb[SysID],R76,Feb[Pay Amount]),0)</f>
        <v>0</v>
      </c>
      <c r="T76" s="8"/>
      <c r="U76" s="5" t="str">
        <f t="shared" si="5"/>
        <v>N</v>
      </c>
      <c r="X76" s="56"/>
      <c r="Y76" s="56"/>
      <c r="Z76" s="56"/>
      <c r="AA76" s="56"/>
      <c r="AC76" s="56"/>
    </row>
    <row r="77" spans="1:29" x14ac:dyDescent="0.25">
      <c r="A77" s="35"/>
      <c r="B77" s="32" t="e">
        <f>VLOOKUP(A77,Relay!$A$1:$B$50,2,FALSE)</f>
        <v>#N/A</v>
      </c>
      <c r="C77" s="32" t="e">
        <f>VLOOKUP(A77,Relay!$A$2:$C$101,3,FALSE)</f>
        <v>#N/A</v>
      </c>
      <c r="D77" s="39"/>
      <c r="E77" s="35"/>
      <c r="F77" s="58" t="str">
        <f t="shared" si="3"/>
        <v>INS</v>
      </c>
      <c r="G77" s="32" t="e">
        <f>IF(OR(E77="Jeopardy",E77="APP Moonlighting",E77="Differential Pay"),"",March[[#This Row],[SysID]])</f>
        <v>#N/A</v>
      </c>
      <c r="H77" s="32" t="e">
        <f>IF(E77="Jeopardy",IF(C77="MD",Relay!$E$7,Relay!$E$8),IF(C77="MD",IF(COUNTIF(G:G,B77)&gt;1,Relay!$E$2,Relay!$E$1),IF(AND(COUNTIF(G:G,B77)&gt;1,COUNTA(A77)&gt;0),Relay!$E$5,Relay!$E$4)))</f>
        <v>#N/A</v>
      </c>
      <c r="I77" s="8">
        <f t="shared" si="4"/>
        <v>0</v>
      </c>
      <c r="J77" s="35"/>
      <c r="K77" s="35"/>
      <c r="L77" s="35"/>
      <c r="M77" s="35"/>
      <c r="N77" s="32" t="e">
        <f>IF(H77=March!$E$2,"N",IF(AND(COUNTIF(B:B,B77)=1,D77&gt;14),"Y","N"))</f>
        <v>#N/A</v>
      </c>
      <c r="O77" s="55" t="str">
        <f>IF(COUNT(March[[#This Row],[Date]])&gt;0,IF(March[[#This Row],[Date]]&gt;14,"Yes","No"),"N/A")</f>
        <v>N/A</v>
      </c>
      <c r="P77" s="55"/>
      <c r="Q77" s="5">
        <f>Relay!A76</f>
        <v>0</v>
      </c>
      <c r="R77" s="5">
        <f>Relay!B76</f>
        <v>75</v>
      </c>
      <c r="S77" s="8">
        <f>IF(March[After the 14th?]="No",SUMIF(March[SysID],R77,March[Pay Amount]),0)+IF(Feb[After the 14th?]="Yes",SUMIF(Feb[SysID],R77,Feb[Pay Amount]),0)</f>
        <v>0</v>
      </c>
      <c r="T77" s="8"/>
      <c r="U77" s="5" t="str">
        <f t="shared" si="5"/>
        <v>N</v>
      </c>
      <c r="X77" s="56"/>
      <c r="Y77" s="56"/>
      <c r="Z77" s="56"/>
      <c r="AA77" s="56"/>
      <c r="AC77" s="56"/>
    </row>
    <row r="78" spans="1:29" x14ac:dyDescent="0.25">
      <c r="A78" s="35"/>
      <c r="B78" s="32" t="e">
        <f>VLOOKUP(A78,Relay!$A$1:$B$50,2,FALSE)</f>
        <v>#N/A</v>
      </c>
      <c r="C78" s="32" t="e">
        <f>VLOOKUP(A78,Relay!$A$2:$C$101,3,FALSE)</f>
        <v>#N/A</v>
      </c>
      <c r="D78" s="39"/>
      <c r="E78" s="35"/>
      <c r="F78" s="58" t="str">
        <f t="shared" si="3"/>
        <v>INS</v>
      </c>
      <c r="G78" s="32" t="e">
        <f>IF(OR(E78="Jeopardy",E78="APP Moonlighting",E78="Differential Pay"),"",March[[#This Row],[SysID]])</f>
        <v>#N/A</v>
      </c>
      <c r="H78" s="32" t="e">
        <f>IF(E78="Jeopardy",IF(C78="MD",Relay!$E$7,Relay!$E$8),IF(C78="MD",IF(COUNTIF(G:G,B78)&gt;1,Relay!$E$2,Relay!$E$1),IF(AND(COUNTIF(G:G,B78)&gt;1,COUNTA(A78)&gt;0),Relay!$E$5,Relay!$E$4)))</f>
        <v>#N/A</v>
      </c>
      <c r="I78" s="8">
        <f t="shared" si="4"/>
        <v>0</v>
      </c>
      <c r="J78" s="35"/>
      <c r="K78" s="35"/>
      <c r="L78" s="35"/>
      <c r="M78" s="35"/>
      <c r="N78" s="32" t="e">
        <f>IF(H78=March!$E$2,"N",IF(AND(COUNTIF(B:B,B78)=1,D78&gt;14),"Y","N"))</f>
        <v>#N/A</v>
      </c>
      <c r="O78" s="55" t="str">
        <f>IF(COUNT(March[[#This Row],[Date]])&gt;0,IF(March[[#This Row],[Date]]&gt;14,"Yes","No"),"N/A")</f>
        <v>N/A</v>
      </c>
      <c r="P78" s="55"/>
      <c r="Q78" s="5">
        <f>Relay!A77</f>
        <v>0</v>
      </c>
      <c r="R78" s="5">
        <f>Relay!B77</f>
        <v>76</v>
      </c>
      <c r="S78" s="8">
        <f>IF(March[After the 14th?]="No",SUMIF(March[SysID],R78,March[Pay Amount]),0)+IF(Feb[After the 14th?]="Yes",SUMIF(Feb[SysID],R78,Feb[Pay Amount]),0)</f>
        <v>0</v>
      </c>
      <c r="T78" s="8"/>
      <c r="U78" s="5" t="str">
        <f t="shared" si="5"/>
        <v>N</v>
      </c>
      <c r="X78" s="56"/>
      <c r="Y78" s="56"/>
      <c r="Z78" s="56"/>
      <c r="AA78" s="56"/>
      <c r="AC78" s="56"/>
    </row>
    <row r="79" spans="1:29" x14ac:dyDescent="0.25">
      <c r="A79" s="35"/>
      <c r="B79" s="32" t="e">
        <f>VLOOKUP(A79,Relay!$A$1:$B$50,2,FALSE)</f>
        <v>#N/A</v>
      </c>
      <c r="C79" s="32" t="e">
        <f>VLOOKUP(A79,Relay!$A$2:$C$101,3,FALSE)</f>
        <v>#N/A</v>
      </c>
      <c r="D79" s="39"/>
      <c r="E79" s="35"/>
      <c r="F79" s="58" t="str">
        <f t="shared" si="3"/>
        <v>INS</v>
      </c>
      <c r="G79" s="32" t="e">
        <f>IF(OR(E79="Jeopardy",E79="APP Moonlighting",E79="Differential Pay"),"",March[[#This Row],[SysID]])</f>
        <v>#N/A</v>
      </c>
      <c r="H79" s="32" t="e">
        <f>IF(E79="Jeopardy",IF(C79="MD",Relay!$E$7,Relay!$E$8),IF(C79="MD",IF(COUNTIF(G:G,B79)&gt;1,Relay!$E$2,Relay!$E$1),IF(AND(COUNTIF(G:G,B79)&gt;1,COUNTA(A79)&gt;0),Relay!$E$5,Relay!$E$4)))</f>
        <v>#N/A</v>
      </c>
      <c r="I79" s="8">
        <f t="shared" si="4"/>
        <v>0</v>
      </c>
      <c r="J79" s="35"/>
      <c r="K79" s="35"/>
      <c r="L79" s="35"/>
      <c r="M79" s="35"/>
      <c r="N79" s="32" t="e">
        <f>IF(H79=March!$E$2,"N",IF(AND(COUNTIF(B:B,B79)=1,D79&gt;14),"Y","N"))</f>
        <v>#N/A</v>
      </c>
      <c r="O79" s="55" t="str">
        <f>IF(COUNT(March[[#This Row],[Date]])&gt;0,IF(March[[#This Row],[Date]]&gt;14,"Yes","No"),"N/A")</f>
        <v>N/A</v>
      </c>
      <c r="P79" s="55"/>
      <c r="Q79" s="5">
        <f>Relay!A78</f>
        <v>0</v>
      </c>
      <c r="R79" s="5">
        <f>Relay!B78</f>
        <v>77</v>
      </c>
      <c r="S79" s="8">
        <f>IF(March[After the 14th?]="No",SUMIF(March[SysID],R79,March[Pay Amount]),0)+IF(Feb[After the 14th?]="Yes",SUMIF(Feb[SysID],R79,Feb[Pay Amount]),0)</f>
        <v>0</v>
      </c>
      <c r="T79" s="8"/>
      <c r="U79" s="5" t="str">
        <f t="shared" si="5"/>
        <v>N</v>
      </c>
      <c r="X79" s="56"/>
      <c r="Y79" s="56"/>
      <c r="Z79" s="56"/>
      <c r="AA79" s="56"/>
      <c r="AC79" s="56"/>
    </row>
    <row r="80" spans="1:29" x14ac:dyDescent="0.25">
      <c r="A80" s="35"/>
      <c r="B80" s="32" t="e">
        <f>VLOOKUP(A80,Relay!$A$1:$B$50,2,FALSE)</f>
        <v>#N/A</v>
      </c>
      <c r="C80" s="32" t="e">
        <f>VLOOKUP(A80,Relay!$A$2:$C$101,3,FALSE)</f>
        <v>#N/A</v>
      </c>
      <c r="D80" s="39"/>
      <c r="E80" s="35"/>
      <c r="F80" s="58" t="str">
        <f t="shared" si="3"/>
        <v>INS</v>
      </c>
      <c r="G80" s="32" t="e">
        <f>IF(OR(E80="Jeopardy",E80="APP Moonlighting",E80="Differential Pay"),"",March[[#This Row],[SysID]])</f>
        <v>#N/A</v>
      </c>
      <c r="H80" s="32" t="e">
        <f>IF(E80="Jeopardy",IF(C80="MD",Relay!$E$7,Relay!$E$8),IF(C80="MD",IF(COUNTIF(G:G,B80)&gt;1,Relay!$E$2,Relay!$E$1),IF(AND(COUNTIF(G:G,B80)&gt;1,COUNTA(A80)&gt;0),Relay!$E$5,Relay!$E$4)))</f>
        <v>#N/A</v>
      </c>
      <c r="I80" s="8">
        <f t="shared" si="4"/>
        <v>0</v>
      </c>
      <c r="J80" s="35"/>
      <c r="K80" s="35"/>
      <c r="L80" s="35"/>
      <c r="M80" s="35"/>
      <c r="N80" s="32" t="e">
        <f>IF(H80=March!$E$2,"N",IF(AND(COUNTIF(B:B,B80)=1,D80&gt;14),"Y","N"))</f>
        <v>#N/A</v>
      </c>
      <c r="O80" s="55" t="str">
        <f>IF(COUNT(March[[#This Row],[Date]])&gt;0,IF(March[[#This Row],[Date]]&gt;14,"Yes","No"),"N/A")</f>
        <v>N/A</v>
      </c>
      <c r="P80" s="55"/>
      <c r="Q80" s="5">
        <f>Relay!A79</f>
        <v>0</v>
      </c>
      <c r="R80" s="5">
        <f>Relay!B79</f>
        <v>78</v>
      </c>
      <c r="S80" s="8">
        <f>IF(March[After the 14th?]="No",SUMIF(March[SysID],R80,March[Pay Amount]),0)+IF(Feb[After the 14th?]="Yes",SUMIF(Feb[SysID],R80,Feb[Pay Amount]),0)</f>
        <v>0</v>
      </c>
      <c r="T80" s="8"/>
      <c r="U80" s="5" t="str">
        <f t="shared" si="5"/>
        <v>N</v>
      </c>
      <c r="X80" s="56"/>
      <c r="Y80" s="56"/>
      <c r="Z80" s="56"/>
      <c r="AA80" s="56"/>
      <c r="AC80" s="56"/>
    </row>
    <row r="81" spans="1:29" x14ac:dyDescent="0.25">
      <c r="A81" s="35"/>
      <c r="B81" s="32" t="e">
        <f>VLOOKUP(A81,Relay!$A$1:$B$50,2,FALSE)</f>
        <v>#N/A</v>
      </c>
      <c r="C81" s="32" t="e">
        <f>VLOOKUP(A81,Relay!$A$2:$C$101,3,FALSE)</f>
        <v>#N/A</v>
      </c>
      <c r="D81" s="39"/>
      <c r="E81" s="35"/>
      <c r="F81" s="58" t="str">
        <f t="shared" si="3"/>
        <v>INS</v>
      </c>
      <c r="G81" s="32" t="e">
        <f>IF(OR(E81="Jeopardy",E81="APP Moonlighting",E81="Differential Pay"),"",March[[#This Row],[SysID]])</f>
        <v>#N/A</v>
      </c>
      <c r="H81" s="32" t="e">
        <f>IF(E81="Jeopardy",IF(C81="MD",Relay!$E$7,Relay!$E$8),IF(C81="MD",IF(COUNTIF(G:G,B81)&gt;1,Relay!$E$2,Relay!$E$1),IF(AND(COUNTIF(G:G,B81)&gt;1,COUNTA(A81)&gt;0),Relay!$E$5,Relay!$E$4)))</f>
        <v>#N/A</v>
      </c>
      <c r="I81" s="8">
        <f t="shared" si="4"/>
        <v>0</v>
      </c>
      <c r="J81" s="35"/>
      <c r="K81" s="35"/>
      <c r="L81" s="35"/>
      <c r="M81" s="35"/>
      <c r="N81" s="32" t="e">
        <f>IF(H81=March!$E$2,"N",IF(AND(COUNTIF(B:B,B81)=1,D81&gt;14),"Y","N"))</f>
        <v>#N/A</v>
      </c>
      <c r="O81" s="55" t="str">
        <f>IF(COUNT(March[[#This Row],[Date]])&gt;0,IF(March[[#This Row],[Date]]&gt;14,"Yes","No"),"N/A")</f>
        <v>N/A</v>
      </c>
      <c r="P81" s="55"/>
      <c r="Q81" s="5">
        <f>Relay!A80</f>
        <v>0</v>
      </c>
      <c r="R81" s="5">
        <f>Relay!B80</f>
        <v>79</v>
      </c>
      <c r="S81" s="8">
        <f>IF(March[After the 14th?]="No",SUMIF(March[SysID],R81,March[Pay Amount]),0)+IF(Feb[After the 14th?]="Yes",SUMIF(Feb[SysID],R81,Feb[Pay Amount]),0)</f>
        <v>0</v>
      </c>
      <c r="T81" s="8"/>
      <c r="U81" s="5" t="str">
        <f t="shared" si="5"/>
        <v>N</v>
      </c>
      <c r="X81" s="56"/>
      <c r="Y81" s="56"/>
      <c r="Z81" s="56"/>
      <c r="AA81" s="56"/>
      <c r="AC81" s="56"/>
    </row>
    <row r="82" spans="1:29" x14ac:dyDescent="0.25">
      <c r="A82" s="35"/>
      <c r="B82" s="32" t="e">
        <f>VLOOKUP(A82,Relay!$A$1:$B$50,2,FALSE)</f>
        <v>#N/A</v>
      </c>
      <c r="C82" s="32" t="e">
        <f>VLOOKUP(A82,Relay!$A$2:$C$101,3,FALSE)</f>
        <v>#N/A</v>
      </c>
      <c r="D82" s="39"/>
      <c r="E82" s="35"/>
      <c r="F82" s="58" t="str">
        <f t="shared" si="3"/>
        <v>INS</v>
      </c>
      <c r="G82" s="32" t="e">
        <f>IF(OR(E82="Jeopardy",E82="APP Moonlighting",E82="Differential Pay"),"",March[[#This Row],[SysID]])</f>
        <v>#N/A</v>
      </c>
      <c r="H82" s="32" t="e">
        <f>IF(E82="Jeopardy",IF(C82="MD",Relay!$E$7,Relay!$E$8),IF(C82="MD",IF(COUNTIF(G:G,B82)&gt;1,Relay!$E$2,Relay!$E$1),IF(AND(COUNTIF(G:G,B82)&gt;1,COUNTA(A82)&gt;0),Relay!$E$5,Relay!$E$4)))</f>
        <v>#N/A</v>
      </c>
      <c r="I82" s="8">
        <f t="shared" si="4"/>
        <v>0</v>
      </c>
      <c r="J82" s="35"/>
      <c r="K82" s="35"/>
      <c r="L82" s="35"/>
      <c r="M82" s="35"/>
      <c r="N82" s="32" t="e">
        <f>IF(H82=March!$E$2,"N",IF(AND(COUNTIF(B:B,B82)=1,D82&gt;14),"Y","N"))</f>
        <v>#N/A</v>
      </c>
      <c r="O82" s="55" t="str">
        <f>IF(COUNT(March[[#This Row],[Date]])&gt;0,IF(March[[#This Row],[Date]]&gt;14,"Yes","No"),"N/A")</f>
        <v>N/A</v>
      </c>
      <c r="P82" s="55"/>
      <c r="Q82" s="5">
        <f>Relay!A81</f>
        <v>0</v>
      </c>
      <c r="R82" s="5">
        <f>Relay!B81</f>
        <v>80</v>
      </c>
      <c r="S82" s="8">
        <f>IF(March[After the 14th?]="No",SUMIF(March[SysID],R82,March[Pay Amount]),0)+IF(Feb[After the 14th?]="Yes",SUMIF(Feb[SysID],R82,Feb[Pay Amount]),0)</f>
        <v>0</v>
      </c>
      <c r="T82" s="8"/>
      <c r="U82" s="5" t="str">
        <f t="shared" si="5"/>
        <v>N</v>
      </c>
      <c r="X82" s="56"/>
      <c r="Y82" s="56"/>
      <c r="Z82" s="56"/>
      <c r="AA82" s="56"/>
      <c r="AC82" s="56"/>
    </row>
    <row r="83" spans="1:29" x14ac:dyDescent="0.25">
      <c r="A83" s="35"/>
      <c r="B83" s="32" t="e">
        <f>VLOOKUP(A83,Relay!$A$1:$B$50,2,FALSE)</f>
        <v>#N/A</v>
      </c>
      <c r="C83" s="32" t="e">
        <f>VLOOKUP(A83,Relay!$A$2:$C$101,3,FALSE)</f>
        <v>#N/A</v>
      </c>
      <c r="D83" s="39"/>
      <c r="E83" s="35"/>
      <c r="F83" s="58" t="str">
        <f t="shared" si="3"/>
        <v>INS</v>
      </c>
      <c r="G83" s="32" t="e">
        <f>IF(OR(E83="Jeopardy",E83="APP Moonlighting",E83="Differential Pay"),"",March[[#This Row],[SysID]])</f>
        <v>#N/A</v>
      </c>
      <c r="H83" s="32" t="e">
        <f>IF(E83="Jeopardy",IF(C83="MD",Relay!$E$7,Relay!$E$8),IF(C83="MD",IF(COUNTIF(G:G,B83)&gt;1,Relay!$E$2,Relay!$E$1),IF(AND(COUNTIF(G:G,B83)&gt;1,COUNTA(A83)&gt;0),Relay!$E$5,Relay!$E$4)))</f>
        <v>#N/A</v>
      </c>
      <c r="I83" s="8">
        <f t="shared" si="4"/>
        <v>0</v>
      </c>
      <c r="J83" s="35"/>
      <c r="K83" s="35"/>
      <c r="L83" s="35"/>
      <c r="M83" s="35"/>
      <c r="N83" s="32" t="e">
        <f>IF(H83=March!$E$2,"N",IF(AND(COUNTIF(B:B,B83)=1,D83&gt;14),"Y","N"))</f>
        <v>#N/A</v>
      </c>
      <c r="O83" s="55" t="str">
        <f>IF(COUNT(March[[#This Row],[Date]])&gt;0,IF(March[[#This Row],[Date]]&gt;14,"Yes","No"),"N/A")</f>
        <v>N/A</v>
      </c>
      <c r="P83" s="55"/>
      <c r="Q83" s="5">
        <f>Relay!A82</f>
        <v>0</v>
      </c>
      <c r="R83" s="5">
        <f>Relay!B82</f>
        <v>81</v>
      </c>
      <c r="S83" s="8">
        <f>IF(March[After the 14th?]="No",SUMIF(March[SysID],R83,March[Pay Amount]),0)+IF(Feb[After the 14th?]="Yes",SUMIF(Feb[SysID],R83,Feb[Pay Amount]),0)</f>
        <v>0</v>
      </c>
      <c r="T83" s="8"/>
      <c r="U83" s="5" t="str">
        <f t="shared" si="5"/>
        <v>N</v>
      </c>
      <c r="X83" s="56"/>
      <c r="Y83" s="56"/>
      <c r="Z83" s="56"/>
      <c r="AA83" s="56"/>
      <c r="AC83" s="56"/>
    </row>
    <row r="84" spans="1:29" x14ac:dyDescent="0.25">
      <c r="A84" s="35"/>
      <c r="B84" s="32" t="e">
        <f>VLOOKUP(A84,Relay!$A$1:$B$50,2,FALSE)</f>
        <v>#N/A</v>
      </c>
      <c r="C84" s="32" t="e">
        <f>VLOOKUP(A84,Relay!$A$2:$C$101,3,FALSE)</f>
        <v>#N/A</v>
      </c>
      <c r="D84" s="39"/>
      <c r="E84" s="35"/>
      <c r="F84" s="58" t="str">
        <f t="shared" si="3"/>
        <v>INS</v>
      </c>
      <c r="G84" s="32" t="e">
        <f>IF(OR(E84="Jeopardy",E84="APP Moonlighting",E84="Differential Pay"),"",March[[#This Row],[SysID]])</f>
        <v>#N/A</v>
      </c>
      <c r="H84" s="32" t="e">
        <f>IF(E84="Jeopardy",IF(C84="MD",Relay!$E$7,Relay!$E$8),IF(C84="MD",IF(COUNTIF(G:G,B84)&gt;1,Relay!$E$2,Relay!$E$1),IF(AND(COUNTIF(G:G,B84)&gt;1,COUNTA(A84)&gt;0),Relay!$E$5,Relay!$E$4)))</f>
        <v>#N/A</v>
      </c>
      <c r="I84" s="8">
        <f t="shared" si="4"/>
        <v>0</v>
      </c>
      <c r="J84" s="35"/>
      <c r="K84" s="35"/>
      <c r="L84" s="35"/>
      <c r="M84" s="35"/>
      <c r="N84" s="32" t="e">
        <f>IF(H84=March!$E$2,"N",IF(AND(COUNTIF(B:B,B84)=1,D84&gt;14),"Y","N"))</f>
        <v>#N/A</v>
      </c>
      <c r="O84" s="55" t="str">
        <f>IF(COUNT(March[[#This Row],[Date]])&gt;0,IF(March[[#This Row],[Date]]&gt;14,"Yes","No"),"N/A")</f>
        <v>N/A</v>
      </c>
      <c r="P84" s="55"/>
      <c r="Q84" s="5">
        <f>Relay!A83</f>
        <v>0</v>
      </c>
      <c r="R84" s="5">
        <f>Relay!B83</f>
        <v>82</v>
      </c>
      <c r="S84" s="8">
        <f>IF(March[After the 14th?]="No",SUMIF(March[SysID],R84,March[Pay Amount]),0)+IF(Feb[After the 14th?]="Yes",SUMIF(Feb[SysID],R84,Feb[Pay Amount]),0)</f>
        <v>0</v>
      </c>
      <c r="T84" s="8"/>
      <c r="U84" s="5" t="str">
        <f t="shared" si="5"/>
        <v>N</v>
      </c>
      <c r="X84" s="56"/>
      <c r="Y84" s="56"/>
      <c r="Z84" s="56"/>
      <c r="AA84" s="56"/>
      <c r="AC84" s="56"/>
    </row>
    <row r="85" spans="1:29" x14ac:dyDescent="0.25">
      <c r="A85" s="35"/>
      <c r="B85" s="32" t="e">
        <f>VLOOKUP(A85,Relay!$A$1:$B$50,2,FALSE)</f>
        <v>#N/A</v>
      </c>
      <c r="C85" s="32" t="e">
        <f>VLOOKUP(A85,Relay!$A$2:$C$101,3,FALSE)</f>
        <v>#N/A</v>
      </c>
      <c r="D85" s="39"/>
      <c r="E85" s="35"/>
      <c r="F85" s="58" t="str">
        <f t="shared" si="3"/>
        <v>INS</v>
      </c>
      <c r="G85" s="32" t="e">
        <f>IF(OR(E85="Jeopardy",E85="APP Moonlighting",E85="Differential Pay"),"",March[[#This Row],[SysID]])</f>
        <v>#N/A</v>
      </c>
      <c r="H85" s="32" t="e">
        <f>IF(E85="Jeopardy",IF(C85="MD",Relay!$E$7,Relay!$E$8),IF(C85="MD",IF(COUNTIF(G:G,B85)&gt;1,Relay!$E$2,Relay!$E$1),IF(AND(COUNTIF(G:G,B85)&gt;1,COUNTA(A85)&gt;0),Relay!$E$5,Relay!$E$4)))</f>
        <v>#N/A</v>
      </c>
      <c r="I85" s="8">
        <f t="shared" si="4"/>
        <v>0</v>
      </c>
      <c r="J85" s="35"/>
      <c r="K85" s="35"/>
      <c r="L85" s="35"/>
      <c r="M85" s="35"/>
      <c r="N85" s="32" t="e">
        <f>IF(H85=March!$E$2,"N",IF(AND(COUNTIF(B:B,B85)=1,D85&gt;14),"Y","N"))</f>
        <v>#N/A</v>
      </c>
      <c r="O85" s="55" t="str">
        <f>IF(COUNT(March[[#This Row],[Date]])&gt;0,IF(March[[#This Row],[Date]]&gt;14,"Yes","No"),"N/A")</f>
        <v>N/A</v>
      </c>
      <c r="P85" s="55"/>
      <c r="Q85" s="5">
        <f>Relay!A84</f>
        <v>0</v>
      </c>
      <c r="R85" s="5">
        <f>Relay!B84</f>
        <v>83</v>
      </c>
      <c r="S85" s="8">
        <f>IF(March[After the 14th?]="No",SUMIF(March[SysID],R85,March[Pay Amount]),0)+IF(Feb[After the 14th?]="Yes",SUMIF(Feb[SysID],R85,Feb[Pay Amount]),0)</f>
        <v>0</v>
      </c>
      <c r="T85" s="8"/>
      <c r="U85" s="5" t="str">
        <f t="shared" si="5"/>
        <v>N</v>
      </c>
      <c r="X85" s="56"/>
      <c r="Y85" s="56"/>
      <c r="Z85" s="56"/>
      <c r="AA85" s="56"/>
      <c r="AC85" s="56"/>
    </row>
    <row r="86" spans="1:29" x14ac:dyDescent="0.25">
      <c r="A86" s="35"/>
      <c r="B86" s="32" t="e">
        <f>VLOOKUP(A86,Relay!$A$1:$B$50,2,FALSE)</f>
        <v>#N/A</v>
      </c>
      <c r="C86" s="32" t="e">
        <f>VLOOKUP(A86,Relay!$A$2:$C$101,3,FALSE)</f>
        <v>#N/A</v>
      </c>
      <c r="D86" s="39"/>
      <c r="E86" s="35"/>
      <c r="F86" s="58" t="str">
        <f t="shared" si="3"/>
        <v>INS</v>
      </c>
      <c r="G86" s="32" t="e">
        <f>IF(OR(E86="Jeopardy",E86="APP Moonlighting",E86="Differential Pay"),"",March[[#This Row],[SysID]])</f>
        <v>#N/A</v>
      </c>
      <c r="H86" s="32" t="e">
        <f>IF(E86="Jeopardy",IF(C86="MD",Relay!$E$7,Relay!$E$8),IF(C86="MD",IF(COUNTIF(G:G,B86)&gt;1,Relay!$E$2,Relay!$E$1),IF(AND(COUNTIF(G:G,B86)&gt;1,COUNTA(A86)&gt;0),Relay!$E$5,Relay!$E$4)))</f>
        <v>#N/A</v>
      </c>
      <c r="I86" s="8">
        <f t="shared" si="4"/>
        <v>0</v>
      </c>
      <c r="J86" s="35"/>
      <c r="K86" s="35"/>
      <c r="L86" s="35"/>
      <c r="M86" s="35"/>
      <c r="N86" s="32" t="e">
        <f>IF(H86=March!$E$2,"N",IF(AND(COUNTIF(B:B,B86)=1,D86&gt;14),"Y","N"))</f>
        <v>#N/A</v>
      </c>
      <c r="O86" s="55" t="str">
        <f>IF(COUNT(March[[#This Row],[Date]])&gt;0,IF(March[[#This Row],[Date]]&gt;14,"Yes","No"),"N/A")</f>
        <v>N/A</v>
      </c>
      <c r="P86" s="55"/>
      <c r="Q86" s="5">
        <f>Relay!A85</f>
        <v>0</v>
      </c>
      <c r="R86" s="5">
        <f>Relay!B85</f>
        <v>84</v>
      </c>
      <c r="S86" s="8">
        <f>IF(March[After the 14th?]="No",SUMIF(March[SysID],R86,March[Pay Amount]),0)+IF(Feb[After the 14th?]="Yes",SUMIF(Feb[SysID],R86,Feb[Pay Amount]),0)</f>
        <v>0</v>
      </c>
      <c r="T86" s="8"/>
      <c r="U86" s="5" t="str">
        <f t="shared" si="5"/>
        <v>N</v>
      </c>
      <c r="X86" s="56"/>
      <c r="Y86" s="56"/>
      <c r="Z86" s="56"/>
      <c r="AA86" s="56"/>
      <c r="AC86" s="56"/>
    </row>
    <row r="87" spans="1:29" x14ac:dyDescent="0.25">
      <c r="A87" s="35"/>
      <c r="B87" s="32" t="e">
        <f>VLOOKUP(A87,Relay!$A$1:$B$50,2,FALSE)</f>
        <v>#N/A</v>
      </c>
      <c r="C87" s="32" t="e">
        <f>VLOOKUP(A87,Relay!$A$2:$C$101,3,FALSE)</f>
        <v>#N/A</v>
      </c>
      <c r="D87" s="39"/>
      <c r="E87" s="35"/>
      <c r="F87" s="58" t="str">
        <f t="shared" si="3"/>
        <v>INS</v>
      </c>
      <c r="G87" s="32" t="e">
        <f>IF(OR(E87="Jeopardy",E87="APP Moonlighting",E87="Differential Pay"),"",March[[#This Row],[SysID]])</f>
        <v>#N/A</v>
      </c>
      <c r="H87" s="32" t="e">
        <f>IF(E87="Jeopardy",IF(C87="MD",Relay!$E$7,Relay!$E$8),IF(C87="MD",IF(COUNTIF(G:G,B87)&gt;1,Relay!$E$2,Relay!$E$1),IF(AND(COUNTIF(G:G,B87)&gt;1,COUNTA(A87)&gt;0),Relay!$E$5,Relay!$E$4)))</f>
        <v>#N/A</v>
      </c>
      <c r="I87" s="8">
        <f t="shared" si="4"/>
        <v>0</v>
      </c>
      <c r="J87" s="35"/>
      <c r="K87" s="35"/>
      <c r="L87" s="35"/>
      <c r="M87" s="35"/>
      <c r="N87" s="32" t="e">
        <f>IF(H87=March!$E$2,"N",IF(AND(COUNTIF(B:B,B87)=1,D87&gt;14),"Y","N"))</f>
        <v>#N/A</v>
      </c>
      <c r="O87" s="55" t="str">
        <f>IF(COUNT(March[[#This Row],[Date]])&gt;0,IF(March[[#This Row],[Date]]&gt;14,"Yes","No"),"N/A")</f>
        <v>N/A</v>
      </c>
      <c r="P87" s="55"/>
      <c r="Q87" s="5">
        <f>Relay!A86</f>
        <v>0</v>
      </c>
      <c r="R87" s="5">
        <f>Relay!B86</f>
        <v>85</v>
      </c>
      <c r="S87" s="8">
        <f>IF(March[After the 14th?]="No",SUMIF(March[SysID],R87,March[Pay Amount]),0)+IF(Feb[After the 14th?]="Yes",SUMIF(Feb[SysID],R87,Feb[Pay Amount]),0)</f>
        <v>0</v>
      </c>
      <c r="T87" s="8"/>
      <c r="U87" s="5" t="str">
        <f t="shared" si="5"/>
        <v>N</v>
      </c>
      <c r="X87" s="56"/>
      <c r="Y87" s="56"/>
      <c r="Z87" s="56"/>
      <c r="AA87" s="56"/>
      <c r="AC87" s="56"/>
    </row>
    <row r="88" spans="1:29" x14ac:dyDescent="0.25">
      <c r="A88" s="35"/>
      <c r="B88" s="32" t="e">
        <f>VLOOKUP(A88,Relay!$A$1:$B$50,2,FALSE)</f>
        <v>#N/A</v>
      </c>
      <c r="C88" s="32" t="e">
        <f>VLOOKUP(A88,Relay!$A$2:$C$101,3,FALSE)</f>
        <v>#N/A</v>
      </c>
      <c r="D88" s="39"/>
      <c r="E88" s="35"/>
      <c r="F88" s="58" t="str">
        <f t="shared" si="3"/>
        <v>INS</v>
      </c>
      <c r="G88" s="32" t="e">
        <f>IF(OR(E88="Jeopardy",E88="APP Moonlighting",E88="Differential Pay"),"",March[[#This Row],[SysID]])</f>
        <v>#N/A</v>
      </c>
      <c r="H88" s="32" t="e">
        <f>IF(E88="Jeopardy",IF(C88="MD",Relay!$E$7,Relay!$E$8),IF(C88="MD",IF(COUNTIF(G:G,B88)&gt;1,Relay!$E$2,Relay!$E$1),IF(AND(COUNTIF(G:G,B88)&gt;1,COUNTA(A88)&gt;0),Relay!$E$5,Relay!$E$4)))</f>
        <v>#N/A</v>
      </c>
      <c r="I88" s="8">
        <f t="shared" si="4"/>
        <v>0</v>
      </c>
      <c r="J88" s="35"/>
      <c r="K88" s="35"/>
      <c r="L88" s="35"/>
      <c r="M88" s="35"/>
      <c r="N88" s="32" t="e">
        <f>IF(H88=March!$E$2,"N",IF(AND(COUNTIF(B:B,B88)=1,D88&gt;14),"Y","N"))</f>
        <v>#N/A</v>
      </c>
      <c r="O88" s="55" t="str">
        <f>IF(COUNT(March[[#This Row],[Date]])&gt;0,IF(March[[#This Row],[Date]]&gt;14,"Yes","No"),"N/A")</f>
        <v>N/A</v>
      </c>
      <c r="P88" s="55"/>
      <c r="Q88" s="5">
        <f>Relay!A87</f>
        <v>0</v>
      </c>
      <c r="R88" s="5">
        <f>Relay!B87</f>
        <v>86</v>
      </c>
      <c r="S88" s="8">
        <f>IF(March[After the 14th?]="No",SUMIF(March[SysID],R88,March[Pay Amount]),0)+IF(Feb[After the 14th?]="Yes",SUMIF(Feb[SysID],R88,Feb[Pay Amount]),0)</f>
        <v>0</v>
      </c>
      <c r="T88" s="8"/>
      <c r="U88" s="5" t="str">
        <f t="shared" si="5"/>
        <v>N</v>
      </c>
      <c r="X88" s="56"/>
      <c r="Y88" s="56"/>
      <c r="Z88" s="56"/>
      <c r="AA88" s="56"/>
      <c r="AC88" s="56"/>
    </row>
    <row r="89" spans="1:29" x14ac:dyDescent="0.25">
      <c r="A89" s="35"/>
      <c r="B89" s="32" t="e">
        <f>VLOOKUP(A89,Relay!$A$1:$B$50,2,FALSE)</f>
        <v>#N/A</v>
      </c>
      <c r="C89" s="32" t="e">
        <f>VLOOKUP(A89,Relay!$A$2:$C$101,3,FALSE)</f>
        <v>#N/A</v>
      </c>
      <c r="D89" s="39"/>
      <c r="E89" s="35"/>
      <c r="F89" s="58" t="str">
        <f t="shared" si="3"/>
        <v>INS</v>
      </c>
      <c r="G89" s="32" t="e">
        <f>IF(OR(E89="Jeopardy",E89="APP Moonlighting",E89="Differential Pay"),"",March[[#This Row],[SysID]])</f>
        <v>#N/A</v>
      </c>
      <c r="H89" s="32" t="e">
        <f>IF(E89="Jeopardy",IF(C89="MD",Relay!$E$7,Relay!$E$8),IF(C89="MD",IF(COUNTIF(G:G,B89)&gt;1,Relay!$E$2,Relay!$E$1),IF(AND(COUNTIF(G:G,B89)&gt;1,COUNTA(A89)&gt;0),Relay!$E$5,Relay!$E$4)))</f>
        <v>#N/A</v>
      </c>
      <c r="I89" s="8">
        <f t="shared" si="4"/>
        <v>0</v>
      </c>
      <c r="J89" s="35"/>
      <c r="K89" s="35"/>
      <c r="L89" s="35"/>
      <c r="M89" s="35"/>
      <c r="N89" s="32" t="e">
        <f>IF(H89=March!$E$2,"N",IF(AND(COUNTIF(B:B,B89)=1,D89&gt;14),"Y","N"))</f>
        <v>#N/A</v>
      </c>
      <c r="O89" s="55" t="str">
        <f>IF(COUNT(March[[#This Row],[Date]])&gt;0,IF(March[[#This Row],[Date]]&gt;14,"Yes","No"),"N/A")</f>
        <v>N/A</v>
      </c>
      <c r="P89" s="55"/>
      <c r="Q89" s="5">
        <f>Relay!A88</f>
        <v>0</v>
      </c>
      <c r="R89" s="5">
        <f>Relay!B88</f>
        <v>87</v>
      </c>
      <c r="S89" s="8">
        <f>IF(March[After the 14th?]="No",SUMIF(March[SysID],R89,March[Pay Amount]),0)+IF(Feb[After the 14th?]="Yes",SUMIF(Feb[SysID],R89,Feb[Pay Amount]),0)</f>
        <v>0</v>
      </c>
      <c r="T89" s="8"/>
      <c r="U89" s="5" t="str">
        <f t="shared" si="5"/>
        <v>N</v>
      </c>
      <c r="X89" s="56"/>
      <c r="Y89" s="56"/>
      <c r="Z89" s="56"/>
      <c r="AA89" s="56"/>
      <c r="AC89" s="56"/>
    </row>
    <row r="90" spans="1:29" x14ac:dyDescent="0.25">
      <c r="A90" s="35"/>
      <c r="B90" s="32" t="e">
        <f>VLOOKUP(A90,Relay!$A$1:$B$50,2,FALSE)</f>
        <v>#N/A</v>
      </c>
      <c r="C90" s="32" t="e">
        <f>VLOOKUP(A90,Relay!$A$2:$C$101,3,FALSE)</f>
        <v>#N/A</v>
      </c>
      <c r="D90" s="39"/>
      <c r="E90" s="35"/>
      <c r="F90" s="58" t="str">
        <f t="shared" si="3"/>
        <v>INS</v>
      </c>
      <c r="G90" s="32" t="e">
        <f>IF(OR(E90="Jeopardy",E90="APP Moonlighting",E90="Differential Pay"),"",March[[#This Row],[SysID]])</f>
        <v>#N/A</v>
      </c>
      <c r="H90" s="32" t="e">
        <f>IF(E90="Jeopardy",IF(C90="MD",Relay!$E$7,Relay!$E$8),IF(C90="MD",IF(COUNTIF(G:G,B90)&gt;1,Relay!$E$2,Relay!$E$1),IF(AND(COUNTIF(G:G,B90)&gt;1,COUNTA(A90)&gt;0),Relay!$E$5,Relay!$E$4)))</f>
        <v>#N/A</v>
      </c>
      <c r="I90" s="8">
        <f t="shared" si="4"/>
        <v>0</v>
      </c>
      <c r="J90" s="35"/>
      <c r="K90" s="35"/>
      <c r="L90" s="35"/>
      <c r="M90" s="35"/>
      <c r="N90" s="32" t="e">
        <f>IF(H90=March!$E$2,"N",IF(AND(COUNTIF(B:B,B90)=1,D90&gt;14),"Y","N"))</f>
        <v>#N/A</v>
      </c>
      <c r="O90" s="55" t="str">
        <f>IF(COUNT(March[[#This Row],[Date]])&gt;0,IF(March[[#This Row],[Date]]&gt;14,"Yes","No"),"N/A")</f>
        <v>N/A</v>
      </c>
      <c r="P90" s="55"/>
      <c r="Q90" s="5">
        <f>Relay!A89</f>
        <v>0</v>
      </c>
      <c r="R90" s="5">
        <f>Relay!B89</f>
        <v>88</v>
      </c>
      <c r="S90" s="8">
        <f>IF(March[After the 14th?]="No",SUMIF(March[SysID],R90,March[Pay Amount]),0)+IF(Feb[After the 14th?]="Yes",SUMIF(Feb[SysID],R90,Feb[Pay Amount]),0)</f>
        <v>0</v>
      </c>
      <c r="T90" s="8"/>
      <c r="U90" s="5" t="str">
        <f t="shared" si="5"/>
        <v>N</v>
      </c>
      <c r="X90" s="56"/>
      <c r="Y90" s="56"/>
      <c r="Z90" s="56"/>
      <c r="AA90" s="56"/>
      <c r="AC90" s="56"/>
    </row>
    <row r="91" spans="1:29" x14ac:dyDescent="0.25">
      <c r="A91" s="35"/>
      <c r="B91" s="32" t="e">
        <f>VLOOKUP(A91,Relay!$A$1:$B$50,2,FALSE)</f>
        <v>#N/A</v>
      </c>
      <c r="C91" s="32" t="e">
        <f>VLOOKUP(A91,Relay!$A$2:$C$101,3,FALSE)</f>
        <v>#N/A</v>
      </c>
      <c r="D91" s="39"/>
      <c r="E91" s="35"/>
      <c r="F91" s="58" t="str">
        <f t="shared" si="3"/>
        <v>INS</v>
      </c>
      <c r="G91" s="32" t="e">
        <f>IF(OR(E91="Jeopardy",E91="APP Moonlighting",E91="Differential Pay"),"",March[[#This Row],[SysID]])</f>
        <v>#N/A</v>
      </c>
      <c r="H91" s="32" t="e">
        <f>IF(E91="Jeopardy",IF(C91="MD",Relay!$E$7,Relay!$E$8),IF(C91="MD",IF(COUNTIF(G:G,B91)&gt;1,Relay!$E$2,Relay!$E$1),IF(AND(COUNTIF(G:G,B91)&gt;1,COUNTA(A91)&gt;0),Relay!$E$5,Relay!$E$4)))</f>
        <v>#N/A</v>
      </c>
      <c r="I91" s="8">
        <f t="shared" si="4"/>
        <v>0</v>
      </c>
      <c r="J91" s="35"/>
      <c r="K91" s="35"/>
      <c r="L91" s="35"/>
      <c r="M91" s="35"/>
      <c r="N91" s="32" t="e">
        <f>IF(H91=March!$E$2,"N",IF(AND(COUNTIF(B:B,B91)=1,D91&gt;14),"Y","N"))</f>
        <v>#N/A</v>
      </c>
      <c r="O91" s="55" t="str">
        <f>IF(COUNT(March[[#This Row],[Date]])&gt;0,IF(March[[#This Row],[Date]]&gt;14,"Yes","No"),"N/A")</f>
        <v>N/A</v>
      </c>
      <c r="P91" s="55"/>
      <c r="Q91" s="5">
        <f>Relay!A90</f>
        <v>0</v>
      </c>
      <c r="R91" s="5">
        <f>Relay!B90</f>
        <v>89</v>
      </c>
      <c r="S91" s="8">
        <f>IF(March[After the 14th?]="No",SUMIF(March[SysID],R91,March[Pay Amount]),0)+IF(Feb[After the 14th?]="Yes",SUMIF(Feb[SysID],R91,Feb[Pay Amount]),0)</f>
        <v>0</v>
      </c>
      <c r="T91" s="8"/>
      <c r="U91" s="5" t="str">
        <f t="shared" si="5"/>
        <v>N</v>
      </c>
      <c r="X91" s="56"/>
      <c r="Y91" s="56"/>
      <c r="Z91" s="56"/>
      <c r="AA91" s="56"/>
      <c r="AC91" s="56"/>
    </row>
    <row r="92" spans="1:29" x14ac:dyDescent="0.25">
      <c r="A92" s="35"/>
      <c r="B92" s="32" t="e">
        <f>VLOOKUP(A92,Relay!$A$1:$B$50,2,FALSE)</f>
        <v>#N/A</v>
      </c>
      <c r="C92" s="32" t="e">
        <f>VLOOKUP(A92,Relay!$A$2:$C$101,3,FALSE)</f>
        <v>#N/A</v>
      </c>
      <c r="D92" s="39"/>
      <c r="E92" s="35"/>
      <c r="F92" s="58" t="str">
        <f t="shared" si="3"/>
        <v>INS</v>
      </c>
      <c r="G92" s="32" t="e">
        <f>IF(OR(E92="Jeopardy",E92="APP Moonlighting",E92="Differential Pay"),"",March[[#This Row],[SysID]])</f>
        <v>#N/A</v>
      </c>
      <c r="H92" s="32" t="e">
        <f>IF(E92="Jeopardy",IF(C92="MD",Relay!$E$7,Relay!$E$8),IF(C92="MD",IF(COUNTIF(G:G,B92)&gt;1,Relay!$E$2,Relay!$E$1),IF(AND(COUNTIF(G:G,B92)&gt;1,COUNTA(A92)&gt;0),Relay!$E$5,Relay!$E$4)))</f>
        <v>#N/A</v>
      </c>
      <c r="I92" s="8">
        <f t="shared" si="4"/>
        <v>0</v>
      </c>
      <c r="J92" s="35"/>
      <c r="K92" s="35"/>
      <c r="L92" s="35"/>
      <c r="M92" s="35"/>
      <c r="N92" s="32" t="e">
        <f>IF(H92=March!$E$2,"N",IF(AND(COUNTIF(B:B,B92)=1,D92&gt;14),"Y","N"))</f>
        <v>#N/A</v>
      </c>
      <c r="O92" s="55" t="str">
        <f>IF(COUNT(March[[#This Row],[Date]])&gt;0,IF(March[[#This Row],[Date]]&gt;14,"Yes","No"),"N/A")</f>
        <v>N/A</v>
      </c>
      <c r="P92" s="55"/>
      <c r="Q92" s="5">
        <f>Relay!A91</f>
        <v>0</v>
      </c>
      <c r="R92" s="5">
        <f>Relay!B91</f>
        <v>90</v>
      </c>
      <c r="S92" s="8">
        <f>IF(March[After the 14th?]="No",SUMIF(March[SysID],R92,March[Pay Amount]),0)+IF(Feb[After the 14th?]="Yes",SUMIF(Feb[SysID],R92,Feb[Pay Amount]),0)</f>
        <v>0</v>
      </c>
      <c r="T92" s="8"/>
      <c r="U92" s="5" t="str">
        <f t="shared" si="5"/>
        <v>N</v>
      </c>
      <c r="X92" s="56"/>
      <c r="Y92" s="56"/>
      <c r="Z92" s="56"/>
      <c r="AA92" s="56"/>
      <c r="AC92" s="56"/>
    </row>
    <row r="93" spans="1:29" x14ac:dyDescent="0.25">
      <c r="A93" s="35"/>
      <c r="B93" s="32" t="e">
        <f>VLOOKUP(A93,Relay!$A$1:$B$50,2,FALSE)</f>
        <v>#N/A</v>
      </c>
      <c r="C93" s="32" t="e">
        <f>VLOOKUP(A93,Relay!$A$2:$C$101,3,FALSE)</f>
        <v>#N/A</v>
      </c>
      <c r="D93" s="39"/>
      <c r="E93" s="35"/>
      <c r="F93" s="58" t="str">
        <f t="shared" si="3"/>
        <v>INS</v>
      </c>
      <c r="G93" s="32" t="e">
        <f>IF(OR(E93="Jeopardy",E93="APP Moonlighting",E93="Differential Pay"),"",March[[#This Row],[SysID]])</f>
        <v>#N/A</v>
      </c>
      <c r="H93" s="32" t="e">
        <f>IF(E93="Jeopardy",IF(C93="MD",Relay!$E$7,Relay!$E$8),IF(C93="MD",IF(COUNTIF(G:G,B93)&gt;1,Relay!$E$2,Relay!$E$1),IF(AND(COUNTIF(G:G,B93)&gt;1,COUNTA(A93)&gt;0),Relay!$E$5,Relay!$E$4)))</f>
        <v>#N/A</v>
      </c>
      <c r="I93" s="8">
        <f t="shared" si="4"/>
        <v>0</v>
      </c>
      <c r="J93" s="35"/>
      <c r="K93" s="35"/>
      <c r="L93" s="35"/>
      <c r="M93" s="35"/>
      <c r="N93" s="32" t="e">
        <f>IF(H93=March!$E$2,"N",IF(AND(COUNTIF(B:B,B93)=1,D93&gt;14),"Y","N"))</f>
        <v>#N/A</v>
      </c>
      <c r="O93" s="55" t="str">
        <f>IF(COUNT(March[[#This Row],[Date]])&gt;0,IF(March[[#This Row],[Date]]&gt;14,"Yes","No"),"N/A")</f>
        <v>N/A</v>
      </c>
      <c r="P93" s="55"/>
      <c r="Q93" s="5">
        <f>Relay!A92</f>
        <v>0</v>
      </c>
      <c r="R93" s="5">
        <f>Relay!B92</f>
        <v>91</v>
      </c>
      <c r="S93" s="8">
        <f>IF(March[After the 14th?]="No",SUMIF(March[SysID],R93,March[Pay Amount]),0)+IF(Feb[After the 14th?]="Yes",SUMIF(Feb[SysID],R93,Feb[Pay Amount]),0)</f>
        <v>0</v>
      </c>
      <c r="T93" s="8"/>
      <c r="U93" s="5" t="str">
        <f t="shared" si="5"/>
        <v>N</v>
      </c>
      <c r="X93" s="56"/>
      <c r="Y93" s="56"/>
      <c r="Z93" s="56"/>
      <c r="AA93" s="56"/>
      <c r="AC93" s="56"/>
    </row>
    <row r="94" spans="1:29" x14ac:dyDescent="0.25">
      <c r="A94" s="35"/>
      <c r="B94" s="32" t="e">
        <f>VLOOKUP(A94,Relay!$A$1:$B$50,2,FALSE)</f>
        <v>#N/A</v>
      </c>
      <c r="C94" s="32" t="e">
        <f>VLOOKUP(A94,Relay!$A$2:$C$101,3,FALSE)</f>
        <v>#N/A</v>
      </c>
      <c r="D94" s="39"/>
      <c r="E94" s="35"/>
      <c r="F94" s="58" t="str">
        <f t="shared" si="3"/>
        <v>INS</v>
      </c>
      <c r="G94" s="32" t="e">
        <f>IF(OR(E94="Jeopardy",E94="APP Moonlighting",E94="Differential Pay"),"",March[[#This Row],[SysID]])</f>
        <v>#N/A</v>
      </c>
      <c r="H94" s="32" t="e">
        <f>IF(E94="Jeopardy",IF(C94="MD",Relay!$E$7,Relay!$E$8),IF(C94="MD",IF(COUNTIF(G:G,B94)&gt;1,Relay!$E$2,Relay!$E$1),IF(AND(COUNTIF(G:G,B94)&gt;1,COUNTA(A94)&gt;0),Relay!$E$5,Relay!$E$4)))</f>
        <v>#N/A</v>
      </c>
      <c r="I94" s="8">
        <f t="shared" si="4"/>
        <v>0</v>
      </c>
      <c r="J94" s="35"/>
      <c r="K94" s="35"/>
      <c r="L94" s="35"/>
      <c r="M94" s="35"/>
      <c r="N94" s="32" t="e">
        <f>IF(H94=March!$E$2,"N",IF(AND(COUNTIF(B:B,B94)=1,D94&gt;14),"Y","N"))</f>
        <v>#N/A</v>
      </c>
      <c r="O94" s="55" t="str">
        <f>IF(COUNT(March[[#This Row],[Date]])&gt;0,IF(March[[#This Row],[Date]]&gt;14,"Yes","No"),"N/A")</f>
        <v>N/A</v>
      </c>
      <c r="P94" s="55"/>
      <c r="Q94" s="5">
        <f>Relay!A93</f>
        <v>0</v>
      </c>
      <c r="R94" s="5">
        <f>Relay!B93</f>
        <v>92</v>
      </c>
      <c r="S94" s="8">
        <f>IF(March[After the 14th?]="No",SUMIF(March[SysID],R94,March[Pay Amount]),0)+IF(Feb[After the 14th?]="Yes",SUMIF(Feb[SysID],R94,Feb[Pay Amount]),0)</f>
        <v>0</v>
      </c>
      <c r="T94" s="8"/>
      <c r="U94" s="5" t="str">
        <f t="shared" si="5"/>
        <v>N</v>
      </c>
      <c r="X94" s="56"/>
      <c r="Y94" s="56"/>
      <c r="Z94" s="56"/>
      <c r="AA94" s="56"/>
      <c r="AC94" s="56"/>
    </row>
    <row r="95" spans="1:29" x14ac:dyDescent="0.25">
      <c r="A95" s="35"/>
      <c r="B95" s="32" t="e">
        <f>VLOOKUP(A95,Relay!$A$1:$B$50,2,FALSE)</f>
        <v>#N/A</v>
      </c>
      <c r="C95" s="32" t="e">
        <f>VLOOKUP(A95,Relay!$A$2:$C$101,3,FALSE)</f>
        <v>#N/A</v>
      </c>
      <c r="D95" s="39"/>
      <c r="E95" s="35"/>
      <c r="F95" s="58" t="str">
        <f t="shared" si="3"/>
        <v>INS</v>
      </c>
      <c r="G95" s="32" t="e">
        <f>IF(OR(E95="Jeopardy",E95="APP Moonlighting",E95="Differential Pay"),"",March[[#This Row],[SysID]])</f>
        <v>#N/A</v>
      </c>
      <c r="H95" s="32" t="e">
        <f>IF(E95="Jeopardy",IF(C95="MD",Relay!$E$7,Relay!$E$8),IF(C95="MD",IF(COUNTIF(G:G,B95)&gt;1,Relay!$E$2,Relay!$E$1),IF(AND(COUNTIF(G:G,B95)&gt;1,COUNTA(A95)&gt;0),Relay!$E$5,Relay!$E$4)))</f>
        <v>#N/A</v>
      </c>
      <c r="I95" s="8">
        <f t="shared" si="4"/>
        <v>0</v>
      </c>
      <c r="J95" s="35"/>
      <c r="K95" s="35"/>
      <c r="L95" s="35"/>
      <c r="M95" s="35"/>
      <c r="N95" s="32" t="e">
        <f>IF(H95=March!$E$2,"N",IF(AND(COUNTIF(B:B,B95)=1,D95&gt;14),"Y","N"))</f>
        <v>#N/A</v>
      </c>
      <c r="O95" s="55" t="str">
        <f>IF(COUNT(March[[#This Row],[Date]])&gt;0,IF(March[[#This Row],[Date]]&gt;14,"Yes","No"),"N/A")</f>
        <v>N/A</v>
      </c>
      <c r="P95" s="55"/>
      <c r="Q95" s="5">
        <f>Relay!A94</f>
        <v>0</v>
      </c>
      <c r="R95" s="5">
        <f>Relay!B94</f>
        <v>93</v>
      </c>
      <c r="S95" s="8">
        <f>IF(March[After the 14th?]="No",SUMIF(March[SysID],R95,March[Pay Amount]),0)+IF(Feb[After the 14th?]="Yes",SUMIF(Feb[SysID],R95,Feb[Pay Amount]),0)</f>
        <v>0</v>
      </c>
      <c r="T95" s="8"/>
      <c r="U95" s="5" t="str">
        <f t="shared" si="5"/>
        <v>N</v>
      </c>
      <c r="X95" s="56"/>
      <c r="Y95" s="56"/>
      <c r="Z95" s="56"/>
      <c r="AA95" s="56"/>
      <c r="AC95" s="56"/>
    </row>
    <row r="96" spans="1:29" x14ac:dyDescent="0.25">
      <c r="A96" s="35"/>
      <c r="B96" s="32" t="e">
        <f>VLOOKUP(A96,Relay!$A$1:$B$50,2,FALSE)</f>
        <v>#N/A</v>
      </c>
      <c r="C96" s="32" t="e">
        <f>VLOOKUP(A96,Relay!$A$2:$C$101,3,FALSE)</f>
        <v>#N/A</v>
      </c>
      <c r="D96" s="39"/>
      <c r="E96" s="35"/>
      <c r="F96" s="58" t="str">
        <f t="shared" si="3"/>
        <v>INS</v>
      </c>
      <c r="G96" s="32" t="e">
        <f>IF(OR(E96="Jeopardy",E96="APP Moonlighting",E96="Differential Pay"),"",March[[#This Row],[SysID]])</f>
        <v>#N/A</v>
      </c>
      <c r="H96" s="32" t="e">
        <f>IF(E96="Jeopardy",IF(C96="MD",Relay!$E$7,Relay!$E$8),IF(C96="MD",IF(COUNTIF(G:G,B96)&gt;1,Relay!$E$2,Relay!$E$1),IF(AND(COUNTIF(G:G,B96)&gt;1,COUNTA(A96)&gt;0),Relay!$E$5,Relay!$E$4)))</f>
        <v>#N/A</v>
      </c>
      <c r="I96" s="8">
        <f t="shared" si="4"/>
        <v>0</v>
      </c>
      <c r="J96" s="35"/>
      <c r="K96" s="35"/>
      <c r="L96" s="35"/>
      <c r="M96" s="35"/>
      <c r="N96" s="32" t="e">
        <f>IF(H96=March!$E$2,"N",IF(AND(COUNTIF(B:B,B96)=1,D96&gt;14),"Y","N"))</f>
        <v>#N/A</v>
      </c>
      <c r="O96" s="55" t="str">
        <f>IF(COUNT(March[[#This Row],[Date]])&gt;0,IF(March[[#This Row],[Date]]&gt;14,"Yes","No"),"N/A")</f>
        <v>N/A</v>
      </c>
      <c r="P96" s="55"/>
      <c r="Q96" s="5">
        <f>Relay!A95</f>
        <v>0</v>
      </c>
      <c r="R96" s="5">
        <f>Relay!B95</f>
        <v>94</v>
      </c>
      <c r="S96" s="8">
        <f>IF(March[After the 14th?]="No",SUMIF(March[SysID],R96,March[Pay Amount]),0)+IF(Feb[After the 14th?]="Yes",SUMIF(Feb[SysID],R96,Feb[Pay Amount]),0)</f>
        <v>0</v>
      </c>
      <c r="T96" s="8"/>
      <c r="U96" s="5" t="str">
        <f t="shared" si="5"/>
        <v>N</v>
      </c>
      <c r="X96" s="56"/>
      <c r="Y96" s="56"/>
      <c r="Z96" s="56"/>
      <c r="AA96" s="56"/>
      <c r="AC96" s="56"/>
    </row>
    <row r="97" spans="1:29" x14ac:dyDescent="0.25">
      <c r="A97" s="35"/>
      <c r="B97" s="32" t="e">
        <f>VLOOKUP(A97,Relay!$A$1:$B$50,2,FALSE)</f>
        <v>#N/A</v>
      </c>
      <c r="C97" s="32" t="e">
        <f>VLOOKUP(A97,Relay!$A$2:$C$101,3,FALSE)</f>
        <v>#N/A</v>
      </c>
      <c r="D97" s="39"/>
      <c r="E97" s="35"/>
      <c r="F97" s="58" t="str">
        <f t="shared" si="3"/>
        <v>INS</v>
      </c>
      <c r="G97" s="32" t="e">
        <f>IF(OR(E97="Jeopardy",E97="APP Moonlighting",E97="Differential Pay"),"",March[[#This Row],[SysID]])</f>
        <v>#N/A</v>
      </c>
      <c r="H97" s="32" t="e">
        <f>IF(E97="Jeopardy",IF(C97="MD",Relay!$E$7,Relay!$E$8),IF(C97="MD",IF(COUNTIF(G:G,B97)&gt;1,Relay!$E$2,Relay!$E$1),IF(AND(COUNTIF(G:G,B97)&gt;1,COUNTA(A97)&gt;0),Relay!$E$5,Relay!$E$4)))</f>
        <v>#N/A</v>
      </c>
      <c r="I97" s="8">
        <f t="shared" si="4"/>
        <v>0</v>
      </c>
      <c r="J97" s="35"/>
      <c r="K97" s="35"/>
      <c r="L97" s="35"/>
      <c r="M97" s="35"/>
      <c r="N97" s="32" t="e">
        <f>IF(H97=March!$E$2,"N",IF(AND(COUNTIF(B:B,B97)=1,D97&gt;14),"Y","N"))</f>
        <v>#N/A</v>
      </c>
      <c r="O97" s="55" t="str">
        <f>IF(COUNT(March[[#This Row],[Date]])&gt;0,IF(March[[#This Row],[Date]]&gt;14,"Yes","No"),"N/A")</f>
        <v>N/A</v>
      </c>
      <c r="P97" s="55"/>
      <c r="Q97" s="5">
        <f>Relay!A96</f>
        <v>0</v>
      </c>
      <c r="R97" s="5">
        <f>Relay!B96</f>
        <v>95</v>
      </c>
      <c r="S97" s="8">
        <f>IF(March[After the 14th?]="No",SUMIF(March[SysID],R97,March[Pay Amount]),0)+IF(Feb[After the 14th?]="Yes",SUMIF(Feb[SysID],R97,Feb[Pay Amount]),0)</f>
        <v>0</v>
      </c>
      <c r="T97" s="8"/>
      <c r="U97" s="5" t="str">
        <f t="shared" si="5"/>
        <v>N</v>
      </c>
      <c r="X97" s="56"/>
      <c r="Y97" s="56"/>
      <c r="Z97" s="56"/>
      <c r="AA97" s="56"/>
      <c r="AC97" s="56"/>
    </row>
    <row r="98" spans="1:29" x14ac:dyDescent="0.25">
      <c r="A98" s="35"/>
      <c r="B98" s="32" t="e">
        <f>VLOOKUP(A98,Relay!$A$1:$B$50,2,FALSE)</f>
        <v>#N/A</v>
      </c>
      <c r="C98" s="32" t="e">
        <f>VLOOKUP(A98,Relay!$A$2:$C$101,3,FALSE)</f>
        <v>#N/A</v>
      </c>
      <c r="D98" s="39"/>
      <c r="E98" s="35"/>
      <c r="F98" s="58" t="str">
        <f t="shared" si="3"/>
        <v>INS</v>
      </c>
      <c r="G98" s="32" t="e">
        <f>IF(OR(E98="Jeopardy",E98="APP Moonlighting",E98="Differential Pay"),"",March[[#This Row],[SysID]])</f>
        <v>#N/A</v>
      </c>
      <c r="H98" s="32" t="e">
        <f>IF(E98="Jeopardy",IF(C98="MD",Relay!$E$7,Relay!$E$8),IF(C98="MD",IF(COUNTIF(G:G,B98)&gt;1,Relay!$E$2,Relay!$E$1),IF(AND(COUNTIF(G:G,B98)&gt;1,COUNTA(A98)&gt;0),Relay!$E$5,Relay!$E$4)))</f>
        <v>#N/A</v>
      </c>
      <c r="I98" s="8">
        <f t="shared" si="4"/>
        <v>0</v>
      </c>
      <c r="J98" s="35"/>
      <c r="K98" s="35"/>
      <c r="L98" s="35"/>
      <c r="M98" s="35"/>
      <c r="N98" s="32" t="e">
        <f>IF(H98=March!$E$2,"N",IF(AND(COUNTIF(B:B,B98)=1,D98&gt;14),"Y","N"))</f>
        <v>#N/A</v>
      </c>
      <c r="O98" s="55" t="str">
        <f>IF(COUNT(March[[#This Row],[Date]])&gt;0,IF(March[[#This Row],[Date]]&gt;14,"Yes","No"),"N/A")</f>
        <v>N/A</v>
      </c>
      <c r="P98" s="55"/>
      <c r="Q98" s="5">
        <f>Relay!A97</f>
        <v>0</v>
      </c>
      <c r="R98" s="5">
        <f>Relay!B97</f>
        <v>96</v>
      </c>
      <c r="S98" s="8">
        <f>IF(March[After the 14th?]="No",SUMIF(March[SysID],R98,March[Pay Amount]),0)+IF(Feb[After the 14th?]="Yes",SUMIF(Feb[SysID],R98,Feb[Pay Amount]),0)</f>
        <v>0</v>
      </c>
      <c r="T98" s="8"/>
      <c r="U98" s="5" t="str">
        <f t="shared" si="5"/>
        <v>N</v>
      </c>
      <c r="X98" s="56"/>
      <c r="Y98" s="56"/>
      <c r="Z98" s="56"/>
      <c r="AA98" s="56"/>
      <c r="AC98" s="56"/>
    </row>
    <row r="99" spans="1:29" x14ac:dyDescent="0.25">
      <c r="A99" s="35"/>
      <c r="B99" s="32" t="e">
        <f>VLOOKUP(A99,Relay!$A$1:$B$50,2,FALSE)</f>
        <v>#N/A</v>
      </c>
      <c r="C99" s="32" t="e">
        <f>VLOOKUP(A99,Relay!$A$2:$C$101,3,FALSE)</f>
        <v>#N/A</v>
      </c>
      <c r="D99" s="39"/>
      <c r="E99" s="35"/>
      <c r="F99" s="58" t="str">
        <f t="shared" si="3"/>
        <v>INS</v>
      </c>
      <c r="G99" s="32" t="e">
        <f>IF(OR(E99="Jeopardy",E99="APP Moonlighting",E99="Differential Pay"),"",March[[#This Row],[SysID]])</f>
        <v>#N/A</v>
      </c>
      <c r="H99" s="32" t="e">
        <f>IF(E99="Jeopardy",IF(C99="MD",Relay!$E$7,Relay!$E$8),IF(C99="MD",IF(COUNTIF(G:G,B99)&gt;1,Relay!$E$2,Relay!$E$1),IF(AND(COUNTIF(G:G,B99)&gt;1,COUNTA(A99)&gt;0),Relay!$E$5,Relay!$E$4)))</f>
        <v>#N/A</v>
      </c>
      <c r="I99" s="8">
        <f t="shared" si="4"/>
        <v>0</v>
      </c>
      <c r="J99" s="35"/>
      <c r="K99" s="35"/>
      <c r="L99" s="35"/>
      <c r="M99" s="35"/>
      <c r="N99" s="32" t="e">
        <f>IF(H99=March!$E$2,"N",IF(AND(COUNTIF(B:B,B99)=1,D99&gt;14),"Y","N"))</f>
        <v>#N/A</v>
      </c>
      <c r="O99" s="55" t="str">
        <f>IF(COUNT(March[[#This Row],[Date]])&gt;0,IF(March[[#This Row],[Date]]&gt;14,"Yes","No"),"N/A")</f>
        <v>N/A</v>
      </c>
      <c r="P99" s="55"/>
      <c r="Q99" s="5">
        <f>Relay!A98</f>
        <v>0</v>
      </c>
      <c r="R99" s="5">
        <f>Relay!B98</f>
        <v>97</v>
      </c>
      <c r="S99" s="8">
        <f>IF(March[After the 14th?]="No",SUMIF(March[SysID],R99,March[Pay Amount]),0)+IF(Feb[After the 14th?]="Yes",SUMIF(Feb[SysID],R99,Feb[Pay Amount]),0)</f>
        <v>0</v>
      </c>
      <c r="T99" s="8"/>
      <c r="U99" s="5" t="str">
        <f t="shared" si="5"/>
        <v>N</v>
      </c>
      <c r="X99" s="56"/>
      <c r="Y99" s="56"/>
      <c r="Z99" s="56"/>
      <c r="AA99" s="56"/>
      <c r="AC99" s="56"/>
    </row>
    <row r="100" spans="1:29" x14ac:dyDescent="0.25">
      <c r="A100" s="35"/>
      <c r="B100" s="32" t="e">
        <f>VLOOKUP(A100,Relay!$A$1:$B$50,2,FALSE)</f>
        <v>#N/A</v>
      </c>
      <c r="C100" s="32" t="e">
        <f>VLOOKUP(A100,Relay!$A$2:$C$101,3,FALSE)</f>
        <v>#N/A</v>
      </c>
      <c r="D100" s="39"/>
      <c r="E100" s="35"/>
      <c r="F100" s="58" t="str">
        <f t="shared" si="3"/>
        <v>INS</v>
      </c>
      <c r="G100" s="32" t="e">
        <f>IF(OR(E100="Jeopardy",E100="APP Moonlighting",E100="Differential Pay"),"",March[[#This Row],[SysID]])</f>
        <v>#N/A</v>
      </c>
      <c r="H100" s="32" t="e">
        <f>IF(E100="Jeopardy",IF(C100="MD",Relay!$E$7,Relay!$E$8),IF(C100="MD",IF(COUNTIF(G:G,B100)&gt;1,Relay!$E$2,Relay!$E$1),IF(AND(COUNTIF(G:G,B100)&gt;1,COUNTA(A100)&gt;0),Relay!$E$5,Relay!$E$4)))</f>
        <v>#N/A</v>
      </c>
      <c r="I100" s="8">
        <f t="shared" si="4"/>
        <v>0</v>
      </c>
      <c r="J100" s="35"/>
      <c r="K100" s="35"/>
      <c r="L100" s="35"/>
      <c r="M100" s="35"/>
      <c r="N100" s="32" t="e">
        <f>IF(H100=March!$E$2,"N",IF(AND(COUNTIF(B:B,B100)=1,D100&gt;14),"Y","N"))</f>
        <v>#N/A</v>
      </c>
      <c r="O100" s="55" t="str">
        <f>IF(COUNT(March[[#This Row],[Date]])&gt;0,IF(March[[#This Row],[Date]]&gt;14,"Yes","No"),"N/A")</f>
        <v>N/A</v>
      </c>
      <c r="P100" s="55"/>
      <c r="Q100" s="5">
        <f>Relay!A99</f>
        <v>0</v>
      </c>
      <c r="R100" s="5">
        <f>Relay!B99</f>
        <v>98</v>
      </c>
      <c r="S100" s="8">
        <f>IF(March[After the 14th?]="No",SUMIF(March[SysID],R100,March[Pay Amount]),0)+IF(Feb[After the 14th?]="Yes",SUMIF(Feb[SysID],R100,Feb[Pay Amount]),0)</f>
        <v>0</v>
      </c>
      <c r="T100" s="8"/>
      <c r="U100" s="5" t="str">
        <f t="shared" si="5"/>
        <v>N</v>
      </c>
      <c r="X100" s="56"/>
      <c r="Y100" s="56"/>
      <c r="Z100" s="56"/>
      <c r="AA100" s="56"/>
      <c r="AC100" s="56"/>
    </row>
    <row r="101" spans="1:29" x14ac:dyDescent="0.25">
      <c r="A101" s="35"/>
      <c r="B101" s="32" t="e">
        <f>VLOOKUP(A101,Relay!$A$1:$B$50,2,FALSE)</f>
        <v>#N/A</v>
      </c>
      <c r="C101" s="32" t="e">
        <f>VLOOKUP(A101,Relay!$A$2:$C$101,3,FALSE)</f>
        <v>#N/A</v>
      </c>
      <c r="D101" s="39"/>
      <c r="E101" s="35"/>
      <c r="F101" s="58" t="str">
        <f t="shared" si="3"/>
        <v>INS</v>
      </c>
      <c r="G101" s="32" t="e">
        <f>IF(OR(E101="Jeopardy",E101="APP Moonlighting",E101="Differential Pay"),"",March[[#This Row],[SysID]])</f>
        <v>#N/A</v>
      </c>
      <c r="H101" s="32" t="e">
        <f>IF(E101="Jeopardy",IF(C101="MD",Relay!$E$7,Relay!$E$8),IF(C101="MD",IF(COUNTIF(G:G,B101)&gt;1,Relay!$E$2,Relay!$E$1),IF(AND(COUNTIF(G:G,B101)&gt;1,COUNTA(A101)&gt;0),Relay!$E$5,Relay!$E$4)))</f>
        <v>#N/A</v>
      </c>
      <c r="I101" s="8">
        <f t="shared" si="4"/>
        <v>0</v>
      </c>
      <c r="J101" s="35"/>
      <c r="K101" s="35"/>
      <c r="L101" s="35"/>
      <c r="M101" s="35"/>
      <c r="N101" s="32" t="e">
        <f>IF(H101=March!$E$2,"N",IF(AND(COUNTIF(B:B,B101)=1,D101&gt;14),"Y","N"))</f>
        <v>#N/A</v>
      </c>
      <c r="O101" s="55" t="str">
        <f>IF(COUNT(March[[#This Row],[Date]])&gt;0,IF(March[[#This Row],[Date]]&gt;14,"Yes","No"),"N/A")</f>
        <v>N/A</v>
      </c>
      <c r="P101" s="55"/>
      <c r="Q101" s="5">
        <f>Relay!A100</f>
        <v>0</v>
      </c>
      <c r="R101" s="5">
        <f>Relay!B100</f>
        <v>99</v>
      </c>
      <c r="S101" s="8">
        <f>IF(March[After the 14th?]="No",SUMIF(March[SysID],R101,March[Pay Amount]),0)+IF(Feb[After the 14th?]="Yes",SUMIF(Feb[SysID],R101,Feb[Pay Amount]),0)</f>
        <v>0</v>
      </c>
      <c r="T101" s="8"/>
      <c r="U101" s="5" t="str">
        <f t="shared" si="5"/>
        <v>N</v>
      </c>
      <c r="X101" s="56"/>
      <c r="Y101" s="56"/>
      <c r="Z101" s="56"/>
      <c r="AA101" s="56"/>
      <c r="AC101" s="56"/>
    </row>
    <row r="102" spans="1:29" x14ac:dyDescent="0.25">
      <c r="A102" s="35"/>
      <c r="B102" s="32" t="e">
        <f>VLOOKUP(A102,Relay!$A$1:$B$50,2,FALSE)</f>
        <v>#N/A</v>
      </c>
      <c r="C102" s="32" t="e">
        <f>VLOOKUP(A102,Relay!$A$2:$C$101,3,FALSE)</f>
        <v>#N/A</v>
      </c>
      <c r="D102" s="39"/>
      <c r="E102" s="35"/>
      <c r="F102" s="58" t="str">
        <f t="shared" si="3"/>
        <v>INS</v>
      </c>
      <c r="G102" s="32" t="e">
        <f>IF(OR(E102="Jeopardy",E102="APP Moonlighting",E102="Differential Pay"),"",March[[#This Row],[SysID]])</f>
        <v>#N/A</v>
      </c>
      <c r="H102" s="32" t="e">
        <f>IF(E102="Jeopardy",IF(C102="MD",Relay!$E$7,Relay!$E$8),IF(C102="MD",IF(COUNTIF(G:G,B102)&gt;1,Relay!$E$2,Relay!$E$1),IF(AND(COUNTIF(G:G,B102)&gt;1,COUNTA(A102)&gt;0),Relay!$E$5,Relay!$E$4)))</f>
        <v>#N/A</v>
      </c>
      <c r="I102" s="8">
        <f t="shared" si="4"/>
        <v>0</v>
      </c>
      <c r="J102" s="35"/>
      <c r="K102" s="35"/>
      <c r="L102" s="35"/>
      <c r="M102" s="35"/>
      <c r="N102" s="32" t="e">
        <f>IF(H102=March!$E$2,"N",IF(AND(COUNTIF(B:B,B102)=1,D102&gt;14),"Y","N"))</f>
        <v>#N/A</v>
      </c>
      <c r="O102" s="55" t="str">
        <f>IF(COUNT(March[[#This Row],[Date]])&gt;0,IF(March[[#This Row],[Date]]&gt;14,"Yes","No"),"N/A")</f>
        <v>N/A</v>
      </c>
      <c r="P102" s="55"/>
      <c r="Q102" s="5">
        <f>Relay!A101</f>
        <v>0</v>
      </c>
      <c r="R102" s="5">
        <f>Relay!B101</f>
        <v>100</v>
      </c>
      <c r="S102" s="8">
        <f>IF(March[After the 14th?]="No",SUMIF(March[SysID],R102,March[Pay Amount]),0)+IF(Feb[After the 14th?]="Yes",SUMIF(Feb[SysID],R102,Feb[Pay Amount]),0)</f>
        <v>0</v>
      </c>
      <c r="T102" s="8"/>
      <c r="U102" s="5" t="str">
        <f t="shared" si="5"/>
        <v>N</v>
      </c>
      <c r="X102" s="56"/>
      <c r="Y102" s="56"/>
      <c r="Z102" s="56"/>
      <c r="AA102" s="56"/>
      <c r="AC102" s="56"/>
    </row>
    <row r="103" spans="1:29" x14ac:dyDescent="0.25">
      <c r="A103" s="35"/>
      <c r="B103" s="32" t="e">
        <f>VLOOKUP(A103,Relay!$A$1:$B$50,2,FALSE)</f>
        <v>#N/A</v>
      </c>
      <c r="C103" s="32" t="e">
        <f>VLOOKUP(A103,Relay!$A$2:$C$101,3,FALSE)</f>
        <v>#N/A</v>
      </c>
      <c r="D103" s="39"/>
      <c r="E103" s="35"/>
      <c r="F103" s="58" t="str">
        <f t="shared" si="3"/>
        <v>INS</v>
      </c>
      <c r="G103" s="32" t="e">
        <f>IF(OR(E103="Jeopardy",E103="APP Moonlighting",E103="Differential Pay"),"",March[[#This Row],[SysID]])</f>
        <v>#N/A</v>
      </c>
      <c r="H103" s="32" t="e">
        <f>IF(E103="Jeopardy",IF(C103="MD",Relay!$E$7,Relay!$E$8),IF(C103="MD",IF(COUNTIF(G:G,B103)&gt;1,Relay!$E$2,Relay!$E$1),IF(AND(COUNTIF(G:G,B103)&gt;1,COUNTA(A103)&gt;0),Relay!$E$5,Relay!$E$4)))</f>
        <v>#N/A</v>
      </c>
      <c r="I103" s="8">
        <f t="shared" si="4"/>
        <v>0</v>
      </c>
      <c r="J103" s="35"/>
      <c r="K103" s="35"/>
      <c r="L103" s="35"/>
      <c r="M103" s="35"/>
      <c r="N103" s="32" t="e">
        <f>IF(H103=March!$E$2,"N",IF(AND(COUNTIF(B:B,B103)=1,D103&gt;14),"Y","N"))</f>
        <v>#N/A</v>
      </c>
      <c r="O103" s="55" t="str">
        <f>IF(COUNT(March[[#This Row],[Date]])&gt;0,IF(March[[#This Row],[Date]]&gt;14,"Yes","No"),"N/A")</f>
        <v>N/A</v>
      </c>
      <c r="P103" s="55"/>
      <c r="Q103">
        <f>Relay!A102</f>
        <v>0</v>
      </c>
      <c r="R103">
        <f>Relay!B102</f>
        <v>0</v>
      </c>
      <c r="S103" s="9">
        <f>IF(March[After the 14th?]="No",SUMIF(March[SysID],R103,March[Pay Amount]),0)+IF(Feb[After the 14th?]="Yes",SUMIF(Feb[SysID],R103,Feb[Pay Amount]),0)</f>
        <v>0</v>
      </c>
      <c r="U103" s="5" t="str">
        <f t="shared" si="5"/>
        <v>N</v>
      </c>
      <c r="X103" s="56"/>
      <c r="Y103" s="56"/>
      <c r="Z103" s="56"/>
      <c r="AA103" s="56"/>
      <c r="AC103" s="56"/>
    </row>
  </sheetData>
  <conditionalFormatting sqref="N1:N1048576">
    <cfRule type="containsText" dxfId="159" priority="6" operator="containsText" text="Y">
      <formula>NOT(ISERROR(SEARCH("Y",N1)))</formula>
    </cfRule>
  </conditionalFormatting>
  <conditionalFormatting sqref="F1:G1048576">
    <cfRule type="containsText" dxfId="158" priority="5" operator="containsText" text="INS">
      <formula>NOT(ISERROR(SEARCH("INS",F1)))</formula>
    </cfRule>
  </conditionalFormatting>
  <conditionalFormatting sqref="O1:O1048576">
    <cfRule type="containsText" dxfId="157" priority="2" operator="containsText" text="yes">
      <formula>NOT(ISERROR(SEARCH("yes",O1)))</formula>
    </cfRule>
    <cfRule type="containsText" dxfId="156" priority="3" operator="containsText" text="no">
      <formula>NOT(ISERROR(SEARCH("no",O1)))</formula>
    </cfRule>
    <cfRule type="containsText" dxfId="155" priority="4" operator="containsText" text="/">
      <formula>NOT(ISERROR(SEARCH("/",O1)))</formula>
    </cfRule>
  </conditionalFormatting>
  <conditionalFormatting sqref="U1:U1048576">
    <cfRule type="containsText" dxfId="154" priority="1" operator="containsText" text="Y">
      <formula>NOT(ISERROR(SEARCH("Y",U1)))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Relay!$D$11:$D$16</xm:f>
          </x14:formula1>
          <xm:sqref>E3:E103</xm:sqref>
        </x14:dataValidation>
        <x14:dataValidation type="list" allowBlank="1" showInputMessage="1" showErrorMessage="1">
          <x14:formula1>
            <xm:f>Relay!$A$2:$A$101</xm:f>
          </x14:formula1>
          <xm:sqref>A3:A103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103"/>
  <sheetViews>
    <sheetView workbookViewId="0">
      <selection activeCell="B1" sqref="B1:B1048576"/>
    </sheetView>
  </sheetViews>
  <sheetFormatPr defaultRowHeight="15" x14ac:dyDescent="0.25"/>
  <cols>
    <col min="1" max="1" width="21.7109375" style="36" customWidth="1"/>
    <col min="2" max="2" width="9.140625" hidden="1" customWidth="1"/>
    <col min="3" max="3" width="12.85546875" bestFit="1" customWidth="1"/>
    <col min="4" max="4" width="10.7109375" style="40" bestFit="1" customWidth="1"/>
    <col min="5" max="5" width="12.85546875" style="36" bestFit="1" customWidth="1"/>
    <col min="6" max="6" width="12.85546875" style="36" customWidth="1"/>
    <col min="7" max="7" width="12.85546875" customWidth="1"/>
    <col min="8" max="8" width="10.7109375" customWidth="1"/>
    <col min="9" max="9" width="15.5703125" style="9" bestFit="1" customWidth="1"/>
    <col min="10" max="10" width="9.140625" style="36" customWidth="1"/>
    <col min="11" max="11" width="13.140625" style="36" bestFit="1" customWidth="1"/>
    <col min="12" max="12" width="15.5703125" style="36" bestFit="1" customWidth="1"/>
    <col min="13" max="13" width="14.140625" style="36" bestFit="1" customWidth="1"/>
    <col min="14" max="14" width="19.5703125" hidden="1" customWidth="1"/>
    <col min="15" max="16" width="17" customWidth="1"/>
    <col min="17" max="17" width="16.42578125" customWidth="1"/>
    <col min="19" max="19" width="15" style="9" bestFit="1" customWidth="1"/>
    <col min="20" max="20" width="16.28515625" style="9" bestFit="1" customWidth="1"/>
    <col min="21" max="21" width="9.140625" style="5"/>
    <col min="22" max="22" width="14.28515625" bestFit="1" customWidth="1"/>
    <col min="23" max="23" width="21.7109375" customWidth="1"/>
    <col min="27" max="27" width="12.85546875" bestFit="1" customWidth="1"/>
    <col min="28" max="28" width="9" style="9" bestFit="1" customWidth="1"/>
    <col min="29" max="29" width="8.42578125" bestFit="1" customWidth="1"/>
    <col min="30" max="30" width="10.42578125" style="9" bestFit="1" customWidth="1"/>
  </cols>
  <sheetData>
    <row r="1" spans="1:30" s="3" customFormat="1" x14ac:dyDescent="0.25">
      <c r="A1" s="33" t="s">
        <v>58</v>
      </c>
      <c r="D1" s="37"/>
      <c r="E1" s="41"/>
      <c r="F1" s="41"/>
      <c r="I1" s="6"/>
      <c r="J1" s="41"/>
      <c r="K1" s="41"/>
      <c r="L1" s="41"/>
      <c r="M1" s="41"/>
      <c r="Q1" s="2" t="s">
        <v>14</v>
      </c>
      <c r="S1" s="6"/>
      <c r="T1" s="6"/>
      <c r="U1" s="71"/>
      <c r="V1" s="2"/>
      <c r="AB1" s="6"/>
      <c r="AD1" s="6"/>
    </row>
    <row r="2" spans="1:30" x14ac:dyDescent="0.25">
      <c r="A2" s="34" t="s">
        <v>3</v>
      </c>
      <c r="B2" s="4" t="s">
        <v>2</v>
      </c>
      <c r="C2" s="4" t="s">
        <v>4</v>
      </c>
      <c r="D2" s="38" t="s">
        <v>1</v>
      </c>
      <c r="E2" s="34" t="s">
        <v>5</v>
      </c>
      <c r="F2" s="34" t="s">
        <v>6</v>
      </c>
      <c r="G2" s="4" t="s">
        <v>35</v>
      </c>
      <c r="H2" s="4" t="s">
        <v>7</v>
      </c>
      <c r="I2" s="7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11" t="s">
        <v>13</v>
      </c>
      <c r="O2" s="4" t="s">
        <v>70</v>
      </c>
      <c r="P2" s="4"/>
      <c r="Q2" s="5" t="s">
        <v>69</v>
      </c>
      <c r="R2" s="5" t="s">
        <v>2</v>
      </c>
      <c r="S2" s="8" t="s">
        <v>71</v>
      </c>
      <c r="T2" s="8" t="s">
        <v>16</v>
      </c>
      <c r="U2" s="5" t="s">
        <v>13</v>
      </c>
    </row>
    <row r="3" spans="1:30" x14ac:dyDescent="0.25">
      <c r="A3" s="35"/>
      <c r="B3" s="5" t="e">
        <f>VLOOKUP(A3,Relay!$A$1:$B$50,2,FALSE)</f>
        <v>#N/A</v>
      </c>
      <c r="C3" s="5" t="e">
        <f>VLOOKUP(A3,Relay!$A$2:$C$51,3,FALSE)</f>
        <v>#N/A</v>
      </c>
      <c r="D3" s="39"/>
      <c r="E3" s="35"/>
      <c r="F3" s="35" t="str">
        <f t="shared" ref="F3:F66" si="0">IF(E3="Moonlighting", 12, "INS")</f>
        <v>INS</v>
      </c>
      <c r="G3" s="5" t="e">
        <f>IF(OR(E3="Jeopardy",E3="APP Moonlighting",E3="Differential Pay"),"",April[[#This Row],[SysID]])</f>
        <v>#N/A</v>
      </c>
      <c r="H3" s="5" t="e">
        <f>IF(E3="Jeopardy",IF(C3="MD",Relay!$E$7,Relay!$E$8),IF(C3="MD",IF(COUNTIF(G:G,B3)&gt;1,Relay!$E$2,Relay!$E$1),IF(AND(COUNTIF(G:G,B3)&gt;1,COUNTA(A3)&gt;0),Relay!$E$5,Relay!$E$4)))</f>
        <v>#N/A</v>
      </c>
      <c r="I3" s="8">
        <f t="shared" ref="I3:I66" si="1">IF(COUNTA(A3)&gt;0,H3*F3,0)</f>
        <v>0</v>
      </c>
      <c r="J3" s="35"/>
      <c r="K3" s="35"/>
      <c r="L3" s="35"/>
      <c r="M3" s="35"/>
      <c r="N3" s="10" t="e">
        <f>IF(H3=April!$E$2,"N",IF(AND(COUNTIF(B:B,B3)=1,D3&gt;14),"Y","N"))</f>
        <v>#N/A</v>
      </c>
      <c r="O3" s="55" t="str">
        <f>IF(COUNT(April[[#This Row],[Date]])&gt;0,IF(April[[#This Row],[Date]]&gt;14,"Yes","No"),"N/A")</f>
        <v>N/A</v>
      </c>
      <c r="P3" s="55"/>
      <c r="Q3" s="5">
        <f>Relay!A2</f>
        <v>0</v>
      </c>
      <c r="R3" s="5">
        <f>Relay!B2</f>
        <v>1</v>
      </c>
      <c r="S3" s="8">
        <f>IF(April[After the 14th?]="No",SUMIF(April[SysID],R3,April[Pay Amount]),0)+IF(March[After the 14th?]="Yes",SUMIF(March[SysID],R3,March[Pay Amount]),0)</f>
        <v>0</v>
      </c>
      <c r="T3" s="8"/>
      <c r="U3" s="5" t="str">
        <f t="shared" ref="U3:U66" si="2">IF(S3=T3,"N","Y")</f>
        <v>N</v>
      </c>
      <c r="V3" s="57"/>
      <c r="W3" s="57"/>
      <c r="X3" s="56"/>
      <c r="Y3" s="56"/>
      <c r="Z3" s="56"/>
      <c r="AA3" s="56"/>
      <c r="AC3" s="56"/>
    </row>
    <row r="4" spans="1:30" x14ac:dyDescent="0.25">
      <c r="A4" s="35"/>
      <c r="B4" s="5" t="e">
        <f>VLOOKUP(A4,Relay!$A$1:$B$50,2,FALSE)</f>
        <v>#N/A</v>
      </c>
      <c r="C4" s="5" t="e">
        <f>VLOOKUP(A4,Relay!$A$2:$C$51,3,FALSE)</f>
        <v>#N/A</v>
      </c>
      <c r="D4" s="39"/>
      <c r="E4" s="35"/>
      <c r="F4" s="35" t="str">
        <f t="shared" si="0"/>
        <v>INS</v>
      </c>
      <c r="G4" s="5" t="e">
        <f>IF(OR(E4="Jeopardy",E4="APP Moonlighting",E4="Differential Pay"),"",April[[#This Row],[SysID]])</f>
        <v>#N/A</v>
      </c>
      <c r="H4" s="5" t="e">
        <f>IF(E4="Jeopardy",IF(C4="MD",Relay!$E$7,Relay!$E$8),IF(C4="MD",IF(COUNTIF(G:G,B4)&gt;1,Relay!$E$2,Relay!$E$1),IF(AND(COUNTIF(G:G,B4)&gt;1,COUNTA(A4)&gt;0),Relay!$E$5,Relay!$E$4)))</f>
        <v>#N/A</v>
      </c>
      <c r="I4" s="8">
        <f t="shared" si="1"/>
        <v>0</v>
      </c>
      <c r="J4" s="35"/>
      <c r="K4" s="35"/>
      <c r="L4" s="35"/>
      <c r="M4" s="35"/>
      <c r="N4" s="10" t="e">
        <f>IF(H4=April!$E$2,"N",IF(AND(COUNTIF(B:B,B4)=1,D4&gt;14),"Y","N"))</f>
        <v>#N/A</v>
      </c>
      <c r="O4" s="55" t="str">
        <f>IF(COUNT(April[[#This Row],[Date]])&gt;0,IF(April[[#This Row],[Date]]&gt;14,"Yes","No"),"N/A")</f>
        <v>N/A</v>
      </c>
      <c r="P4" s="55"/>
      <c r="Q4" s="5">
        <f>Relay!A3</f>
        <v>0</v>
      </c>
      <c r="R4" s="5">
        <f>Relay!B3</f>
        <v>2</v>
      </c>
      <c r="S4" s="8">
        <f>IF(April[After the 14th?]="No",SUMIF(April[SysID],R4,April[Pay Amount]),0)+IF(March[After the 14th?]="Yes",SUMIF(March[SysID],R4,March[Pay Amount]),0)</f>
        <v>0</v>
      </c>
      <c r="T4" s="8"/>
      <c r="U4" s="5" t="str">
        <f t="shared" si="2"/>
        <v>N</v>
      </c>
      <c r="X4" s="56"/>
      <c r="Y4" s="56"/>
      <c r="Z4" s="56"/>
      <c r="AA4" s="56"/>
      <c r="AC4" s="56"/>
    </row>
    <row r="5" spans="1:30" x14ac:dyDescent="0.25">
      <c r="A5" s="35"/>
      <c r="B5" s="5" t="e">
        <f>VLOOKUP(A5,Relay!$A$1:$B$50,2,FALSE)</f>
        <v>#N/A</v>
      </c>
      <c r="C5" s="5" t="e">
        <f>VLOOKUP(A5,Relay!$A$2:$C$51,3,FALSE)</f>
        <v>#N/A</v>
      </c>
      <c r="D5" s="39"/>
      <c r="E5" s="35"/>
      <c r="F5" s="35" t="str">
        <f t="shared" si="0"/>
        <v>INS</v>
      </c>
      <c r="G5" s="5" t="e">
        <f>IF(OR(E5="Jeopardy",E5="APP Moonlighting",E5="Differential Pay"),"",April[[#This Row],[SysID]])</f>
        <v>#N/A</v>
      </c>
      <c r="H5" s="5" t="e">
        <f>IF(E5="Jeopardy",IF(C5="MD",Relay!$E$7,Relay!$E$8),IF(C5="MD",IF(COUNTIF(G:G,B5)&gt;1,Relay!$E$2,Relay!$E$1),IF(AND(COUNTIF(G:G,B5)&gt;1,COUNTA(A5)&gt;0),Relay!$E$5,Relay!$E$4)))</f>
        <v>#N/A</v>
      </c>
      <c r="I5" s="8">
        <f t="shared" si="1"/>
        <v>0</v>
      </c>
      <c r="J5" s="35"/>
      <c r="K5" s="35"/>
      <c r="L5" s="35"/>
      <c r="M5" s="35"/>
      <c r="N5" s="10" t="e">
        <f>IF(H5=April!$E$2,"N",IF(AND(COUNTIF(B:B,B5)=1,D5&gt;14),"Y","N"))</f>
        <v>#N/A</v>
      </c>
      <c r="O5" s="55" t="str">
        <f>IF(COUNT(April[[#This Row],[Date]])&gt;0,IF(April[[#This Row],[Date]]&gt;14,"Yes","No"),"N/A")</f>
        <v>N/A</v>
      </c>
      <c r="P5" s="55"/>
      <c r="Q5" s="5">
        <f>Relay!A4</f>
        <v>0</v>
      </c>
      <c r="R5" s="5">
        <f>Relay!B4</f>
        <v>3</v>
      </c>
      <c r="S5" s="8">
        <f>IF(April[After the 14th?]="No",SUMIF(April[SysID],R5,April[Pay Amount]),0)+IF(March[After the 14th?]="Yes",SUMIF(March[SysID],R5,March[Pay Amount]),0)</f>
        <v>0</v>
      </c>
      <c r="T5" s="8"/>
      <c r="U5" s="5" t="str">
        <f t="shared" si="2"/>
        <v>N</v>
      </c>
      <c r="X5" s="56"/>
      <c r="Y5" s="56"/>
      <c r="Z5" s="56"/>
      <c r="AA5" s="56"/>
      <c r="AC5" s="56"/>
    </row>
    <row r="6" spans="1:30" x14ac:dyDescent="0.25">
      <c r="A6" s="35"/>
      <c r="B6" s="5" t="e">
        <f>VLOOKUP(A6,Relay!$A$1:$B$50,2,FALSE)</f>
        <v>#N/A</v>
      </c>
      <c r="C6" s="5" t="e">
        <f>VLOOKUP(A6,Relay!$A$2:$C$51,3,FALSE)</f>
        <v>#N/A</v>
      </c>
      <c r="D6" s="39"/>
      <c r="E6" s="35"/>
      <c r="F6" s="35" t="str">
        <f t="shared" si="0"/>
        <v>INS</v>
      </c>
      <c r="G6" s="5" t="e">
        <f>IF(OR(E6="Jeopardy",E6="APP Moonlighting",E6="Differential Pay"),"",April[[#This Row],[SysID]])</f>
        <v>#N/A</v>
      </c>
      <c r="H6" s="5" t="e">
        <f>IF(E6="Jeopardy",IF(C6="MD",Relay!$E$7,Relay!$E$8),IF(C6="MD",IF(COUNTIF(G:G,B6)&gt;1,Relay!$E$2,Relay!$E$1),IF(AND(COUNTIF(G:G,B6)&gt;1,COUNTA(A6)&gt;0),Relay!$E$5,Relay!$E$4)))</f>
        <v>#N/A</v>
      </c>
      <c r="I6" s="8">
        <f t="shared" si="1"/>
        <v>0</v>
      </c>
      <c r="J6" s="35"/>
      <c r="K6" s="35"/>
      <c r="L6" s="35"/>
      <c r="M6" s="35"/>
      <c r="N6" s="10" t="e">
        <f>IF(H6=April!$E$2,"N",IF(AND(COUNTIF(B:B,B6)=1,D6&gt;14),"Y","N"))</f>
        <v>#N/A</v>
      </c>
      <c r="O6" s="55" t="str">
        <f>IF(COUNT(April[[#This Row],[Date]])&gt;0,IF(April[[#This Row],[Date]]&gt;14,"Yes","No"),"N/A")</f>
        <v>N/A</v>
      </c>
      <c r="P6" s="55"/>
      <c r="Q6" s="5">
        <f>Relay!A5</f>
        <v>0</v>
      </c>
      <c r="R6" s="5">
        <f>Relay!B5</f>
        <v>4</v>
      </c>
      <c r="S6" s="8">
        <f>IF(April[After the 14th?]="No",SUMIF(April[SysID],R6,April[Pay Amount]),0)+IF(March[After the 14th?]="Yes",SUMIF(March[SysID],R6,March[Pay Amount]),0)</f>
        <v>0</v>
      </c>
      <c r="T6" s="8"/>
      <c r="U6" s="5" t="str">
        <f t="shared" si="2"/>
        <v>N</v>
      </c>
      <c r="X6" s="56"/>
      <c r="Y6" s="56"/>
      <c r="Z6" s="56"/>
      <c r="AA6" s="56"/>
      <c r="AC6" s="56"/>
    </row>
    <row r="7" spans="1:30" x14ac:dyDescent="0.25">
      <c r="A7" s="35"/>
      <c r="B7" s="5" t="e">
        <f>VLOOKUP(A7,Relay!$A$1:$B$50,2,FALSE)</f>
        <v>#N/A</v>
      </c>
      <c r="C7" s="5" t="e">
        <f>VLOOKUP(A7,Relay!$A$2:$C$51,3,FALSE)</f>
        <v>#N/A</v>
      </c>
      <c r="D7" s="39"/>
      <c r="E7" s="35"/>
      <c r="F7" s="35" t="str">
        <f t="shared" si="0"/>
        <v>INS</v>
      </c>
      <c r="G7" s="5" t="e">
        <f>IF(OR(E7="Jeopardy",E7="APP Moonlighting",E7="Differential Pay"),"",April[[#This Row],[SysID]])</f>
        <v>#N/A</v>
      </c>
      <c r="H7" s="5" t="e">
        <f>IF(E7="Jeopardy",IF(C7="MD",Relay!$E$7,Relay!$E$8),IF(C7="MD",IF(COUNTIF(G:G,B7)&gt;1,Relay!$E$2,Relay!$E$1),IF(AND(COUNTIF(G:G,B7)&gt;1,COUNTA(A7)&gt;0),Relay!$E$5,Relay!$E$4)))</f>
        <v>#N/A</v>
      </c>
      <c r="I7" s="8">
        <f t="shared" si="1"/>
        <v>0</v>
      </c>
      <c r="J7" s="35"/>
      <c r="K7" s="35"/>
      <c r="L7" s="35"/>
      <c r="M7" s="35"/>
      <c r="N7" s="10" t="e">
        <f>IF(H7=April!$E$2,"N",IF(AND(COUNTIF(B:B,B7)=1,D7&gt;14),"Y","N"))</f>
        <v>#N/A</v>
      </c>
      <c r="O7" s="55" t="str">
        <f>IF(COUNT(April[[#This Row],[Date]])&gt;0,IF(April[[#This Row],[Date]]&gt;14,"Yes","No"),"N/A")</f>
        <v>N/A</v>
      </c>
      <c r="P7" s="55"/>
      <c r="Q7" s="5">
        <f>Relay!A6</f>
        <v>0</v>
      </c>
      <c r="R7" s="5">
        <f>Relay!B6</f>
        <v>5</v>
      </c>
      <c r="S7" s="8">
        <f>IF(April[After the 14th?]="No",SUMIF(April[SysID],R7,April[Pay Amount]),0)+IF(March[After the 14th?]="Yes",SUMIF(March[SysID],R7,March[Pay Amount]),0)</f>
        <v>0</v>
      </c>
      <c r="T7" s="8"/>
      <c r="U7" s="5" t="str">
        <f t="shared" si="2"/>
        <v>N</v>
      </c>
      <c r="X7" s="56"/>
      <c r="Y7" s="56"/>
      <c r="Z7" s="56"/>
      <c r="AA7" s="56"/>
      <c r="AC7" s="56"/>
    </row>
    <row r="8" spans="1:30" x14ac:dyDescent="0.25">
      <c r="A8" s="35"/>
      <c r="B8" s="5" t="e">
        <f>VLOOKUP(A8,Relay!$A$1:$B$50,2,FALSE)</f>
        <v>#N/A</v>
      </c>
      <c r="C8" s="5" t="e">
        <f>VLOOKUP(A8,Relay!$A$2:$C$51,3,FALSE)</f>
        <v>#N/A</v>
      </c>
      <c r="D8" s="39"/>
      <c r="E8" s="35"/>
      <c r="F8" s="35" t="str">
        <f t="shared" si="0"/>
        <v>INS</v>
      </c>
      <c r="G8" s="5" t="e">
        <f>IF(OR(E8="Jeopardy",E8="APP Moonlighting",E8="Differential Pay"),"",April[[#This Row],[SysID]])</f>
        <v>#N/A</v>
      </c>
      <c r="H8" s="5" t="e">
        <f>IF(E8="Jeopardy",IF(C8="MD",Relay!$E$7,Relay!$E$8),IF(C8="MD",IF(COUNTIF(G:G,B8)&gt;1,Relay!$E$2,Relay!$E$1),IF(AND(COUNTIF(G:G,B8)&gt;1,COUNTA(A8)&gt;0),Relay!$E$5,Relay!$E$4)))</f>
        <v>#N/A</v>
      </c>
      <c r="I8" s="8">
        <f t="shared" si="1"/>
        <v>0</v>
      </c>
      <c r="J8" s="35"/>
      <c r="K8" s="35"/>
      <c r="L8" s="35"/>
      <c r="M8" s="35"/>
      <c r="N8" s="10" t="e">
        <f>IF(H8=April!$E$2,"N",IF(AND(COUNTIF(B:B,B8)=1,D8&gt;14),"Y","N"))</f>
        <v>#N/A</v>
      </c>
      <c r="O8" s="55" t="str">
        <f>IF(COUNT(April[[#This Row],[Date]])&gt;0,IF(April[[#This Row],[Date]]&gt;14,"Yes","No"),"N/A")</f>
        <v>N/A</v>
      </c>
      <c r="P8" s="55"/>
      <c r="Q8" s="5">
        <f>Relay!A7</f>
        <v>0</v>
      </c>
      <c r="R8" s="5">
        <f>Relay!B7</f>
        <v>6</v>
      </c>
      <c r="S8" s="8">
        <f>IF(April[After the 14th?]="No",SUMIF(April[SysID],R8,April[Pay Amount]),0)+IF(March[After the 14th?]="Yes",SUMIF(March[SysID],R8,March[Pay Amount]),0)</f>
        <v>0</v>
      </c>
      <c r="T8" s="8"/>
      <c r="U8" s="5" t="str">
        <f t="shared" si="2"/>
        <v>N</v>
      </c>
      <c r="X8" s="56"/>
      <c r="Y8" s="56"/>
      <c r="Z8" s="56"/>
      <c r="AA8" s="56"/>
      <c r="AC8" s="56"/>
    </row>
    <row r="9" spans="1:30" x14ac:dyDescent="0.25">
      <c r="A9" s="35"/>
      <c r="B9" s="5" t="e">
        <f>VLOOKUP(A9,Relay!$A$1:$B$50,2,FALSE)</f>
        <v>#N/A</v>
      </c>
      <c r="C9" s="5" t="e">
        <f>VLOOKUP(A9,Relay!$A$2:$C$51,3,FALSE)</f>
        <v>#N/A</v>
      </c>
      <c r="D9" s="39"/>
      <c r="E9" s="35"/>
      <c r="F9" s="35" t="str">
        <f t="shared" si="0"/>
        <v>INS</v>
      </c>
      <c r="G9" s="5" t="e">
        <f>IF(OR(E9="Jeopardy",E9="APP Moonlighting",E9="Differential Pay"),"",April[[#This Row],[SysID]])</f>
        <v>#N/A</v>
      </c>
      <c r="H9" s="5" t="e">
        <f>IF(E9="Jeopardy",IF(C9="MD",Relay!$E$7,Relay!$E$8),IF(C9="MD",IF(COUNTIF(G:G,B9)&gt;1,Relay!$E$2,Relay!$E$1),IF(AND(COUNTIF(G:G,B9)&gt;1,COUNTA(A9)&gt;0),Relay!$E$5,Relay!$E$4)))</f>
        <v>#N/A</v>
      </c>
      <c r="I9" s="8">
        <f t="shared" si="1"/>
        <v>0</v>
      </c>
      <c r="J9" s="35"/>
      <c r="K9" s="35"/>
      <c r="L9" s="35"/>
      <c r="M9" s="35"/>
      <c r="N9" s="10" t="e">
        <f>IF(H9=April!$E$2,"N",IF(AND(COUNTIF(B:B,B9)=1,D9&gt;14),"Y","N"))</f>
        <v>#N/A</v>
      </c>
      <c r="O9" s="55" t="str">
        <f>IF(COUNT(April[[#This Row],[Date]])&gt;0,IF(April[[#This Row],[Date]]&gt;14,"Yes","No"),"N/A")</f>
        <v>N/A</v>
      </c>
      <c r="P9" s="55"/>
      <c r="Q9" s="5">
        <f>Relay!A8</f>
        <v>0</v>
      </c>
      <c r="R9" s="5">
        <f>Relay!B8</f>
        <v>7</v>
      </c>
      <c r="S9" s="8">
        <f>IF(April[After the 14th?]="No",SUMIF(April[SysID],R9,April[Pay Amount]),0)+IF(March[After the 14th?]="Yes",SUMIF(March[SysID],R9,March[Pay Amount]),0)</f>
        <v>0</v>
      </c>
      <c r="T9" s="8"/>
      <c r="U9" s="5" t="str">
        <f t="shared" si="2"/>
        <v>N</v>
      </c>
      <c r="X9" s="56"/>
      <c r="Y9" s="56"/>
      <c r="Z9" s="56"/>
      <c r="AA9" s="56"/>
      <c r="AC9" s="56"/>
    </row>
    <row r="10" spans="1:30" x14ac:dyDescent="0.25">
      <c r="A10" s="35"/>
      <c r="B10" s="5" t="e">
        <f>VLOOKUP(A10,Relay!$A$1:$B$50,2,FALSE)</f>
        <v>#N/A</v>
      </c>
      <c r="C10" s="5" t="e">
        <f>VLOOKUP(A10,Relay!$A$2:$C$51,3,FALSE)</f>
        <v>#N/A</v>
      </c>
      <c r="D10" s="39"/>
      <c r="E10" s="35"/>
      <c r="F10" s="35" t="str">
        <f t="shared" si="0"/>
        <v>INS</v>
      </c>
      <c r="G10" s="5" t="e">
        <f>IF(OR(E10="Jeopardy",E10="APP Moonlighting",E10="Differential Pay"),"",April[[#This Row],[SysID]])</f>
        <v>#N/A</v>
      </c>
      <c r="H10" s="5" t="e">
        <f>IF(E10="Jeopardy",IF(C10="MD",Relay!$E$7,Relay!$E$8),IF(C10="MD",IF(COUNTIF(G:G,B10)&gt;1,Relay!$E$2,Relay!$E$1),IF(AND(COUNTIF(G:G,B10)&gt;1,COUNTA(A10)&gt;0),Relay!$E$5,Relay!$E$4)))</f>
        <v>#N/A</v>
      </c>
      <c r="I10" s="8">
        <f t="shared" si="1"/>
        <v>0</v>
      </c>
      <c r="J10" s="35"/>
      <c r="K10" s="35"/>
      <c r="L10" s="35"/>
      <c r="M10" s="35"/>
      <c r="N10" s="10" t="e">
        <f>IF(H10=April!$E$2,"N",IF(AND(COUNTIF(B:B,B10)=1,D10&gt;14),"Y","N"))</f>
        <v>#N/A</v>
      </c>
      <c r="O10" s="55" t="str">
        <f>IF(COUNT(April[[#This Row],[Date]])&gt;0,IF(April[[#This Row],[Date]]&gt;14,"Yes","No"),"N/A")</f>
        <v>N/A</v>
      </c>
      <c r="P10" s="55"/>
      <c r="Q10" s="5">
        <f>Relay!A9</f>
        <v>0</v>
      </c>
      <c r="R10" s="5">
        <f>Relay!B9</f>
        <v>8</v>
      </c>
      <c r="S10" s="8">
        <f>IF(April[After the 14th?]="No",SUMIF(April[SysID],R10,April[Pay Amount]),0)+IF(March[After the 14th?]="Yes",SUMIF(March[SysID],R10,March[Pay Amount]),0)</f>
        <v>0</v>
      </c>
      <c r="T10" s="8"/>
      <c r="U10" s="5" t="str">
        <f t="shared" si="2"/>
        <v>N</v>
      </c>
      <c r="X10" s="56"/>
      <c r="Y10" s="56"/>
      <c r="Z10" s="56"/>
      <c r="AA10" s="56"/>
      <c r="AC10" s="56"/>
    </row>
    <row r="11" spans="1:30" x14ac:dyDescent="0.25">
      <c r="A11" s="35"/>
      <c r="B11" s="5" t="e">
        <f>VLOOKUP(A11,Relay!$A$1:$B$50,2,FALSE)</f>
        <v>#N/A</v>
      </c>
      <c r="C11" s="5" t="e">
        <f>VLOOKUP(A11,Relay!$A$2:$C$51,3,FALSE)</f>
        <v>#N/A</v>
      </c>
      <c r="D11" s="39"/>
      <c r="E11" s="35"/>
      <c r="F11" s="35" t="str">
        <f t="shared" si="0"/>
        <v>INS</v>
      </c>
      <c r="G11" s="5" t="e">
        <f>IF(OR(E11="Jeopardy",E11="APP Moonlighting",E11="Differential Pay"),"",April[[#This Row],[SysID]])</f>
        <v>#N/A</v>
      </c>
      <c r="H11" s="5" t="e">
        <f>IF(E11="Jeopardy",IF(C11="MD",Relay!$E$7,Relay!$E$8),IF(C11="MD",IF(COUNTIF(G:G,B11)&gt;1,Relay!$E$2,Relay!$E$1),IF(AND(COUNTIF(G:G,B11)&gt;1,COUNTA(A11)&gt;0),Relay!$E$5,Relay!$E$4)))</f>
        <v>#N/A</v>
      </c>
      <c r="I11" s="8">
        <f t="shared" si="1"/>
        <v>0</v>
      </c>
      <c r="J11" s="35"/>
      <c r="K11" s="35"/>
      <c r="L11" s="35"/>
      <c r="M11" s="35"/>
      <c r="N11" s="10" t="e">
        <f>IF(H11=April!$E$2,"N",IF(AND(COUNTIF(B:B,B11)=1,D11&gt;14),"Y","N"))</f>
        <v>#N/A</v>
      </c>
      <c r="O11" s="55" t="str">
        <f>IF(COUNT(April[[#This Row],[Date]])&gt;0,IF(April[[#This Row],[Date]]&gt;14,"Yes","No"),"N/A")</f>
        <v>N/A</v>
      </c>
      <c r="P11" s="55"/>
      <c r="Q11" s="5">
        <f>Relay!A10</f>
        <v>0</v>
      </c>
      <c r="R11" s="5">
        <f>Relay!B10</f>
        <v>9</v>
      </c>
      <c r="S11" s="8">
        <f>IF(April[After the 14th?]="No",SUMIF(April[SysID],R11,April[Pay Amount]),0)+IF(March[After the 14th?]="Yes",SUMIF(March[SysID],R11,March[Pay Amount]),0)</f>
        <v>0</v>
      </c>
      <c r="T11" s="8"/>
      <c r="U11" s="5" t="str">
        <f t="shared" si="2"/>
        <v>N</v>
      </c>
      <c r="X11" s="56"/>
      <c r="Y11" s="56"/>
      <c r="Z11" s="56"/>
      <c r="AA11" s="56"/>
      <c r="AC11" s="56"/>
    </row>
    <row r="12" spans="1:30" x14ac:dyDescent="0.25">
      <c r="A12" s="35"/>
      <c r="B12" s="5" t="e">
        <f>VLOOKUP(A12,Relay!$A$1:$B$50,2,FALSE)</f>
        <v>#N/A</v>
      </c>
      <c r="C12" s="5" t="e">
        <f>VLOOKUP(A12,Relay!$A$2:$C$51,3,FALSE)</f>
        <v>#N/A</v>
      </c>
      <c r="D12" s="39"/>
      <c r="E12" s="35"/>
      <c r="F12" s="35" t="str">
        <f t="shared" si="0"/>
        <v>INS</v>
      </c>
      <c r="G12" s="5" t="e">
        <f>IF(OR(E12="Jeopardy",E12="APP Moonlighting",E12="Differential Pay"),"",April[[#This Row],[SysID]])</f>
        <v>#N/A</v>
      </c>
      <c r="H12" s="5" t="e">
        <f>IF(E12="Jeopardy",IF(C12="MD",Relay!$E$7,Relay!$E$8),IF(C12="MD",IF(COUNTIF(G:G,B12)&gt;1,Relay!$E$2,Relay!$E$1),IF(AND(COUNTIF(G:G,B12)&gt;1,COUNTA(A12)&gt;0),Relay!$E$5,Relay!$E$4)))</f>
        <v>#N/A</v>
      </c>
      <c r="I12" s="8">
        <f t="shared" si="1"/>
        <v>0</v>
      </c>
      <c r="J12" s="35"/>
      <c r="K12" s="35"/>
      <c r="L12" s="35"/>
      <c r="M12" s="35"/>
      <c r="N12" s="10" t="e">
        <f>IF(H12=April!$E$2,"N",IF(AND(COUNTIF(B:B,B12)=1,D12&gt;14),"Y","N"))</f>
        <v>#N/A</v>
      </c>
      <c r="O12" s="55" t="str">
        <f>IF(COUNT(April[[#This Row],[Date]])&gt;0,IF(April[[#This Row],[Date]]&gt;14,"Yes","No"),"N/A")</f>
        <v>N/A</v>
      </c>
      <c r="P12" s="55"/>
      <c r="Q12" s="5">
        <f>Relay!A11</f>
        <v>0</v>
      </c>
      <c r="R12" s="5">
        <f>Relay!B11</f>
        <v>10</v>
      </c>
      <c r="S12" s="8">
        <f>IF(April[After the 14th?]="No",SUMIF(April[SysID],R12,April[Pay Amount]),0)+IF(March[After the 14th?]="Yes",SUMIF(March[SysID],R12,March[Pay Amount]),0)</f>
        <v>0</v>
      </c>
      <c r="T12" s="8"/>
      <c r="U12" s="5" t="str">
        <f t="shared" si="2"/>
        <v>N</v>
      </c>
      <c r="X12" s="56"/>
      <c r="Y12" s="56"/>
      <c r="Z12" s="56"/>
      <c r="AA12" s="56"/>
      <c r="AC12" s="56"/>
    </row>
    <row r="13" spans="1:30" x14ac:dyDescent="0.25">
      <c r="A13" s="35"/>
      <c r="B13" s="5" t="e">
        <f>VLOOKUP(A13,Relay!$A$1:$B$50,2,FALSE)</f>
        <v>#N/A</v>
      </c>
      <c r="C13" s="5" t="e">
        <f>VLOOKUP(A13,Relay!$A$2:$C$51,3,FALSE)</f>
        <v>#N/A</v>
      </c>
      <c r="D13" s="39"/>
      <c r="E13" s="35"/>
      <c r="F13" s="35" t="str">
        <f t="shared" si="0"/>
        <v>INS</v>
      </c>
      <c r="G13" s="5" t="e">
        <f>IF(OR(E13="Jeopardy",E13="APP Moonlighting",E13="Differential Pay"),"",April[[#This Row],[SysID]])</f>
        <v>#N/A</v>
      </c>
      <c r="H13" s="5" t="e">
        <f>IF(E13="Jeopardy",IF(C13="MD",Relay!$E$7,Relay!$E$8),IF(C13="MD",IF(COUNTIF(G:G,B13)&gt;1,Relay!$E$2,Relay!$E$1),IF(AND(COUNTIF(G:G,B13)&gt;1,COUNTA(A13)&gt;0),Relay!$E$5,Relay!$E$4)))</f>
        <v>#N/A</v>
      </c>
      <c r="I13" s="8">
        <f t="shared" si="1"/>
        <v>0</v>
      </c>
      <c r="J13" s="35"/>
      <c r="K13" s="35"/>
      <c r="L13" s="35"/>
      <c r="M13" s="35"/>
      <c r="N13" s="10" t="e">
        <f>IF(H13=April!$E$2,"N",IF(AND(COUNTIF(B:B,B13)=1,D13&gt;14),"Y","N"))</f>
        <v>#N/A</v>
      </c>
      <c r="O13" s="55" t="str">
        <f>IF(COUNT(April[[#This Row],[Date]])&gt;0,IF(April[[#This Row],[Date]]&gt;14,"Yes","No"),"N/A")</f>
        <v>N/A</v>
      </c>
      <c r="P13" s="55"/>
      <c r="Q13" s="5">
        <f>Relay!A12</f>
        <v>0</v>
      </c>
      <c r="R13" s="5">
        <f>Relay!B12</f>
        <v>11</v>
      </c>
      <c r="S13" s="8">
        <f>IF(April[After the 14th?]="No",SUMIF(April[SysID],R13,April[Pay Amount]),0)+IF(March[After the 14th?]="Yes",SUMIF(March[SysID],R13,March[Pay Amount]),0)</f>
        <v>0</v>
      </c>
      <c r="T13" s="8"/>
      <c r="U13" s="5" t="str">
        <f t="shared" si="2"/>
        <v>N</v>
      </c>
      <c r="X13" s="56"/>
      <c r="Y13" s="56"/>
      <c r="Z13" s="56"/>
      <c r="AA13" s="56"/>
      <c r="AC13" s="56"/>
    </row>
    <row r="14" spans="1:30" x14ac:dyDescent="0.25">
      <c r="A14" s="35"/>
      <c r="B14" s="5" t="e">
        <f>VLOOKUP(A14,Relay!$A$1:$B$50,2,FALSE)</f>
        <v>#N/A</v>
      </c>
      <c r="C14" s="5" t="e">
        <f>VLOOKUP(A14,Relay!$A$2:$C$51,3,FALSE)</f>
        <v>#N/A</v>
      </c>
      <c r="D14" s="39"/>
      <c r="E14" s="35"/>
      <c r="F14" s="35" t="str">
        <f t="shared" si="0"/>
        <v>INS</v>
      </c>
      <c r="G14" s="5" t="e">
        <f>IF(OR(E14="Jeopardy",E14="APP Moonlighting",E14="Differential Pay"),"",April[[#This Row],[SysID]])</f>
        <v>#N/A</v>
      </c>
      <c r="H14" s="5" t="e">
        <f>IF(E14="Jeopardy",IF(C14="MD",Relay!$E$7,Relay!$E$8),IF(C14="MD",IF(COUNTIF(G:G,B14)&gt;1,Relay!$E$2,Relay!$E$1),IF(AND(COUNTIF(G:G,B14)&gt;1,COUNTA(A14)&gt;0),Relay!$E$5,Relay!$E$4)))</f>
        <v>#N/A</v>
      </c>
      <c r="I14" s="8">
        <f t="shared" si="1"/>
        <v>0</v>
      </c>
      <c r="J14" s="35"/>
      <c r="K14" s="35"/>
      <c r="L14" s="35"/>
      <c r="M14" s="35"/>
      <c r="N14" s="10" t="e">
        <f>IF(H14=April!$E$2,"N",IF(AND(COUNTIF(B:B,B14)=1,D14&gt;14),"Y","N"))</f>
        <v>#N/A</v>
      </c>
      <c r="O14" s="55" t="str">
        <f>IF(COUNT(April[[#This Row],[Date]])&gt;0,IF(April[[#This Row],[Date]]&gt;14,"Yes","No"),"N/A")</f>
        <v>N/A</v>
      </c>
      <c r="P14" s="55"/>
      <c r="Q14" s="5">
        <f>Relay!A13</f>
        <v>0</v>
      </c>
      <c r="R14" s="5">
        <f>Relay!B13</f>
        <v>12</v>
      </c>
      <c r="S14" s="8">
        <f>IF(April[After the 14th?]="No",SUMIF(April[SysID],R14,April[Pay Amount]),0)+IF(March[After the 14th?]="Yes",SUMIF(March[SysID],R14,March[Pay Amount]),0)</f>
        <v>0</v>
      </c>
      <c r="T14" s="8"/>
      <c r="U14" s="5" t="str">
        <f t="shared" si="2"/>
        <v>N</v>
      </c>
      <c r="X14" s="56"/>
      <c r="Y14" s="56"/>
      <c r="Z14" s="56"/>
      <c r="AA14" s="56"/>
      <c r="AC14" s="56"/>
    </row>
    <row r="15" spans="1:30" x14ac:dyDescent="0.25">
      <c r="A15" s="35"/>
      <c r="B15" s="5" t="e">
        <f>VLOOKUP(A15,Relay!$A$1:$B$50,2,FALSE)</f>
        <v>#N/A</v>
      </c>
      <c r="C15" s="5" t="e">
        <f>VLOOKUP(A15,Relay!$A$2:$C$51,3,FALSE)</f>
        <v>#N/A</v>
      </c>
      <c r="D15" s="39"/>
      <c r="E15" s="35"/>
      <c r="F15" s="35" t="str">
        <f t="shared" si="0"/>
        <v>INS</v>
      </c>
      <c r="G15" s="5" t="e">
        <f>IF(OR(E15="Jeopardy",E15="APP Moonlighting",E15="Differential Pay"),"",April[[#This Row],[SysID]])</f>
        <v>#N/A</v>
      </c>
      <c r="H15" s="5" t="e">
        <f>IF(E15="Jeopardy",IF(C15="MD",Relay!$E$7,Relay!$E$8),IF(C15="MD",IF(COUNTIF(G:G,B15)&gt;1,Relay!$E$2,Relay!$E$1),IF(AND(COUNTIF(G:G,B15)&gt;1,COUNTA(A15)&gt;0),Relay!$E$5,Relay!$E$4)))</f>
        <v>#N/A</v>
      </c>
      <c r="I15" s="8">
        <f t="shared" si="1"/>
        <v>0</v>
      </c>
      <c r="J15" s="35"/>
      <c r="K15" s="35"/>
      <c r="L15" s="35"/>
      <c r="M15" s="35"/>
      <c r="N15" s="10" t="e">
        <f>IF(H15=April!$E$2,"N",IF(AND(COUNTIF(B:B,B15)=1,D15&gt;14),"Y","N"))</f>
        <v>#N/A</v>
      </c>
      <c r="O15" s="55" t="str">
        <f>IF(COUNT(April[[#This Row],[Date]])&gt;0,IF(April[[#This Row],[Date]]&gt;14,"Yes","No"),"N/A")</f>
        <v>N/A</v>
      </c>
      <c r="P15" s="55"/>
      <c r="Q15" s="5">
        <f>Relay!A14</f>
        <v>0</v>
      </c>
      <c r="R15" s="5">
        <f>Relay!B14</f>
        <v>13</v>
      </c>
      <c r="S15" s="8">
        <f>IF(April[After the 14th?]="No",SUMIF(April[SysID],R15,April[Pay Amount]),0)+IF(March[After the 14th?]="Yes",SUMIF(March[SysID],R15,March[Pay Amount]),0)</f>
        <v>0</v>
      </c>
      <c r="T15" s="8"/>
      <c r="U15" s="5" t="str">
        <f t="shared" si="2"/>
        <v>N</v>
      </c>
      <c r="X15" s="56"/>
      <c r="Y15" s="56"/>
      <c r="Z15" s="56"/>
      <c r="AA15" s="56"/>
      <c r="AC15" s="56"/>
    </row>
    <row r="16" spans="1:30" x14ac:dyDescent="0.25">
      <c r="A16" s="35"/>
      <c r="B16" s="5" t="e">
        <f>VLOOKUP(A16,Relay!$A$1:$B$50,2,FALSE)</f>
        <v>#N/A</v>
      </c>
      <c r="C16" s="5" t="e">
        <f>VLOOKUP(A16,Relay!$A$2:$C$51,3,FALSE)</f>
        <v>#N/A</v>
      </c>
      <c r="D16" s="39"/>
      <c r="E16" s="35"/>
      <c r="F16" s="35" t="str">
        <f t="shared" si="0"/>
        <v>INS</v>
      </c>
      <c r="G16" s="5" t="e">
        <f>IF(OR(E16="Jeopardy",E16="APP Moonlighting",E16="Differential Pay"),"",April[[#This Row],[SysID]])</f>
        <v>#N/A</v>
      </c>
      <c r="H16" s="5" t="e">
        <f>IF(E16="Jeopardy",IF(C16="MD",Relay!$E$7,Relay!$E$8),IF(C16="MD",IF(COUNTIF(G:G,B16)&gt;1,Relay!$E$2,Relay!$E$1),IF(AND(COUNTIF(G:G,B16)&gt;1,COUNTA(A16)&gt;0),Relay!$E$5,Relay!$E$4)))</f>
        <v>#N/A</v>
      </c>
      <c r="I16" s="8">
        <f t="shared" si="1"/>
        <v>0</v>
      </c>
      <c r="J16" s="35"/>
      <c r="K16" s="35"/>
      <c r="L16" s="35"/>
      <c r="M16" s="35"/>
      <c r="N16" s="10" t="e">
        <f>IF(H16=April!$E$2,"N",IF(AND(COUNTIF(B:B,B16)=1,D16&gt;14),"Y","N"))</f>
        <v>#N/A</v>
      </c>
      <c r="O16" s="55" t="str">
        <f>IF(COUNT(April[[#This Row],[Date]])&gt;0,IF(April[[#This Row],[Date]]&gt;14,"Yes","No"),"N/A")</f>
        <v>N/A</v>
      </c>
      <c r="P16" s="55"/>
      <c r="Q16" s="5">
        <f>Relay!A15</f>
        <v>0</v>
      </c>
      <c r="R16" s="5">
        <f>Relay!B15</f>
        <v>14</v>
      </c>
      <c r="S16" s="8">
        <f>IF(April[After the 14th?]="No",SUMIF(April[SysID],R16,April[Pay Amount]),0)+IF(March[After the 14th?]="Yes",SUMIF(March[SysID],R16,March[Pay Amount]),0)</f>
        <v>0</v>
      </c>
      <c r="T16" s="8"/>
      <c r="U16" s="5" t="str">
        <f t="shared" si="2"/>
        <v>N</v>
      </c>
      <c r="X16" s="56"/>
      <c r="Y16" s="56"/>
      <c r="Z16" s="56"/>
      <c r="AA16" s="56"/>
      <c r="AC16" s="56"/>
    </row>
    <row r="17" spans="1:29" x14ac:dyDescent="0.25">
      <c r="A17" s="35"/>
      <c r="B17" s="5" t="e">
        <f>VLOOKUP(A17,Relay!$A$1:$B$50,2,FALSE)</f>
        <v>#N/A</v>
      </c>
      <c r="C17" s="5" t="e">
        <f>VLOOKUP(A17,Relay!$A$2:$C$51,3,FALSE)</f>
        <v>#N/A</v>
      </c>
      <c r="D17" s="39"/>
      <c r="E17" s="35"/>
      <c r="F17" s="35" t="str">
        <f t="shared" si="0"/>
        <v>INS</v>
      </c>
      <c r="G17" s="5" t="e">
        <f>IF(OR(E17="Jeopardy",E17="APP Moonlighting",E17="Differential Pay"),"",April[[#This Row],[SysID]])</f>
        <v>#N/A</v>
      </c>
      <c r="H17" s="5" t="e">
        <f>IF(E17="Jeopardy",IF(C17="MD",Relay!$E$7,Relay!$E$8),IF(C17="MD",IF(COUNTIF(G:G,B17)&gt;1,Relay!$E$2,Relay!$E$1),IF(AND(COUNTIF(G:G,B17)&gt;1,COUNTA(A17)&gt;0),Relay!$E$5,Relay!$E$4)))</f>
        <v>#N/A</v>
      </c>
      <c r="I17" s="8">
        <f t="shared" si="1"/>
        <v>0</v>
      </c>
      <c r="J17" s="35"/>
      <c r="K17" s="35"/>
      <c r="L17" s="35"/>
      <c r="M17" s="35"/>
      <c r="N17" s="10" t="e">
        <f>IF(H17=April!$E$2,"N",IF(AND(COUNTIF(B:B,B17)=1,D17&gt;14),"Y","N"))</f>
        <v>#N/A</v>
      </c>
      <c r="O17" s="55" t="str">
        <f>IF(COUNT(April[[#This Row],[Date]])&gt;0,IF(April[[#This Row],[Date]]&gt;14,"Yes","No"),"N/A")</f>
        <v>N/A</v>
      </c>
      <c r="P17" s="55"/>
      <c r="Q17" s="5">
        <f>Relay!A16</f>
        <v>0</v>
      </c>
      <c r="R17" s="5">
        <f>Relay!B16</f>
        <v>15</v>
      </c>
      <c r="S17" s="8">
        <f>IF(April[After the 14th?]="No",SUMIF(April[SysID],R17,April[Pay Amount]),0)+IF(March[After the 14th?]="Yes",SUMIF(March[SysID],R17,March[Pay Amount]),0)</f>
        <v>0</v>
      </c>
      <c r="T17" s="8"/>
      <c r="U17" s="5" t="str">
        <f t="shared" si="2"/>
        <v>N</v>
      </c>
      <c r="X17" s="56"/>
      <c r="Y17" s="56"/>
      <c r="Z17" s="56"/>
      <c r="AA17" s="56"/>
      <c r="AC17" s="56"/>
    </row>
    <row r="18" spans="1:29" x14ac:dyDescent="0.25">
      <c r="A18" s="35"/>
      <c r="B18" s="5" t="e">
        <f>VLOOKUP(A18,Relay!$A$1:$B$50,2,FALSE)</f>
        <v>#N/A</v>
      </c>
      <c r="C18" s="5" t="e">
        <f>VLOOKUP(A18,Relay!$A$2:$C$51,3,FALSE)</f>
        <v>#N/A</v>
      </c>
      <c r="D18" s="39"/>
      <c r="E18" s="35"/>
      <c r="F18" s="35" t="str">
        <f t="shared" si="0"/>
        <v>INS</v>
      </c>
      <c r="G18" s="5" t="e">
        <f>IF(OR(E18="Jeopardy",E18="APP Moonlighting",E18="Differential Pay"),"",April[[#This Row],[SysID]])</f>
        <v>#N/A</v>
      </c>
      <c r="H18" s="5" t="e">
        <f>IF(E18="Jeopardy",IF(C18="MD",Relay!$E$7,Relay!$E$8),IF(C18="MD",IF(COUNTIF(G:G,B18)&gt;1,Relay!$E$2,Relay!$E$1),IF(AND(COUNTIF(G:G,B18)&gt;1,COUNTA(A18)&gt;0),Relay!$E$5,Relay!$E$4)))</f>
        <v>#N/A</v>
      </c>
      <c r="I18" s="8">
        <f t="shared" si="1"/>
        <v>0</v>
      </c>
      <c r="J18" s="35"/>
      <c r="K18" s="35"/>
      <c r="L18" s="35"/>
      <c r="M18" s="35"/>
      <c r="N18" s="10" t="e">
        <f>IF(H18=April!$E$2,"N",IF(AND(COUNTIF(B:B,B18)=1,D18&gt;14),"Y","N"))</f>
        <v>#N/A</v>
      </c>
      <c r="O18" s="55" t="str">
        <f>IF(COUNT(April[[#This Row],[Date]])&gt;0,IF(April[[#This Row],[Date]]&gt;14,"Yes","No"),"N/A")</f>
        <v>N/A</v>
      </c>
      <c r="P18" s="55"/>
      <c r="Q18" s="5">
        <f>Relay!A17</f>
        <v>0</v>
      </c>
      <c r="R18" s="5">
        <f>Relay!B17</f>
        <v>16</v>
      </c>
      <c r="S18" s="8">
        <f>IF(April[After the 14th?]="No",SUMIF(April[SysID],R18,April[Pay Amount]),0)+IF(March[After the 14th?]="Yes",SUMIF(March[SysID],R18,March[Pay Amount]),0)</f>
        <v>0</v>
      </c>
      <c r="T18" s="8"/>
      <c r="U18" s="5" t="str">
        <f t="shared" si="2"/>
        <v>N</v>
      </c>
      <c r="X18" s="56"/>
      <c r="Y18" s="56"/>
      <c r="Z18" s="56"/>
      <c r="AA18" s="56"/>
      <c r="AC18" s="56"/>
    </row>
    <row r="19" spans="1:29" x14ac:dyDescent="0.25">
      <c r="A19" s="35"/>
      <c r="B19" s="5" t="e">
        <f>VLOOKUP(A19,Relay!$A$1:$B$50,2,FALSE)</f>
        <v>#N/A</v>
      </c>
      <c r="C19" s="5" t="e">
        <f>VLOOKUP(A19,Relay!$A$2:$C$51,3,FALSE)</f>
        <v>#N/A</v>
      </c>
      <c r="D19" s="39"/>
      <c r="E19" s="35"/>
      <c r="F19" s="35" t="str">
        <f t="shared" si="0"/>
        <v>INS</v>
      </c>
      <c r="G19" s="5" t="e">
        <f>IF(OR(E19="Jeopardy",E19="APP Moonlighting",E19="Differential Pay"),"",April[[#This Row],[SysID]])</f>
        <v>#N/A</v>
      </c>
      <c r="H19" s="5" t="e">
        <f>IF(E19="Jeopardy",IF(C19="MD",Relay!$E$7,Relay!$E$8),IF(C19="MD",IF(COUNTIF(G:G,B19)&gt;1,Relay!$E$2,Relay!$E$1),IF(AND(COUNTIF(G:G,B19)&gt;1,COUNTA(A19)&gt;0),Relay!$E$5,Relay!$E$4)))</f>
        <v>#N/A</v>
      </c>
      <c r="I19" s="8">
        <f t="shared" si="1"/>
        <v>0</v>
      </c>
      <c r="J19" s="35"/>
      <c r="K19" s="35"/>
      <c r="L19" s="35"/>
      <c r="M19" s="35"/>
      <c r="N19" s="10" t="e">
        <f>IF(H19=April!$E$2,"N",IF(AND(COUNTIF(B:B,B19)=1,D19&gt;14),"Y","N"))</f>
        <v>#N/A</v>
      </c>
      <c r="O19" s="55" t="str">
        <f>IF(COUNT(April[[#This Row],[Date]])&gt;0,IF(April[[#This Row],[Date]]&gt;14,"Yes","No"),"N/A")</f>
        <v>N/A</v>
      </c>
      <c r="P19" s="55"/>
      <c r="Q19" s="5">
        <f>Relay!A18</f>
        <v>0</v>
      </c>
      <c r="R19" s="5">
        <f>Relay!B18</f>
        <v>17</v>
      </c>
      <c r="S19" s="8">
        <f>IF(April[After the 14th?]="No",SUMIF(April[SysID],R19,April[Pay Amount]),0)+IF(March[After the 14th?]="Yes",SUMIF(March[SysID],R19,March[Pay Amount]),0)</f>
        <v>0</v>
      </c>
      <c r="T19" s="8"/>
      <c r="U19" s="5" t="str">
        <f t="shared" si="2"/>
        <v>N</v>
      </c>
      <c r="X19" s="56"/>
      <c r="Y19" s="56"/>
      <c r="Z19" s="56"/>
      <c r="AA19" s="56"/>
      <c r="AC19" s="56"/>
    </row>
    <row r="20" spans="1:29" x14ac:dyDescent="0.25">
      <c r="A20" s="35"/>
      <c r="B20" s="5" t="e">
        <f>VLOOKUP(A20,Relay!$A$1:$B$50,2,FALSE)</f>
        <v>#N/A</v>
      </c>
      <c r="C20" s="5" t="e">
        <f>VLOOKUP(A20,Relay!$A$2:$C$51,3,FALSE)</f>
        <v>#N/A</v>
      </c>
      <c r="D20" s="39"/>
      <c r="E20" s="35"/>
      <c r="F20" s="35" t="str">
        <f t="shared" si="0"/>
        <v>INS</v>
      </c>
      <c r="G20" s="5" t="e">
        <f>IF(OR(E20="Jeopardy",E20="APP Moonlighting",E20="Differential Pay"),"",April[[#This Row],[SysID]])</f>
        <v>#N/A</v>
      </c>
      <c r="H20" s="5" t="e">
        <f>IF(E20="Jeopardy",IF(C20="MD",Relay!$E$7,Relay!$E$8),IF(C20="MD",IF(COUNTIF(G:G,B20)&gt;1,Relay!$E$2,Relay!$E$1),IF(AND(COUNTIF(G:G,B20)&gt;1,COUNTA(A20)&gt;0),Relay!$E$5,Relay!$E$4)))</f>
        <v>#N/A</v>
      </c>
      <c r="I20" s="8">
        <f t="shared" si="1"/>
        <v>0</v>
      </c>
      <c r="J20" s="35"/>
      <c r="K20" s="35"/>
      <c r="L20" s="35"/>
      <c r="M20" s="35"/>
      <c r="N20" s="10" t="e">
        <f>IF(H20=April!$E$2,"N",IF(AND(COUNTIF(B:B,B20)=1,D20&gt;14),"Y","N"))</f>
        <v>#N/A</v>
      </c>
      <c r="O20" s="55" t="str">
        <f>IF(COUNT(April[[#This Row],[Date]])&gt;0,IF(April[[#This Row],[Date]]&gt;14,"Yes","No"),"N/A")</f>
        <v>N/A</v>
      </c>
      <c r="P20" s="55"/>
      <c r="Q20" s="5">
        <f>Relay!A19</f>
        <v>0</v>
      </c>
      <c r="R20" s="5">
        <f>Relay!B19</f>
        <v>18</v>
      </c>
      <c r="S20" s="8">
        <f>IF(April[After the 14th?]="No",SUMIF(April[SysID],R20,April[Pay Amount]),0)+IF(March[After the 14th?]="Yes",SUMIF(March[SysID],R20,March[Pay Amount]),0)</f>
        <v>0</v>
      </c>
      <c r="T20" s="8"/>
      <c r="U20" s="5" t="str">
        <f t="shared" si="2"/>
        <v>N</v>
      </c>
      <c r="X20" s="56"/>
      <c r="Y20" s="56"/>
      <c r="Z20" s="56"/>
      <c r="AA20" s="56"/>
      <c r="AC20" s="56"/>
    </row>
    <row r="21" spans="1:29" x14ac:dyDescent="0.25">
      <c r="A21" s="35"/>
      <c r="B21" s="5" t="e">
        <f>VLOOKUP(A21,Relay!$A$1:$B$50,2,FALSE)</f>
        <v>#N/A</v>
      </c>
      <c r="C21" s="5" t="e">
        <f>VLOOKUP(A21,Relay!$A$2:$C$51,3,FALSE)</f>
        <v>#N/A</v>
      </c>
      <c r="D21" s="39"/>
      <c r="E21" s="35"/>
      <c r="F21" s="35" t="str">
        <f t="shared" si="0"/>
        <v>INS</v>
      </c>
      <c r="G21" s="5" t="e">
        <f>IF(OR(E21="Jeopardy",E21="APP Moonlighting",E21="Differential Pay"),"",April[[#This Row],[SysID]])</f>
        <v>#N/A</v>
      </c>
      <c r="H21" s="5" t="e">
        <f>IF(E21="Jeopardy",IF(C21="MD",Relay!$E$7,Relay!$E$8),IF(C21="MD",IF(COUNTIF(G:G,B21)&gt;1,Relay!$E$2,Relay!$E$1),IF(AND(COUNTIF(G:G,B21)&gt;1,COUNTA(A21)&gt;0),Relay!$E$5,Relay!$E$4)))</f>
        <v>#N/A</v>
      </c>
      <c r="I21" s="8">
        <f t="shared" si="1"/>
        <v>0</v>
      </c>
      <c r="J21" s="35"/>
      <c r="K21" s="35"/>
      <c r="L21" s="35"/>
      <c r="M21" s="35"/>
      <c r="N21" s="10" t="e">
        <f>IF(H21=April!$E$2,"N",IF(AND(COUNTIF(B:B,B21)=1,D21&gt;14),"Y","N"))</f>
        <v>#N/A</v>
      </c>
      <c r="O21" s="55" t="str">
        <f>IF(COUNT(April[[#This Row],[Date]])&gt;0,IF(April[[#This Row],[Date]]&gt;14,"Yes","No"),"N/A")</f>
        <v>N/A</v>
      </c>
      <c r="P21" s="55"/>
      <c r="Q21" s="5">
        <f>Relay!A20</f>
        <v>0</v>
      </c>
      <c r="R21" s="5">
        <f>Relay!B20</f>
        <v>19</v>
      </c>
      <c r="S21" s="8">
        <f>IF(April[After the 14th?]="No",SUMIF(April[SysID],R21,April[Pay Amount]),0)+IF(March[After the 14th?]="Yes",SUMIF(March[SysID],R21,March[Pay Amount]),0)</f>
        <v>0</v>
      </c>
      <c r="T21" s="8"/>
      <c r="U21" s="5" t="str">
        <f t="shared" si="2"/>
        <v>N</v>
      </c>
      <c r="X21" s="56"/>
      <c r="Y21" s="56"/>
      <c r="Z21" s="56"/>
      <c r="AA21" s="56"/>
      <c r="AC21" s="56"/>
    </row>
    <row r="22" spans="1:29" x14ac:dyDescent="0.25">
      <c r="A22" s="35"/>
      <c r="B22" s="5" t="e">
        <f>VLOOKUP(A22,Relay!$A$1:$B$50,2,FALSE)</f>
        <v>#N/A</v>
      </c>
      <c r="C22" s="5" t="e">
        <f>VLOOKUP(A22,Relay!$A$2:$C$51,3,FALSE)</f>
        <v>#N/A</v>
      </c>
      <c r="D22" s="39"/>
      <c r="E22" s="35"/>
      <c r="F22" s="35" t="str">
        <f t="shared" si="0"/>
        <v>INS</v>
      </c>
      <c r="G22" s="5" t="e">
        <f>IF(OR(E22="Jeopardy",E22="APP Moonlighting",E22="Differential Pay"),"",April[[#This Row],[SysID]])</f>
        <v>#N/A</v>
      </c>
      <c r="H22" s="5" t="e">
        <f>IF(E22="Jeopardy",IF(C22="MD",Relay!$E$7,Relay!$E$8),IF(C22="MD",IF(COUNTIF(G:G,B22)&gt;1,Relay!$E$2,Relay!$E$1),IF(AND(COUNTIF(G:G,B22)&gt;1,COUNTA(A22)&gt;0),Relay!$E$5,Relay!$E$4)))</f>
        <v>#N/A</v>
      </c>
      <c r="I22" s="8">
        <f t="shared" si="1"/>
        <v>0</v>
      </c>
      <c r="J22" s="35"/>
      <c r="K22" s="35"/>
      <c r="L22" s="35"/>
      <c r="M22" s="35"/>
      <c r="N22" s="10" t="e">
        <f>IF(H22=April!$E$2,"N",IF(AND(COUNTIF(B:B,B22)=1,D22&gt;14),"Y","N"))</f>
        <v>#N/A</v>
      </c>
      <c r="O22" s="55" t="str">
        <f>IF(COUNT(April[[#This Row],[Date]])&gt;0,IF(April[[#This Row],[Date]]&gt;14,"Yes","No"),"N/A")</f>
        <v>N/A</v>
      </c>
      <c r="P22" s="55"/>
      <c r="Q22" s="5">
        <f>Relay!A21</f>
        <v>0</v>
      </c>
      <c r="R22" s="5">
        <f>Relay!B21</f>
        <v>20</v>
      </c>
      <c r="S22" s="8">
        <f>IF(April[After the 14th?]="No",SUMIF(April[SysID],R22,April[Pay Amount]),0)+IF(March[After the 14th?]="Yes",SUMIF(March[SysID],R22,March[Pay Amount]),0)</f>
        <v>0</v>
      </c>
      <c r="T22" s="8"/>
      <c r="U22" s="5" t="str">
        <f t="shared" si="2"/>
        <v>N</v>
      </c>
      <c r="X22" s="56"/>
      <c r="Y22" s="56"/>
      <c r="Z22" s="56"/>
      <c r="AA22" s="56"/>
      <c r="AC22" s="56"/>
    </row>
    <row r="23" spans="1:29" x14ac:dyDescent="0.25">
      <c r="A23" s="35"/>
      <c r="B23" s="5" t="e">
        <f>VLOOKUP(A23,Relay!$A$1:$B$50,2,FALSE)</f>
        <v>#N/A</v>
      </c>
      <c r="C23" s="5" t="e">
        <f>VLOOKUP(A23,Relay!$A$2:$C$51,3,FALSE)</f>
        <v>#N/A</v>
      </c>
      <c r="D23" s="39"/>
      <c r="E23" s="35"/>
      <c r="F23" s="35" t="str">
        <f t="shared" si="0"/>
        <v>INS</v>
      </c>
      <c r="G23" s="5" t="e">
        <f>IF(OR(E23="Jeopardy",E23="APP Moonlighting",E23="Differential Pay"),"",April[[#This Row],[SysID]])</f>
        <v>#N/A</v>
      </c>
      <c r="H23" s="5" t="e">
        <f>IF(E23="Jeopardy",IF(C23="MD",Relay!$E$7,Relay!$E$8),IF(C23="MD",IF(COUNTIF(G:G,B23)&gt;1,Relay!$E$2,Relay!$E$1),IF(AND(COUNTIF(G:G,B23)&gt;1,COUNTA(A23)&gt;0),Relay!$E$5,Relay!$E$4)))</f>
        <v>#N/A</v>
      </c>
      <c r="I23" s="8">
        <f t="shared" si="1"/>
        <v>0</v>
      </c>
      <c r="J23" s="35"/>
      <c r="K23" s="35"/>
      <c r="L23" s="35"/>
      <c r="M23" s="35"/>
      <c r="N23" s="10" t="e">
        <f>IF(H23=April!$E$2,"N",IF(AND(COUNTIF(B:B,B23)=1,D23&gt;14),"Y","N"))</f>
        <v>#N/A</v>
      </c>
      <c r="O23" s="55" t="str">
        <f>IF(COUNT(April[[#This Row],[Date]])&gt;0,IF(April[[#This Row],[Date]]&gt;14,"Yes","No"),"N/A")</f>
        <v>N/A</v>
      </c>
      <c r="P23" s="55"/>
      <c r="Q23" s="5">
        <f>Relay!A22</f>
        <v>0</v>
      </c>
      <c r="R23" s="5">
        <f>Relay!B22</f>
        <v>21</v>
      </c>
      <c r="S23" s="8">
        <f>IF(April[After the 14th?]="No",SUMIF(April[SysID],R23,April[Pay Amount]),0)+IF(March[After the 14th?]="Yes",SUMIF(March[SysID],R23,March[Pay Amount]),0)</f>
        <v>0</v>
      </c>
      <c r="T23" s="8"/>
      <c r="U23" s="5" t="str">
        <f t="shared" si="2"/>
        <v>N</v>
      </c>
      <c r="X23" s="56"/>
      <c r="Y23" s="56"/>
      <c r="Z23" s="56"/>
      <c r="AA23" s="56"/>
      <c r="AC23" s="56"/>
    </row>
    <row r="24" spans="1:29" x14ac:dyDescent="0.25">
      <c r="A24" s="35"/>
      <c r="B24" s="5" t="e">
        <f>VLOOKUP(A24,Relay!$A$1:$B$50,2,FALSE)</f>
        <v>#N/A</v>
      </c>
      <c r="C24" s="5" t="e">
        <f>VLOOKUP(A24,Relay!$A$2:$C$51,3,FALSE)</f>
        <v>#N/A</v>
      </c>
      <c r="D24" s="39"/>
      <c r="E24" s="35"/>
      <c r="F24" s="35" t="str">
        <f t="shared" si="0"/>
        <v>INS</v>
      </c>
      <c r="G24" s="5" t="e">
        <f>IF(OR(E24="Jeopardy",E24="APP Moonlighting",E24="Differential Pay"),"",April[[#This Row],[SysID]])</f>
        <v>#N/A</v>
      </c>
      <c r="H24" s="5" t="e">
        <f>IF(E24="Jeopardy",IF(C24="MD",Relay!$E$7,Relay!$E$8),IF(C24="MD",IF(COUNTIF(G:G,B24)&gt;1,Relay!$E$2,Relay!$E$1),IF(AND(COUNTIF(G:G,B24)&gt;1,COUNTA(A24)&gt;0),Relay!$E$5,Relay!$E$4)))</f>
        <v>#N/A</v>
      </c>
      <c r="I24" s="8">
        <f t="shared" si="1"/>
        <v>0</v>
      </c>
      <c r="J24" s="35"/>
      <c r="K24" s="35"/>
      <c r="L24" s="35"/>
      <c r="M24" s="35"/>
      <c r="N24" s="10" t="e">
        <f>IF(H24=April!$E$2,"N",IF(AND(COUNTIF(B:B,B24)=1,D24&gt;14),"Y","N"))</f>
        <v>#N/A</v>
      </c>
      <c r="O24" s="55" t="str">
        <f>IF(COUNT(April[[#This Row],[Date]])&gt;0,IF(April[[#This Row],[Date]]&gt;14,"Yes","No"),"N/A")</f>
        <v>N/A</v>
      </c>
      <c r="P24" s="55"/>
      <c r="Q24" s="5">
        <f>Relay!A23</f>
        <v>0</v>
      </c>
      <c r="R24" s="5">
        <f>Relay!B23</f>
        <v>22</v>
      </c>
      <c r="S24" s="8">
        <f>IF(April[After the 14th?]="No",SUMIF(April[SysID],R24,April[Pay Amount]),0)+IF(March[After the 14th?]="Yes",SUMIF(March[SysID],R24,March[Pay Amount]),0)</f>
        <v>0</v>
      </c>
      <c r="T24" s="8"/>
      <c r="U24" s="5" t="str">
        <f t="shared" si="2"/>
        <v>N</v>
      </c>
      <c r="X24" s="56"/>
      <c r="Y24" s="56"/>
      <c r="Z24" s="56"/>
      <c r="AA24" s="56"/>
      <c r="AC24" s="56"/>
    </row>
    <row r="25" spans="1:29" x14ac:dyDescent="0.25">
      <c r="A25" s="35"/>
      <c r="B25" s="5" t="e">
        <f>VLOOKUP(A25,Relay!$A$1:$B$50,2,FALSE)</f>
        <v>#N/A</v>
      </c>
      <c r="C25" s="5" t="e">
        <f>VLOOKUP(A25,Relay!$A$2:$C$51,3,FALSE)</f>
        <v>#N/A</v>
      </c>
      <c r="D25" s="39"/>
      <c r="E25" s="35"/>
      <c r="F25" s="35" t="str">
        <f t="shared" si="0"/>
        <v>INS</v>
      </c>
      <c r="G25" s="5" t="e">
        <f>IF(OR(E25="Jeopardy",E25="APP Moonlighting",E25="Differential Pay"),"",April[[#This Row],[SysID]])</f>
        <v>#N/A</v>
      </c>
      <c r="H25" s="5" t="e">
        <f>IF(E25="Jeopardy",IF(C25="MD",Relay!$E$7,Relay!$E$8),IF(C25="MD",IF(COUNTIF(G:G,B25)&gt;1,Relay!$E$2,Relay!$E$1),IF(AND(COUNTIF(G:G,B25)&gt;1,COUNTA(A25)&gt;0),Relay!$E$5,Relay!$E$4)))</f>
        <v>#N/A</v>
      </c>
      <c r="I25" s="8">
        <f t="shared" si="1"/>
        <v>0</v>
      </c>
      <c r="J25" s="35"/>
      <c r="K25" s="35"/>
      <c r="L25" s="35"/>
      <c r="M25" s="35"/>
      <c r="N25" s="10" t="e">
        <f>IF(H25=April!$E$2,"N",IF(AND(COUNTIF(B:B,B25)=1,D25&gt;14),"Y","N"))</f>
        <v>#N/A</v>
      </c>
      <c r="O25" s="55" t="str">
        <f>IF(COUNT(April[[#This Row],[Date]])&gt;0,IF(April[[#This Row],[Date]]&gt;14,"Yes","No"),"N/A")</f>
        <v>N/A</v>
      </c>
      <c r="P25" s="55"/>
      <c r="Q25" s="5">
        <f>Relay!A24</f>
        <v>0</v>
      </c>
      <c r="R25" s="5">
        <f>Relay!B24</f>
        <v>23</v>
      </c>
      <c r="S25" s="8">
        <f>IF(April[After the 14th?]="No",SUMIF(April[SysID],R25,April[Pay Amount]),0)+IF(March[After the 14th?]="Yes",SUMIF(March[SysID],R25,March[Pay Amount]),0)</f>
        <v>0</v>
      </c>
      <c r="T25" s="8"/>
      <c r="U25" s="5" t="str">
        <f t="shared" si="2"/>
        <v>N</v>
      </c>
      <c r="X25" s="56"/>
      <c r="Y25" s="56"/>
      <c r="Z25" s="56"/>
      <c r="AA25" s="56"/>
      <c r="AC25" s="56"/>
    </row>
    <row r="26" spans="1:29" x14ac:dyDescent="0.25">
      <c r="A26" s="35"/>
      <c r="B26" s="5" t="e">
        <f>VLOOKUP(A26,Relay!$A$1:$B$50,2,FALSE)</f>
        <v>#N/A</v>
      </c>
      <c r="C26" s="5" t="e">
        <f>VLOOKUP(A26,Relay!$A$2:$C$51,3,FALSE)</f>
        <v>#N/A</v>
      </c>
      <c r="D26" s="39"/>
      <c r="E26" s="35"/>
      <c r="F26" s="35" t="str">
        <f t="shared" si="0"/>
        <v>INS</v>
      </c>
      <c r="G26" s="5" t="e">
        <f>IF(OR(E26="Jeopardy",E26="APP Moonlighting",E26="Differential Pay"),"",April[[#This Row],[SysID]])</f>
        <v>#N/A</v>
      </c>
      <c r="H26" s="5" t="e">
        <f>IF(E26="Jeopardy",IF(C26="MD",Relay!$E$7,Relay!$E$8),IF(C26="MD",IF(COUNTIF(G:G,B26)&gt;1,Relay!$E$2,Relay!$E$1),IF(AND(COUNTIF(G:G,B26)&gt;1,COUNTA(A26)&gt;0),Relay!$E$5,Relay!$E$4)))</f>
        <v>#N/A</v>
      </c>
      <c r="I26" s="8">
        <f t="shared" si="1"/>
        <v>0</v>
      </c>
      <c r="J26" s="35"/>
      <c r="K26" s="35"/>
      <c r="L26" s="35"/>
      <c r="M26" s="35"/>
      <c r="N26" s="10" t="e">
        <f>IF(H26=April!$E$2,"N",IF(AND(COUNTIF(B:B,B26)=1,D26&gt;14),"Y","N"))</f>
        <v>#N/A</v>
      </c>
      <c r="O26" s="55" t="str">
        <f>IF(COUNT(April[[#This Row],[Date]])&gt;0,IF(April[[#This Row],[Date]]&gt;14,"Yes","No"),"N/A")</f>
        <v>N/A</v>
      </c>
      <c r="P26" s="55"/>
      <c r="Q26" s="5">
        <f>Relay!A25</f>
        <v>0</v>
      </c>
      <c r="R26" s="5">
        <f>Relay!B25</f>
        <v>24</v>
      </c>
      <c r="S26" s="8">
        <f>IF(April[After the 14th?]="No",SUMIF(April[SysID],R26,April[Pay Amount]),0)+IF(March[After the 14th?]="Yes",SUMIF(March[SysID],R26,March[Pay Amount]),0)</f>
        <v>0</v>
      </c>
      <c r="T26" s="8"/>
      <c r="U26" s="5" t="str">
        <f t="shared" si="2"/>
        <v>N</v>
      </c>
      <c r="X26" s="56"/>
      <c r="Y26" s="56"/>
      <c r="Z26" s="56"/>
      <c r="AA26" s="56"/>
      <c r="AC26" s="56"/>
    </row>
    <row r="27" spans="1:29" x14ac:dyDescent="0.25">
      <c r="A27" s="35"/>
      <c r="B27" s="5" t="e">
        <f>VLOOKUP(A27,Relay!$A$1:$B$50,2,FALSE)</f>
        <v>#N/A</v>
      </c>
      <c r="C27" s="5" t="e">
        <f>VLOOKUP(A27,Relay!$A$2:$C$51,3,FALSE)</f>
        <v>#N/A</v>
      </c>
      <c r="D27" s="39"/>
      <c r="E27" s="35"/>
      <c r="F27" s="35" t="str">
        <f t="shared" si="0"/>
        <v>INS</v>
      </c>
      <c r="G27" s="5" t="e">
        <f>IF(OR(E27="Jeopardy",E27="APP Moonlighting",E27="Differential Pay"),"",April[[#This Row],[SysID]])</f>
        <v>#N/A</v>
      </c>
      <c r="H27" s="5" t="e">
        <f>IF(E27="Jeopardy",IF(C27="MD",Relay!$E$7,Relay!$E$8),IF(C27="MD",IF(COUNTIF(G:G,B27)&gt;1,Relay!$E$2,Relay!$E$1),IF(AND(COUNTIF(G:G,B27)&gt;1,COUNTA(A27)&gt;0),Relay!$E$5,Relay!$E$4)))</f>
        <v>#N/A</v>
      </c>
      <c r="I27" s="8">
        <f t="shared" si="1"/>
        <v>0</v>
      </c>
      <c r="J27" s="35"/>
      <c r="K27" s="35"/>
      <c r="L27" s="35"/>
      <c r="M27" s="35"/>
      <c r="N27" s="10" t="e">
        <f>IF(H27=April!$E$2,"N",IF(AND(COUNTIF(B:B,B27)=1,D27&gt;14),"Y","N"))</f>
        <v>#N/A</v>
      </c>
      <c r="O27" s="55" t="str">
        <f>IF(COUNT(April[[#This Row],[Date]])&gt;0,IF(April[[#This Row],[Date]]&gt;14,"Yes","No"),"N/A")</f>
        <v>N/A</v>
      </c>
      <c r="P27" s="55"/>
      <c r="Q27" s="5">
        <f>Relay!A26</f>
        <v>0</v>
      </c>
      <c r="R27" s="5">
        <f>Relay!B26</f>
        <v>25</v>
      </c>
      <c r="S27" s="8">
        <f>IF(April[After the 14th?]="No",SUMIF(April[SysID],R27,April[Pay Amount]),0)+IF(March[After the 14th?]="Yes",SUMIF(March[SysID],R27,March[Pay Amount]),0)</f>
        <v>0</v>
      </c>
      <c r="T27" s="8"/>
      <c r="U27" s="5" t="str">
        <f t="shared" si="2"/>
        <v>N</v>
      </c>
      <c r="X27" s="56"/>
      <c r="Y27" s="56"/>
      <c r="Z27" s="56"/>
      <c r="AA27" s="56"/>
      <c r="AC27" s="56"/>
    </row>
    <row r="28" spans="1:29" x14ac:dyDescent="0.25">
      <c r="A28" s="35"/>
      <c r="B28" s="5" t="e">
        <f>VLOOKUP(A28,Relay!$A$1:$B$50,2,FALSE)</f>
        <v>#N/A</v>
      </c>
      <c r="C28" s="5" t="e">
        <f>VLOOKUP(A28,Relay!$A$2:$C$51,3,FALSE)</f>
        <v>#N/A</v>
      </c>
      <c r="D28" s="39"/>
      <c r="E28" s="35"/>
      <c r="F28" s="35" t="str">
        <f t="shared" si="0"/>
        <v>INS</v>
      </c>
      <c r="G28" s="5" t="e">
        <f>IF(OR(E28="Jeopardy",E28="APP Moonlighting",E28="Differential Pay"),"",April[[#This Row],[SysID]])</f>
        <v>#N/A</v>
      </c>
      <c r="H28" s="5" t="e">
        <f>IF(E28="Jeopardy",IF(C28="MD",Relay!$E$7,Relay!$E$8),IF(C28="MD",IF(COUNTIF(G:G,B28)&gt;1,Relay!$E$2,Relay!$E$1),IF(AND(COUNTIF(G:G,B28)&gt;1,COUNTA(A28)&gt;0),Relay!$E$5,Relay!$E$4)))</f>
        <v>#N/A</v>
      </c>
      <c r="I28" s="8">
        <f t="shared" si="1"/>
        <v>0</v>
      </c>
      <c r="J28" s="35"/>
      <c r="K28" s="35"/>
      <c r="L28" s="35"/>
      <c r="M28" s="35"/>
      <c r="N28" s="10" t="e">
        <f>IF(H28=April!$E$2,"N",IF(AND(COUNTIF(B:B,B28)=1,D28&gt;14),"Y","N"))</f>
        <v>#N/A</v>
      </c>
      <c r="O28" s="55" t="str">
        <f>IF(COUNT(April[[#This Row],[Date]])&gt;0,IF(April[[#This Row],[Date]]&gt;14,"Yes","No"),"N/A")</f>
        <v>N/A</v>
      </c>
      <c r="P28" s="55"/>
      <c r="Q28" s="5">
        <f>Relay!A27</f>
        <v>0</v>
      </c>
      <c r="R28" s="5">
        <f>Relay!B27</f>
        <v>26</v>
      </c>
      <c r="S28" s="8">
        <f>IF(April[After the 14th?]="No",SUMIF(April[SysID],R28,April[Pay Amount]),0)+IF(March[After the 14th?]="Yes",SUMIF(March[SysID],R28,March[Pay Amount]),0)</f>
        <v>0</v>
      </c>
      <c r="T28" s="8"/>
      <c r="U28" s="5" t="str">
        <f t="shared" si="2"/>
        <v>N</v>
      </c>
      <c r="X28" s="56"/>
      <c r="Y28" s="56"/>
      <c r="Z28" s="56"/>
      <c r="AA28" s="56"/>
      <c r="AC28" s="56"/>
    </row>
    <row r="29" spans="1:29" x14ac:dyDescent="0.25">
      <c r="A29" s="35"/>
      <c r="B29" s="5" t="e">
        <f>VLOOKUP(A29,Relay!$A$1:$B$50,2,FALSE)</f>
        <v>#N/A</v>
      </c>
      <c r="C29" s="5" t="e">
        <f>VLOOKUP(A29,Relay!$A$2:$C$51,3,FALSE)</f>
        <v>#N/A</v>
      </c>
      <c r="D29" s="39"/>
      <c r="E29" s="35"/>
      <c r="F29" s="35" t="str">
        <f t="shared" si="0"/>
        <v>INS</v>
      </c>
      <c r="G29" s="5" t="e">
        <f>IF(OR(E29="Jeopardy",E29="APP Moonlighting",E29="Differential Pay"),"",April[[#This Row],[SysID]])</f>
        <v>#N/A</v>
      </c>
      <c r="H29" s="5" t="e">
        <f>IF(E29="Jeopardy",IF(C29="MD",Relay!$E$7,Relay!$E$8),IF(C29="MD",IF(COUNTIF(G:G,B29)&gt;1,Relay!$E$2,Relay!$E$1),IF(AND(COUNTIF(G:G,B29)&gt;1,COUNTA(A29)&gt;0),Relay!$E$5,Relay!$E$4)))</f>
        <v>#N/A</v>
      </c>
      <c r="I29" s="8">
        <f t="shared" si="1"/>
        <v>0</v>
      </c>
      <c r="J29" s="35"/>
      <c r="K29" s="35"/>
      <c r="L29" s="35"/>
      <c r="M29" s="35"/>
      <c r="N29" s="10" t="e">
        <f>IF(H29=April!$E$2,"N",IF(AND(COUNTIF(B:B,B29)=1,D29&gt;14),"Y","N"))</f>
        <v>#N/A</v>
      </c>
      <c r="O29" s="55" t="str">
        <f>IF(COUNT(April[[#This Row],[Date]])&gt;0,IF(April[[#This Row],[Date]]&gt;14,"Yes","No"),"N/A")</f>
        <v>N/A</v>
      </c>
      <c r="P29" s="55"/>
      <c r="Q29" s="5">
        <f>Relay!A28</f>
        <v>0</v>
      </c>
      <c r="R29" s="5">
        <f>Relay!B28</f>
        <v>27</v>
      </c>
      <c r="S29" s="8">
        <f>IF(April[After the 14th?]="No",SUMIF(April[SysID],R29,April[Pay Amount]),0)+IF(March[After the 14th?]="Yes",SUMIF(March[SysID],R29,March[Pay Amount]),0)</f>
        <v>0</v>
      </c>
      <c r="T29" s="8"/>
      <c r="U29" s="5" t="str">
        <f t="shared" si="2"/>
        <v>N</v>
      </c>
      <c r="X29" s="56"/>
      <c r="Y29" s="56"/>
      <c r="Z29" s="56"/>
      <c r="AA29" s="56"/>
      <c r="AC29" s="56"/>
    </row>
    <row r="30" spans="1:29" x14ac:dyDescent="0.25">
      <c r="A30" s="35"/>
      <c r="B30" s="5" t="e">
        <f>VLOOKUP(A30,Relay!$A$1:$B$50,2,FALSE)</f>
        <v>#N/A</v>
      </c>
      <c r="C30" s="5" t="e">
        <f>VLOOKUP(A30,Relay!$A$2:$C$51,3,FALSE)</f>
        <v>#N/A</v>
      </c>
      <c r="D30" s="39"/>
      <c r="E30" s="35"/>
      <c r="F30" s="35" t="str">
        <f t="shared" si="0"/>
        <v>INS</v>
      </c>
      <c r="G30" s="5" t="e">
        <f>IF(OR(E30="Jeopardy",E30="APP Moonlighting",E30="Differential Pay"),"",April[[#This Row],[SysID]])</f>
        <v>#N/A</v>
      </c>
      <c r="H30" s="5" t="e">
        <f>IF(E30="Jeopardy",IF(C30="MD",Relay!$E$7,Relay!$E$8),IF(C30="MD",IF(COUNTIF(G:G,B30)&gt;1,Relay!$E$2,Relay!$E$1),IF(AND(COUNTIF(G:G,B30)&gt;1,COUNTA(A30)&gt;0),Relay!$E$5,Relay!$E$4)))</f>
        <v>#N/A</v>
      </c>
      <c r="I30" s="8">
        <f t="shared" si="1"/>
        <v>0</v>
      </c>
      <c r="J30" s="35"/>
      <c r="K30" s="35"/>
      <c r="L30" s="35"/>
      <c r="M30" s="35"/>
      <c r="N30" s="10" t="e">
        <f>IF(H30=April!$E$2,"N",IF(AND(COUNTIF(B:B,B30)=1,D30&gt;14),"Y","N"))</f>
        <v>#N/A</v>
      </c>
      <c r="O30" s="55" t="str">
        <f>IF(COUNT(April[[#This Row],[Date]])&gt;0,IF(April[[#This Row],[Date]]&gt;14,"Yes","No"),"N/A")</f>
        <v>N/A</v>
      </c>
      <c r="P30" s="55"/>
      <c r="Q30" s="5">
        <f>Relay!A29</f>
        <v>0</v>
      </c>
      <c r="R30" s="5">
        <f>Relay!B29</f>
        <v>28</v>
      </c>
      <c r="S30" s="8">
        <f>IF(April[After the 14th?]="No",SUMIF(April[SysID],R30,April[Pay Amount]),0)+IF(March[After the 14th?]="Yes",SUMIF(March[SysID],R30,March[Pay Amount]),0)</f>
        <v>0</v>
      </c>
      <c r="T30" s="8"/>
      <c r="U30" s="5" t="str">
        <f t="shared" si="2"/>
        <v>N</v>
      </c>
      <c r="X30" s="56"/>
      <c r="Y30" s="56"/>
      <c r="Z30" s="56"/>
      <c r="AA30" s="56"/>
      <c r="AC30" s="56"/>
    </row>
    <row r="31" spans="1:29" x14ac:dyDescent="0.25">
      <c r="A31" s="35"/>
      <c r="B31" s="5" t="e">
        <f>VLOOKUP(A31,Relay!$A$1:$B$50,2,FALSE)</f>
        <v>#N/A</v>
      </c>
      <c r="C31" s="5" t="e">
        <f>VLOOKUP(A31,Relay!$A$2:$C$51,3,FALSE)</f>
        <v>#N/A</v>
      </c>
      <c r="D31" s="39"/>
      <c r="E31" s="35"/>
      <c r="F31" s="35" t="str">
        <f t="shared" si="0"/>
        <v>INS</v>
      </c>
      <c r="G31" s="5" t="e">
        <f>IF(OR(E31="Jeopardy",E31="APP Moonlighting",E31="Differential Pay"),"",April[[#This Row],[SysID]])</f>
        <v>#N/A</v>
      </c>
      <c r="H31" s="5" t="e">
        <f>IF(E31="Jeopardy",IF(C31="MD",Relay!$E$7,Relay!$E$8),IF(C31="MD",IF(COUNTIF(G:G,B31)&gt;1,Relay!$E$2,Relay!$E$1),IF(AND(COUNTIF(G:G,B31)&gt;1,COUNTA(A31)&gt;0),Relay!$E$5,Relay!$E$4)))</f>
        <v>#N/A</v>
      </c>
      <c r="I31" s="8">
        <f t="shared" si="1"/>
        <v>0</v>
      </c>
      <c r="J31" s="35"/>
      <c r="K31" s="35"/>
      <c r="L31" s="35"/>
      <c r="M31" s="35"/>
      <c r="N31" s="10" t="e">
        <f>IF(H31=April!$E$2,"N",IF(AND(COUNTIF(B:B,B31)=1,D31&gt;14),"Y","N"))</f>
        <v>#N/A</v>
      </c>
      <c r="O31" s="55" t="str">
        <f>IF(COUNT(April[[#This Row],[Date]])&gt;0,IF(April[[#This Row],[Date]]&gt;14,"Yes","No"),"N/A")</f>
        <v>N/A</v>
      </c>
      <c r="P31" s="55"/>
      <c r="Q31" s="5">
        <f>Relay!A30</f>
        <v>0</v>
      </c>
      <c r="R31" s="5">
        <f>Relay!B30</f>
        <v>29</v>
      </c>
      <c r="S31" s="8">
        <f>IF(April[After the 14th?]="No",SUMIF(April[SysID],R31,April[Pay Amount]),0)+IF(March[After the 14th?]="Yes",SUMIF(March[SysID],R31,March[Pay Amount]),0)</f>
        <v>0</v>
      </c>
      <c r="T31" s="8"/>
      <c r="U31" s="5" t="str">
        <f t="shared" si="2"/>
        <v>N</v>
      </c>
      <c r="X31" s="56"/>
      <c r="Y31" s="56"/>
      <c r="Z31" s="56"/>
      <c r="AA31" s="56"/>
      <c r="AC31" s="56"/>
    </row>
    <row r="32" spans="1:29" x14ac:dyDescent="0.25">
      <c r="A32" s="35"/>
      <c r="B32" s="5" t="e">
        <f>VLOOKUP(A32,Relay!$A$1:$B$50,2,FALSE)</f>
        <v>#N/A</v>
      </c>
      <c r="C32" s="5" t="e">
        <f>VLOOKUP(A32,Relay!$A$2:$C$51,3,FALSE)</f>
        <v>#N/A</v>
      </c>
      <c r="D32" s="39"/>
      <c r="E32" s="35"/>
      <c r="F32" s="35" t="str">
        <f t="shared" si="0"/>
        <v>INS</v>
      </c>
      <c r="G32" s="5" t="e">
        <f>IF(OR(E32="Jeopardy",E32="APP Moonlighting",E32="Differential Pay"),"",April[[#This Row],[SysID]])</f>
        <v>#N/A</v>
      </c>
      <c r="H32" s="5" t="e">
        <f>IF(E32="Jeopardy",IF(C32="MD",Relay!$E$7,Relay!$E$8),IF(C32="MD",IF(COUNTIF(G:G,B32)&gt;1,Relay!$E$2,Relay!$E$1),IF(AND(COUNTIF(G:G,B32)&gt;1,COUNTA(A32)&gt;0),Relay!$E$5,Relay!$E$4)))</f>
        <v>#N/A</v>
      </c>
      <c r="I32" s="8">
        <f t="shared" si="1"/>
        <v>0</v>
      </c>
      <c r="J32" s="35"/>
      <c r="K32" s="35"/>
      <c r="L32" s="35"/>
      <c r="M32" s="35"/>
      <c r="N32" s="10" t="e">
        <f>IF(H32=April!$E$2,"N",IF(AND(COUNTIF(B:B,B32)=1,D32&gt;14),"Y","N"))</f>
        <v>#N/A</v>
      </c>
      <c r="O32" s="55" t="str">
        <f>IF(COUNT(April[[#This Row],[Date]])&gt;0,IF(April[[#This Row],[Date]]&gt;14,"Yes","No"),"N/A")</f>
        <v>N/A</v>
      </c>
      <c r="P32" s="55"/>
      <c r="Q32" s="5">
        <f>Relay!A31</f>
        <v>0</v>
      </c>
      <c r="R32" s="5">
        <f>Relay!B31</f>
        <v>30</v>
      </c>
      <c r="S32" s="8">
        <f>IF(April[After the 14th?]="No",SUMIF(April[SysID],R32,April[Pay Amount]),0)+IF(March[After the 14th?]="Yes",SUMIF(March[SysID],R32,March[Pay Amount]),0)</f>
        <v>0</v>
      </c>
      <c r="T32" s="8"/>
      <c r="U32" s="5" t="str">
        <f t="shared" si="2"/>
        <v>N</v>
      </c>
      <c r="X32" s="56"/>
      <c r="Y32" s="56"/>
      <c r="Z32" s="56"/>
      <c r="AA32" s="56"/>
      <c r="AC32" s="56"/>
    </row>
    <row r="33" spans="1:29" x14ac:dyDescent="0.25">
      <c r="A33" s="35"/>
      <c r="B33" s="5" t="e">
        <f>VLOOKUP(A33,Relay!$A$1:$B$50,2,FALSE)</f>
        <v>#N/A</v>
      </c>
      <c r="C33" s="5" t="e">
        <f>VLOOKUP(A33,Relay!$A$2:$C$51,3,FALSE)</f>
        <v>#N/A</v>
      </c>
      <c r="D33" s="39"/>
      <c r="E33" s="35"/>
      <c r="F33" s="35" t="str">
        <f t="shared" si="0"/>
        <v>INS</v>
      </c>
      <c r="G33" s="5" t="e">
        <f>IF(OR(E33="Jeopardy",E33="APP Moonlighting",E33="Differential Pay"),"",April[[#This Row],[SysID]])</f>
        <v>#N/A</v>
      </c>
      <c r="H33" s="5" t="e">
        <f>IF(E33="Jeopardy",IF(C33="MD",Relay!$E$7,Relay!$E$8),IF(C33="MD",IF(COUNTIF(G:G,B33)&gt;1,Relay!$E$2,Relay!$E$1),IF(AND(COUNTIF(G:G,B33)&gt;1,COUNTA(A33)&gt;0),Relay!$E$5,Relay!$E$4)))</f>
        <v>#N/A</v>
      </c>
      <c r="I33" s="8">
        <f t="shared" si="1"/>
        <v>0</v>
      </c>
      <c r="J33" s="35"/>
      <c r="K33" s="35"/>
      <c r="L33" s="35"/>
      <c r="M33" s="35"/>
      <c r="N33" s="10" t="e">
        <f>IF(H33=April!$E$2,"N",IF(AND(COUNTIF(B:B,B33)=1,D33&gt;14),"Y","N"))</f>
        <v>#N/A</v>
      </c>
      <c r="O33" s="55" t="str">
        <f>IF(COUNT(April[[#This Row],[Date]])&gt;0,IF(April[[#This Row],[Date]]&gt;14,"Yes","No"),"N/A")</f>
        <v>N/A</v>
      </c>
      <c r="P33" s="55"/>
      <c r="Q33" s="5">
        <f>Relay!A32</f>
        <v>0</v>
      </c>
      <c r="R33" s="5">
        <f>Relay!B32</f>
        <v>31</v>
      </c>
      <c r="S33" s="8">
        <f>IF(April[After the 14th?]="No",SUMIF(April[SysID],R33,April[Pay Amount]),0)+IF(March[After the 14th?]="Yes",SUMIF(March[SysID],R33,March[Pay Amount]),0)</f>
        <v>0</v>
      </c>
      <c r="T33" s="8"/>
      <c r="U33" s="5" t="str">
        <f t="shared" si="2"/>
        <v>N</v>
      </c>
      <c r="X33" s="56"/>
      <c r="Y33" s="56"/>
      <c r="Z33" s="56"/>
      <c r="AA33" s="56"/>
      <c r="AC33" s="56"/>
    </row>
    <row r="34" spans="1:29" x14ac:dyDescent="0.25">
      <c r="A34" s="35"/>
      <c r="B34" s="5" t="e">
        <f>VLOOKUP(A34,Relay!$A$1:$B$50,2,FALSE)</f>
        <v>#N/A</v>
      </c>
      <c r="C34" s="5" t="e">
        <f>VLOOKUP(A34,Relay!$A$2:$C$51,3,FALSE)</f>
        <v>#N/A</v>
      </c>
      <c r="D34" s="39"/>
      <c r="E34" s="35"/>
      <c r="F34" s="35" t="str">
        <f t="shared" si="0"/>
        <v>INS</v>
      </c>
      <c r="G34" s="5" t="e">
        <f>IF(OR(E34="Jeopardy",E34="APP Moonlighting",E34="Differential Pay"),"",April[[#This Row],[SysID]])</f>
        <v>#N/A</v>
      </c>
      <c r="H34" s="5" t="e">
        <f>IF(E34="Jeopardy",IF(C34="MD",Relay!$E$7,Relay!$E$8),IF(C34="MD",IF(COUNTIF(G:G,B34)&gt;1,Relay!$E$2,Relay!$E$1),IF(AND(COUNTIF(G:G,B34)&gt;1,COUNTA(A34)&gt;0),Relay!$E$5,Relay!$E$4)))</f>
        <v>#N/A</v>
      </c>
      <c r="I34" s="8">
        <f t="shared" si="1"/>
        <v>0</v>
      </c>
      <c r="J34" s="35"/>
      <c r="K34" s="35"/>
      <c r="L34" s="35"/>
      <c r="M34" s="35"/>
      <c r="N34" s="10" t="e">
        <f>IF(H34=April!$E$2,"N",IF(AND(COUNTIF(B:B,B34)=1,D34&gt;14),"Y","N"))</f>
        <v>#N/A</v>
      </c>
      <c r="O34" s="55" t="str">
        <f>IF(COUNT(April[[#This Row],[Date]])&gt;0,IF(April[[#This Row],[Date]]&gt;14,"Yes","No"),"N/A")</f>
        <v>N/A</v>
      </c>
      <c r="P34" s="55"/>
      <c r="Q34" s="5">
        <f>Relay!A33</f>
        <v>0</v>
      </c>
      <c r="R34" s="5">
        <f>Relay!B33</f>
        <v>32</v>
      </c>
      <c r="S34" s="8">
        <f>IF(April[After the 14th?]="No",SUMIF(April[SysID],R34,April[Pay Amount]),0)+IF(March[After the 14th?]="Yes",SUMIF(March[SysID],R34,March[Pay Amount]),0)</f>
        <v>0</v>
      </c>
      <c r="T34" s="8"/>
      <c r="U34" s="5" t="str">
        <f t="shared" si="2"/>
        <v>N</v>
      </c>
      <c r="X34" s="56"/>
      <c r="Y34" s="56"/>
      <c r="Z34" s="56"/>
      <c r="AA34" s="56"/>
      <c r="AC34" s="56"/>
    </row>
    <row r="35" spans="1:29" x14ac:dyDescent="0.25">
      <c r="A35" s="35"/>
      <c r="B35" s="5" t="e">
        <f>VLOOKUP(A35,Relay!$A$1:$B$50,2,FALSE)</f>
        <v>#N/A</v>
      </c>
      <c r="C35" s="5" t="e">
        <f>VLOOKUP(A35,Relay!$A$2:$C$51,3,FALSE)</f>
        <v>#N/A</v>
      </c>
      <c r="D35" s="39"/>
      <c r="E35" s="35"/>
      <c r="F35" s="35" t="str">
        <f t="shared" si="0"/>
        <v>INS</v>
      </c>
      <c r="G35" s="5" t="e">
        <f>IF(OR(E35="Jeopardy",E35="APP Moonlighting",E35="Differential Pay"),"",April[[#This Row],[SysID]])</f>
        <v>#N/A</v>
      </c>
      <c r="H35" s="5" t="e">
        <f>IF(E35="Jeopardy",IF(C35="MD",Relay!$E$7,Relay!$E$8),IF(C35="MD",IF(COUNTIF(G:G,B35)&gt;1,Relay!$E$2,Relay!$E$1),IF(AND(COUNTIF(G:G,B35)&gt;1,COUNTA(A35)&gt;0),Relay!$E$5,Relay!$E$4)))</f>
        <v>#N/A</v>
      </c>
      <c r="I35" s="8">
        <f t="shared" si="1"/>
        <v>0</v>
      </c>
      <c r="J35" s="35"/>
      <c r="K35" s="35"/>
      <c r="L35" s="35"/>
      <c r="M35" s="35"/>
      <c r="N35" s="10" t="e">
        <f>IF(H35=April!$E$2,"N",IF(AND(COUNTIF(B:B,B35)=1,D35&gt;14),"Y","N"))</f>
        <v>#N/A</v>
      </c>
      <c r="O35" s="55" t="str">
        <f>IF(COUNT(April[[#This Row],[Date]])&gt;0,IF(April[[#This Row],[Date]]&gt;14,"Yes","No"),"N/A")</f>
        <v>N/A</v>
      </c>
      <c r="P35" s="55"/>
      <c r="Q35" s="5">
        <f>Relay!A34</f>
        <v>0</v>
      </c>
      <c r="R35" s="5">
        <f>Relay!B34</f>
        <v>33</v>
      </c>
      <c r="S35" s="8">
        <f>IF(April[After the 14th?]="No",SUMIF(April[SysID],R35,April[Pay Amount]),0)+IF(March[After the 14th?]="Yes",SUMIF(March[SysID],R35,March[Pay Amount]),0)</f>
        <v>0</v>
      </c>
      <c r="T35" s="8"/>
      <c r="U35" s="5" t="str">
        <f t="shared" si="2"/>
        <v>N</v>
      </c>
      <c r="X35" s="56"/>
      <c r="Y35" s="56"/>
      <c r="Z35" s="56"/>
      <c r="AA35" s="56"/>
      <c r="AC35" s="56"/>
    </row>
    <row r="36" spans="1:29" x14ac:dyDescent="0.25">
      <c r="A36" s="35"/>
      <c r="B36" s="5" t="e">
        <f>VLOOKUP(A36,Relay!$A$1:$B$50,2,FALSE)</f>
        <v>#N/A</v>
      </c>
      <c r="C36" s="5" t="e">
        <f>VLOOKUP(A36,Relay!$A$2:$C$51,3,FALSE)</f>
        <v>#N/A</v>
      </c>
      <c r="D36" s="39"/>
      <c r="E36" s="35"/>
      <c r="F36" s="35" t="str">
        <f t="shared" si="0"/>
        <v>INS</v>
      </c>
      <c r="G36" s="5" t="e">
        <f>IF(OR(E36="Jeopardy",E36="APP Moonlighting",E36="Differential Pay"),"",April[[#This Row],[SysID]])</f>
        <v>#N/A</v>
      </c>
      <c r="H36" s="5" t="e">
        <f>IF(E36="Jeopardy",IF(C36="MD",Relay!$E$7,Relay!$E$8),IF(C36="MD",IF(COUNTIF(G:G,B36)&gt;1,Relay!$E$2,Relay!$E$1),IF(AND(COUNTIF(G:G,B36)&gt;1,COUNTA(A36)&gt;0),Relay!$E$5,Relay!$E$4)))</f>
        <v>#N/A</v>
      </c>
      <c r="I36" s="8">
        <f t="shared" si="1"/>
        <v>0</v>
      </c>
      <c r="J36" s="35"/>
      <c r="K36" s="35"/>
      <c r="L36" s="35"/>
      <c r="M36" s="35"/>
      <c r="N36" s="10" t="e">
        <f>IF(H36=April!$E$2,"N",IF(AND(COUNTIF(B:B,B36)=1,D36&gt;14),"Y","N"))</f>
        <v>#N/A</v>
      </c>
      <c r="O36" s="55" t="str">
        <f>IF(COUNT(April[[#This Row],[Date]])&gt;0,IF(April[[#This Row],[Date]]&gt;14,"Yes","No"),"N/A")</f>
        <v>N/A</v>
      </c>
      <c r="P36" s="55"/>
      <c r="Q36" s="5">
        <f>Relay!A35</f>
        <v>0</v>
      </c>
      <c r="R36" s="5">
        <f>Relay!B35</f>
        <v>34</v>
      </c>
      <c r="S36" s="8">
        <f>IF(April[After the 14th?]="No",SUMIF(April[SysID],R36,April[Pay Amount]),0)+IF(March[After the 14th?]="Yes",SUMIF(March[SysID],R36,March[Pay Amount]),0)</f>
        <v>0</v>
      </c>
      <c r="T36" s="8"/>
      <c r="U36" s="5" t="str">
        <f t="shared" si="2"/>
        <v>N</v>
      </c>
      <c r="X36" s="56"/>
      <c r="Y36" s="56"/>
      <c r="Z36" s="56"/>
      <c r="AA36" s="56"/>
      <c r="AC36" s="56"/>
    </row>
    <row r="37" spans="1:29" x14ac:dyDescent="0.25">
      <c r="A37" s="35"/>
      <c r="B37" s="5" t="e">
        <f>VLOOKUP(A37,Relay!$A$1:$B$50,2,FALSE)</f>
        <v>#N/A</v>
      </c>
      <c r="C37" s="5" t="e">
        <f>VLOOKUP(A37,Relay!$A$2:$C$51,3,FALSE)</f>
        <v>#N/A</v>
      </c>
      <c r="D37" s="39"/>
      <c r="E37" s="35"/>
      <c r="F37" s="35" t="str">
        <f t="shared" si="0"/>
        <v>INS</v>
      </c>
      <c r="G37" s="5" t="e">
        <f>IF(OR(E37="Jeopardy",E37="APP Moonlighting",E37="Differential Pay"),"",April[[#This Row],[SysID]])</f>
        <v>#N/A</v>
      </c>
      <c r="H37" s="5" t="e">
        <f>IF(E37="Jeopardy",IF(C37="MD",Relay!$E$7,Relay!$E$8),IF(C37="MD",IF(COUNTIF(G:G,B37)&gt;1,Relay!$E$2,Relay!$E$1),IF(AND(COUNTIF(G:G,B37)&gt;1,COUNTA(A37)&gt;0),Relay!$E$5,Relay!$E$4)))</f>
        <v>#N/A</v>
      </c>
      <c r="I37" s="8">
        <f t="shared" si="1"/>
        <v>0</v>
      </c>
      <c r="J37" s="35"/>
      <c r="K37" s="35"/>
      <c r="L37" s="35"/>
      <c r="M37" s="35"/>
      <c r="N37" s="10" t="e">
        <f>IF(H37=April!$E$2,"N",IF(AND(COUNTIF(B:B,B37)=1,D37&gt;14),"Y","N"))</f>
        <v>#N/A</v>
      </c>
      <c r="O37" s="55" t="str">
        <f>IF(COUNT(April[[#This Row],[Date]])&gt;0,IF(April[[#This Row],[Date]]&gt;14,"Yes","No"),"N/A")</f>
        <v>N/A</v>
      </c>
      <c r="P37" s="55"/>
      <c r="Q37" s="5">
        <f>Relay!A36</f>
        <v>0</v>
      </c>
      <c r="R37" s="5">
        <f>Relay!B36</f>
        <v>35</v>
      </c>
      <c r="S37" s="8">
        <f>IF(April[After the 14th?]="No",SUMIF(April[SysID],R37,April[Pay Amount]),0)+IF(March[After the 14th?]="Yes",SUMIF(March[SysID],R37,March[Pay Amount]),0)</f>
        <v>0</v>
      </c>
      <c r="T37" s="8"/>
      <c r="U37" s="5" t="str">
        <f t="shared" si="2"/>
        <v>N</v>
      </c>
      <c r="X37" s="56"/>
      <c r="Y37" s="56"/>
      <c r="Z37" s="56"/>
      <c r="AA37" s="56"/>
      <c r="AC37" s="56"/>
    </row>
    <row r="38" spans="1:29" x14ac:dyDescent="0.25">
      <c r="A38" s="35"/>
      <c r="B38" s="5" t="e">
        <f>VLOOKUP(A38,Relay!$A$1:$B$50,2,FALSE)</f>
        <v>#N/A</v>
      </c>
      <c r="C38" s="5" t="e">
        <f>VLOOKUP(A38,Relay!$A$2:$C$51,3,FALSE)</f>
        <v>#N/A</v>
      </c>
      <c r="D38" s="39"/>
      <c r="E38" s="35"/>
      <c r="F38" s="35" t="str">
        <f t="shared" si="0"/>
        <v>INS</v>
      </c>
      <c r="G38" s="5" t="e">
        <f>IF(OR(E38="Jeopardy",E38="APP Moonlighting",E38="Differential Pay"),"",April[[#This Row],[SysID]])</f>
        <v>#N/A</v>
      </c>
      <c r="H38" s="5" t="e">
        <f>IF(E38="Jeopardy",IF(C38="MD",Relay!$E$7,Relay!$E$8),IF(C38="MD",IF(COUNTIF(G:G,B38)&gt;1,Relay!$E$2,Relay!$E$1),IF(AND(COUNTIF(G:G,B38)&gt;1,COUNTA(A38)&gt;0),Relay!$E$5,Relay!$E$4)))</f>
        <v>#N/A</v>
      </c>
      <c r="I38" s="8">
        <f t="shared" si="1"/>
        <v>0</v>
      </c>
      <c r="J38" s="35"/>
      <c r="K38" s="35"/>
      <c r="L38" s="35"/>
      <c r="M38" s="35"/>
      <c r="N38" s="10" t="e">
        <f>IF(H38=April!$E$2,"N",IF(AND(COUNTIF(B:B,B38)=1,D38&gt;14),"Y","N"))</f>
        <v>#N/A</v>
      </c>
      <c r="O38" s="55" t="str">
        <f>IF(COUNT(April[[#This Row],[Date]])&gt;0,IF(April[[#This Row],[Date]]&gt;14,"Yes","No"),"N/A")</f>
        <v>N/A</v>
      </c>
      <c r="P38" s="55"/>
      <c r="Q38" s="5">
        <f>Relay!A37</f>
        <v>0</v>
      </c>
      <c r="R38" s="5">
        <f>Relay!B37</f>
        <v>36</v>
      </c>
      <c r="S38" s="8">
        <f>IF(April[After the 14th?]="No",SUMIF(April[SysID],R38,April[Pay Amount]),0)+IF(March[After the 14th?]="Yes",SUMIF(March[SysID],R38,March[Pay Amount]),0)</f>
        <v>0</v>
      </c>
      <c r="T38" s="8"/>
      <c r="U38" s="5" t="str">
        <f t="shared" si="2"/>
        <v>N</v>
      </c>
      <c r="X38" s="56"/>
      <c r="Y38" s="56"/>
      <c r="Z38" s="56"/>
      <c r="AA38" s="56"/>
      <c r="AC38" s="56"/>
    </row>
    <row r="39" spans="1:29" x14ac:dyDescent="0.25">
      <c r="A39" s="35"/>
      <c r="B39" s="5" t="e">
        <f>VLOOKUP(A39,Relay!$A$1:$B$50,2,FALSE)</f>
        <v>#N/A</v>
      </c>
      <c r="C39" s="5" t="e">
        <f>VLOOKUP(A39,Relay!$A$2:$C$51,3,FALSE)</f>
        <v>#N/A</v>
      </c>
      <c r="D39" s="39"/>
      <c r="E39" s="35"/>
      <c r="F39" s="35" t="str">
        <f t="shared" si="0"/>
        <v>INS</v>
      </c>
      <c r="G39" s="5" t="e">
        <f>IF(OR(E39="Jeopardy",E39="APP Moonlighting",E39="Differential Pay"),"",April[[#This Row],[SysID]])</f>
        <v>#N/A</v>
      </c>
      <c r="H39" s="5" t="e">
        <f>IF(E39="Jeopardy",IF(C39="MD",Relay!$E$7,Relay!$E$8),IF(C39="MD",IF(COUNTIF(G:G,B39)&gt;1,Relay!$E$2,Relay!$E$1),IF(AND(COUNTIF(G:G,B39)&gt;1,COUNTA(A39)&gt;0),Relay!$E$5,Relay!$E$4)))</f>
        <v>#N/A</v>
      </c>
      <c r="I39" s="8">
        <f t="shared" si="1"/>
        <v>0</v>
      </c>
      <c r="J39" s="35"/>
      <c r="K39" s="35"/>
      <c r="L39" s="35"/>
      <c r="M39" s="35"/>
      <c r="N39" s="10" t="e">
        <f>IF(H39=April!$E$2,"N",IF(AND(COUNTIF(B:B,B39)=1,D39&gt;14),"Y","N"))</f>
        <v>#N/A</v>
      </c>
      <c r="O39" s="55" t="str">
        <f>IF(COUNT(April[[#This Row],[Date]])&gt;0,IF(April[[#This Row],[Date]]&gt;14,"Yes","No"),"N/A")</f>
        <v>N/A</v>
      </c>
      <c r="P39" s="55"/>
      <c r="Q39" s="5">
        <f>Relay!A38</f>
        <v>0</v>
      </c>
      <c r="R39" s="5">
        <f>Relay!B38</f>
        <v>37</v>
      </c>
      <c r="S39" s="8">
        <f>IF(April[After the 14th?]="No",SUMIF(April[SysID],R39,April[Pay Amount]),0)+IF(March[After the 14th?]="Yes",SUMIF(March[SysID],R39,March[Pay Amount]),0)</f>
        <v>0</v>
      </c>
      <c r="T39" s="8"/>
      <c r="U39" s="5" t="str">
        <f t="shared" si="2"/>
        <v>N</v>
      </c>
      <c r="X39" s="56"/>
      <c r="Y39" s="56"/>
      <c r="Z39" s="56"/>
      <c r="AA39" s="56"/>
      <c r="AC39" s="56"/>
    </row>
    <row r="40" spans="1:29" x14ac:dyDescent="0.25">
      <c r="A40" s="35"/>
      <c r="B40" s="5" t="e">
        <f>VLOOKUP(A40,Relay!$A$1:$B$50,2,FALSE)</f>
        <v>#N/A</v>
      </c>
      <c r="C40" s="5" t="e">
        <f>VLOOKUP(A40,Relay!$A$2:$C$51,3,FALSE)</f>
        <v>#N/A</v>
      </c>
      <c r="D40" s="39"/>
      <c r="E40" s="35"/>
      <c r="F40" s="35" t="str">
        <f t="shared" si="0"/>
        <v>INS</v>
      </c>
      <c r="G40" s="5" t="e">
        <f>IF(OR(E40="Jeopardy",E40="APP Moonlighting",E40="Differential Pay"),"",April[[#This Row],[SysID]])</f>
        <v>#N/A</v>
      </c>
      <c r="H40" s="5" t="e">
        <f>IF(E40="Jeopardy",IF(C40="MD",Relay!$E$7,Relay!$E$8),IF(C40="MD",IF(COUNTIF(G:G,B40)&gt;1,Relay!$E$2,Relay!$E$1),IF(AND(COUNTIF(G:G,B40)&gt;1,COUNTA(A40)&gt;0),Relay!$E$5,Relay!$E$4)))</f>
        <v>#N/A</v>
      </c>
      <c r="I40" s="8">
        <f t="shared" si="1"/>
        <v>0</v>
      </c>
      <c r="J40" s="35"/>
      <c r="K40" s="35"/>
      <c r="L40" s="35"/>
      <c r="M40" s="35"/>
      <c r="N40" s="10" t="e">
        <f>IF(H40=April!$E$2,"N",IF(AND(COUNTIF(B:B,B40)=1,D40&gt;14),"Y","N"))</f>
        <v>#N/A</v>
      </c>
      <c r="O40" s="55" t="str">
        <f>IF(COUNT(April[[#This Row],[Date]])&gt;0,IF(April[[#This Row],[Date]]&gt;14,"Yes","No"),"N/A")</f>
        <v>N/A</v>
      </c>
      <c r="P40" s="55"/>
      <c r="Q40" s="5">
        <f>Relay!A39</f>
        <v>0</v>
      </c>
      <c r="R40" s="5">
        <f>Relay!B39</f>
        <v>38</v>
      </c>
      <c r="S40" s="8">
        <f>IF(April[After the 14th?]="No",SUMIF(April[SysID],R40,April[Pay Amount]),0)+IF(March[After the 14th?]="Yes",SUMIF(March[SysID],R40,March[Pay Amount]),0)</f>
        <v>0</v>
      </c>
      <c r="T40" s="8"/>
      <c r="U40" s="5" t="str">
        <f t="shared" si="2"/>
        <v>N</v>
      </c>
      <c r="X40" s="56"/>
      <c r="Y40" s="56"/>
      <c r="Z40" s="56"/>
      <c r="AA40" s="56"/>
      <c r="AC40" s="56"/>
    </row>
    <row r="41" spans="1:29" x14ac:dyDescent="0.25">
      <c r="A41" s="35"/>
      <c r="B41" s="5" t="e">
        <f>VLOOKUP(A41,Relay!$A$1:$B$50,2,FALSE)</f>
        <v>#N/A</v>
      </c>
      <c r="C41" s="5" t="e">
        <f>VLOOKUP(A41,Relay!$A$2:$C$51,3,FALSE)</f>
        <v>#N/A</v>
      </c>
      <c r="D41" s="39"/>
      <c r="E41" s="35"/>
      <c r="F41" s="35" t="str">
        <f t="shared" si="0"/>
        <v>INS</v>
      </c>
      <c r="G41" s="5" t="e">
        <f>IF(OR(E41="Jeopardy",E41="APP Moonlighting",E41="Differential Pay"),"",April[[#This Row],[SysID]])</f>
        <v>#N/A</v>
      </c>
      <c r="H41" s="5" t="e">
        <f>IF(E41="Jeopardy",IF(C41="MD",Relay!$E$7,Relay!$E$8),IF(C41="MD",IF(COUNTIF(G:G,B41)&gt;1,Relay!$E$2,Relay!$E$1),IF(AND(COUNTIF(G:G,B41)&gt;1,COUNTA(A41)&gt;0),Relay!$E$5,Relay!$E$4)))</f>
        <v>#N/A</v>
      </c>
      <c r="I41" s="8">
        <f t="shared" si="1"/>
        <v>0</v>
      </c>
      <c r="J41" s="35"/>
      <c r="K41" s="35"/>
      <c r="L41" s="35"/>
      <c r="M41" s="35"/>
      <c r="N41" s="10" t="e">
        <f>IF(H41=April!$E$2,"N",IF(AND(COUNTIF(B:B,B41)=1,D41&gt;14),"Y","N"))</f>
        <v>#N/A</v>
      </c>
      <c r="O41" s="55" t="str">
        <f>IF(COUNT(April[[#This Row],[Date]])&gt;0,IF(April[[#This Row],[Date]]&gt;14,"Yes","No"),"N/A")</f>
        <v>N/A</v>
      </c>
      <c r="P41" s="55"/>
      <c r="Q41" s="5">
        <f>Relay!A40</f>
        <v>0</v>
      </c>
      <c r="R41" s="5">
        <f>Relay!B40</f>
        <v>39</v>
      </c>
      <c r="S41" s="8">
        <f>IF(April[After the 14th?]="No",SUMIF(April[SysID],R41,April[Pay Amount]),0)+IF(March[After the 14th?]="Yes",SUMIF(March[SysID],R41,March[Pay Amount]),0)</f>
        <v>0</v>
      </c>
      <c r="T41" s="8"/>
      <c r="U41" s="5" t="str">
        <f t="shared" si="2"/>
        <v>N</v>
      </c>
      <c r="X41" s="56"/>
      <c r="Y41" s="56"/>
      <c r="Z41" s="56"/>
      <c r="AA41" s="56"/>
      <c r="AC41" s="56"/>
    </row>
    <row r="42" spans="1:29" x14ac:dyDescent="0.25">
      <c r="A42" s="35"/>
      <c r="B42" s="5" t="e">
        <f>VLOOKUP(A42,Relay!$A$1:$B$50,2,FALSE)</f>
        <v>#N/A</v>
      </c>
      <c r="C42" s="5" t="e">
        <f>VLOOKUP(A42,Relay!$A$2:$C$51,3,FALSE)</f>
        <v>#N/A</v>
      </c>
      <c r="D42" s="39"/>
      <c r="E42" s="35"/>
      <c r="F42" s="35" t="str">
        <f t="shared" si="0"/>
        <v>INS</v>
      </c>
      <c r="G42" s="5" t="e">
        <f>IF(OR(E42="Jeopardy",E42="APP Moonlighting",E42="Differential Pay"),"",April[[#This Row],[SysID]])</f>
        <v>#N/A</v>
      </c>
      <c r="H42" s="5" t="e">
        <f>IF(E42="Jeopardy",IF(C42="MD",Relay!$E$7,Relay!$E$8),IF(C42="MD",IF(COUNTIF(G:G,B42)&gt;1,Relay!$E$2,Relay!$E$1),IF(AND(COUNTIF(G:G,B42)&gt;1,COUNTA(A42)&gt;0),Relay!$E$5,Relay!$E$4)))</f>
        <v>#N/A</v>
      </c>
      <c r="I42" s="8">
        <f t="shared" si="1"/>
        <v>0</v>
      </c>
      <c r="J42" s="35"/>
      <c r="K42" s="35"/>
      <c r="L42" s="35"/>
      <c r="M42" s="35"/>
      <c r="N42" s="10" t="e">
        <f>IF(H42=April!$E$2,"N",IF(AND(COUNTIF(B:B,B42)=1,D42&gt;14),"Y","N"))</f>
        <v>#N/A</v>
      </c>
      <c r="O42" s="55" t="str">
        <f>IF(COUNT(April[[#This Row],[Date]])&gt;0,IF(April[[#This Row],[Date]]&gt;14,"Yes","No"),"N/A")</f>
        <v>N/A</v>
      </c>
      <c r="P42" s="55"/>
      <c r="Q42" s="5">
        <f>Relay!A41</f>
        <v>0</v>
      </c>
      <c r="R42" s="5">
        <f>Relay!B41</f>
        <v>40</v>
      </c>
      <c r="S42" s="8">
        <f>IF(April[After the 14th?]="No",SUMIF(April[SysID],R42,April[Pay Amount]),0)+IF(March[After the 14th?]="Yes",SUMIF(March[SysID],R42,March[Pay Amount]),0)</f>
        <v>0</v>
      </c>
      <c r="T42" s="8"/>
      <c r="U42" s="5" t="str">
        <f t="shared" si="2"/>
        <v>N</v>
      </c>
      <c r="X42" s="56"/>
      <c r="Y42" s="56"/>
      <c r="Z42" s="56"/>
      <c r="AA42" s="56"/>
      <c r="AC42" s="56"/>
    </row>
    <row r="43" spans="1:29" x14ac:dyDescent="0.25">
      <c r="A43" s="35"/>
      <c r="B43" s="5" t="e">
        <f>VLOOKUP(A43,Relay!$A$1:$B$50,2,FALSE)</f>
        <v>#N/A</v>
      </c>
      <c r="C43" s="5" t="e">
        <f>VLOOKUP(A43,Relay!$A$2:$C$51,3,FALSE)</f>
        <v>#N/A</v>
      </c>
      <c r="D43" s="39"/>
      <c r="E43" s="35"/>
      <c r="F43" s="35" t="str">
        <f t="shared" si="0"/>
        <v>INS</v>
      </c>
      <c r="G43" s="5" t="e">
        <f>IF(OR(E43="Jeopardy",E43="APP Moonlighting",E43="Differential Pay"),"",April[[#This Row],[SysID]])</f>
        <v>#N/A</v>
      </c>
      <c r="H43" s="5" t="e">
        <f>IF(E43="Jeopardy",IF(C43="MD",Relay!$E$7,Relay!$E$8),IF(C43="MD",IF(COUNTIF(G:G,B43)&gt;1,Relay!$E$2,Relay!$E$1),IF(AND(COUNTIF(G:G,B43)&gt;1,COUNTA(A43)&gt;0),Relay!$E$5,Relay!$E$4)))</f>
        <v>#N/A</v>
      </c>
      <c r="I43" s="8">
        <f t="shared" si="1"/>
        <v>0</v>
      </c>
      <c r="J43" s="35"/>
      <c r="K43" s="35"/>
      <c r="L43" s="35"/>
      <c r="M43" s="35"/>
      <c r="N43" s="10" t="e">
        <f>IF(H43=April!$E$2,"N",IF(AND(COUNTIF(B:B,B43)=1,D43&gt;14),"Y","N"))</f>
        <v>#N/A</v>
      </c>
      <c r="O43" s="55" t="str">
        <f>IF(COUNT(April[[#This Row],[Date]])&gt;0,IF(April[[#This Row],[Date]]&gt;14,"Yes","No"),"N/A")</f>
        <v>N/A</v>
      </c>
      <c r="P43" s="55"/>
      <c r="Q43" s="5">
        <f>Relay!A42</f>
        <v>0</v>
      </c>
      <c r="R43" s="5">
        <f>Relay!B42</f>
        <v>41</v>
      </c>
      <c r="S43" s="8">
        <f>IF(April[After the 14th?]="No",SUMIF(April[SysID],R43,April[Pay Amount]),0)+IF(March[After the 14th?]="Yes",SUMIF(March[SysID],R43,March[Pay Amount]),0)</f>
        <v>0</v>
      </c>
      <c r="T43" s="8"/>
      <c r="U43" s="5" t="str">
        <f t="shared" si="2"/>
        <v>N</v>
      </c>
      <c r="X43" s="56"/>
      <c r="Y43" s="56"/>
      <c r="Z43" s="56"/>
      <c r="AA43" s="56"/>
      <c r="AC43" s="56"/>
    </row>
    <row r="44" spans="1:29" x14ac:dyDescent="0.25">
      <c r="A44" s="35"/>
      <c r="B44" s="5" t="e">
        <f>VLOOKUP(A44,Relay!$A$1:$B$50,2,FALSE)</f>
        <v>#N/A</v>
      </c>
      <c r="C44" s="5" t="e">
        <f>VLOOKUP(A44,Relay!$A$2:$C$51,3,FALSE)</f>
        <v>#N/A</v>
      </c>
      <c r="D44" s="39"/>
      <c r="E44" s="35"/>
      <c r="F44" s="35" t="str">
        <f t="shared" si="0"/>
        <v>INS</v>
      </c>
      <c r="G44" s="5" t="e">
        <f>IF(OR(E44="Jeopardy",E44="APP Moonlighting",E44="Differential Pay"),"",April[[#This Row],[SysID]])</f>
        <v>#N/A</v>
      </c>
      <c r="H44" s="5" t="e">
        <f>IF(E44="Jeopardy",IF(C44="MD",Relay!$E$7,Relay!$E$8),IF(C44="MD",IF(COUNTIF(G:G,B44)&gt;1,Relay!$E$2,Relay!$E$1),IF(AND(COUNTIF(G:G,B44)&gt;1,COUNTA(A44)&gt;0),Relay!$E$5,Relay!$E$4)))</f>
        <v>#N/A</v>
      </c>
      <c r="I44" s="8">
        <f t="shared" si="1"/>
        <v>0</v>
      </c>
      <c r="J44" s="35"/>
      <c r="K44" s="35"/>
      <c r="L44" s="35"/>
      <c r="M44" s="35"/>
      <c r="N44" s="10" t="e">
        <f>IF(H44=April!$E$2,"N",IF(AND(COUNTIF(B:B,B44)=1,D44&gt;14),"Y","N"))</f>
        <v>#N/A</v>
      </c>
      <c r="O44" s="55" t="str">
        <f>IF(COUNT(April[[#This Row],[Date]])&gt;0,IF(April[[#This Row],[Date]]&gt;14,"Yes","No"),"N/A")</f>
        <v>N/A</v>
      </c>
      <c r="P44" s="55"/>
      <c r="Q44" s="5">
        <f>Relay!A43</f>
        <v>0</v>
      </c>
      <c r="R44" s="5">
        <f>Relay!B43</f>
        <v>42</v>
      </c>
      <c r="S44" s="8">
        <f>IF(April[After the 14th?]="No",SUMIF(April[SysID],R44,April[Pay Amount]),0)+IF(March[After the 14th?]="Yes",SUMIF(March[SysID],R44,March[Pay Amount]),0)</f>
        <v>0</v>
      </c>
      <c r="T44" s="8"/>
      <c r="U44" s="5" t="str">
        <f t="shared" si="2"/>
        <v>N</v>
      </c>
      <c r="X44" s="56"/>
      <c r="Y44" s="56"/>
      <c r="Z44" s="56"/>
      <c r="AA44" s="56"/>
      <c r="AC44" s="56"/>
    </row>
    <row r="45" spans="1:29" x14ac:dyDescent="0.25">
      <c r="A45" s="35"/>
      <c r="B45" s="5" t="e">
        <f>VLOOKUP(A45,Relay!$A$1:$B$50,2,FALSE)</f>
        <v>#N/A</v>
      </c>
      <c r="C45" s="5" t="e">
        <f>VLOOKUP(A45,Relay!$A$2:$C$51,3,FALSE)</f>
        <v>#N/A</v>
      </c>
      <c r="D45" s="39"/>
      <c r="E45" s="35"/>
      <c r="F45" s="35" t="str">
        <f t="shared" si="0"/>
        <v>INS</v>
      </c>
      <c r="G45" s="5" t="e">
        <f>IF(OR(E45="Jeopardy",E45="APP Moonlighting",E45="Differential Pay"),"",April[[#This Row],[SysID]])</f>
        <v>#N/A</v>
      </c>
      <c r="H45" s="5" t="e">
        <f>IF(E45="Jeopardy",IF(C45="MD",Relay!$E$7,Relay!$E$8),IF(C45="MD",IF(COUNTIF(G:G,B45)&gt;1,Relay!$E$2,Relay!$E$1),IF(AND(COUNTIF(G:G,B45)&gt;1,COUNTA(A45)&gt;0),Relay!$E$5,Relay!$E$4)))</f>
        <v>#N/A</v>
      </c>
      <c r="I45" s="8">
        <f t="shared" si="1"/>
        <v>0</v>
      </c>
      <c r="J45" s="35"/>
      <c r="K45" s="35"/>
      <c r="L45" s="35"/>
      <c r="M45" s="35"/>
      <c r="N45" s="10" t="e">
        <f>IF(H45=April!$E$2,"N",IF(AND(COUNTIF(B:B,B45)=1,D45&gt;14),"Y","N"))</f>
        <v>#N/A</v>
      </c>
      <c r="O45" s="55" t="str">
        <f>IF(COUNT(April[[#This Row],[Date]])&gt;0,IF(April[[#This Row],[Date]]&gt;14,"Yes","No"),"N/A")</f>
        <v>N/A</v>
      </c>
      <c r="P45" s="55"/>
      <c r="Q45" s="5">
        <f>Relay!A44</f>
        <v>0</v>
      </c>
      <c r="R45" s="5">
        <f>Relay!B44</f>
        <v>43</v>
      </c>
      <c r="S45" s="8">
        <f>IF(April[After the 14th?]="No",SUMIF(April[SysID],R45,April[Pay Amount]),0)+IF(March[After the 14th?]="Yes",SUMIF(March[SysID],R45,March[Pay Amount]),0)</f>
        <v>0</v>
      </c>
      <c r="T45" s="8"/>
      <c r="U45" s="5" t="str">
        <f t="shared" si="2"/>
        <v>N</v>
      </c>
      <c r="X45" s="56"/>
      <c r="Y45" s="56"/>
      <c r="Z45" s="56"/>
      <c r="AA45" s="56"/>
      <c r="AC45" s="56"/>
    </row>
    <row r="46" spans="1:29" x14ac:dyDescent="0.25">
      <c r="A46" s="35"/>
      <c r="B46" s="5" t="e">
        <f>VLOOKUP(A46,Relay!$A$1:$B$50,2,FALSE)</f>
        <v>#N/A</v>
      </c>
      <c r="C46" s="5" t="e">
        <f>VLOOKUP(A46,Relay!$A$2:$C$51,3,FALSE)</f>
        <v>#N/A</v>
      </c>
      <c r="D46" s="39"/>
      <c r="E46" s="35"/>
      <c r="F46" s="35" t="str">
        <f t="shared" si="0"/>
        <v>INS</v>
      </c>
      <c r="G46" s="5" t="e">
        <f>IF(OR(E46="Jeopardy",E46="APP Moonlighting",E46="Differential Pay"),"",April[[#This Row],[SysID]])</f>
        <v>#N/A</v>
      </c>
      <c r="H46" s="5" t="e">
        <f>IF(E46="Jeopardy",IF(C46="MD",Relay!$E$7,Relay!$E$8),IF(C46="MD",IF(COUNTIF(G:G,B46)&gt;1,Relay!$E$2,Relay!$E$1),IF(AND(COUNTIF(G:G,B46)&gt;1,COUNTA(A46)&gt;0),Relay!$E$5,Relay!$E$4)))</f>
        <v>#N/A</v>
      </c>
      <c r="I46" s="8">
        <f t="shared" si="1"/>
        <v>0</v>
      </c>
      <c r="J46" s="35"/>
      <c r="K46" s="35"/>
      <c r="L46" s="35"/>
      <c r="M46" s="35"/>
      <c r="N46" s="10" t="e">
        <f>IF(H46=April!$E$2,"N",IF(AND(COUNTIF(B:B,B46)=1,D46&gt;14),"Y","N"))</f>
        <v>#N/A</v>
      </c>
      <c r="O46" s="55" t="str">
        <f>IF(COUNT(April[[#This Row],[Date]])&gt;0,IF(April[[#This Row],[Date]]&gt;14,"Yes","No"),"N/A")</f>
        <v>N/A</v>
      </c>
      <c r="P46" s="55"/>
      <c r="Q46" s="5">
        <f>Relay!A45</f>
        <v>0</v>
      </c>
      <c r="R46" s="5">
        <f>Relay!B45</f>
        <v>44</v>
      </c>
      <c r="S46" s="8">
        <f>IF(April[After the 14th?]="No",SUMIF(April[SysID],R46,April[Pay Amount]),0)+IF(March[After the 14th?]="Yes",SUMIF(March[SysID],R46,March[Pay Amount]),0)</f>
        <v>0</v>
      </c>
      <c r="T46" s="8"/>
      <c r="U46" s="5" t="str">
        <f t="shared" si="2"/>
        <v>N</v>
      </c>
      <c r="X46" s="56"/>
      <c r="Y46" s="56"/>
      <c r="Z46" s="56"/>
      <c r="AA46" s="56"/>
      <c r="AC46" s="56"/>
    </row>
    <row r="47" spans="1:29" x14ac:dyDescent="0.25">
      <c r="A47" s="35"/>
      <c r="B47" s="5" t="e">
        <f>VLOOKUP(A47,Relay!$A$1:$B$50,2,FALSE)</f>
        <v>#N/A</v>
      </c>
      <c r="C47" s="5" t="e">
        <f>VLOOKUP(A47,Relay!$A$2:$C$51,3,FALSE)</f>
        <v>#N/A</v>
      </c>
      <c r="D47" s="39"/>
      <c r="E47" s="35"/>
      <c r="F47" s="35" t="str">
        <f t="shared" si="0"/>
        <v>INS</v>
      </c>
      <c r="G47" s="5" t="e">
        <f>IF(OR(E47="Jeopardy",E47="APP Moonlighting",E47="Differential Pay"),"",April[[#This Row],[SysID]])</f>
        <v>#N/A</v>
      </c>
      <c r="H47" s="5" t="e">
        <f>IF(E47="Jeopardy",IF(C47="MD",Relay!$E$7,Relay!$E$8),IF(C47="MD",IF(COUNTIF(G:G,B47)&gt;1,Relay!$E$2,Relay!$E$1),IF(AND(COUNTIF(G:G,B47)&gt;1,COUNTA(A47)&gt;0),Relay!$E$5,Relay!$E$4)))</f>
        <v>#N/A</v>
      </c>
      <c r="I47" s="8">
        <f t="shared" si="1"/>
        <v>0</v>
      </c>
      <c r="J47" s="35"/>
      <c r="K47" s="35"/>
      <c r="L47" s="35"/>
      <c r="M47" s="35"/>
      <c r="N47" s="10" t="e">
        <f>IF(H47=April!$E$2,"N",IF(AND(COUNTIF(B:B,B47)=1,D47&gt;14),"Y","N"))</f>
        <v>#N/A</v>
      </c>
      <c r="O47" s="55" t="str">
        <f>IF(COUNT(April[[#This Row],[Date]])&gt;0,IF(April[[#This Row],[Date]]&gt;14,"Yes","No"),"N/A")</f>
        <v>N/A</v>
      </c>
      <c r="P47" s="55"/>
      <c r="Q47" s="5">
        <f>Relay!A46</f>
        <v>0</v>
      </c>
      <c r="R47" s="5">
        <f>Relay!B46</f>
        <v>45</v>
      </c>
      <c r="S47" s="8">
        <f>IF(April[After the 14th?]="No",SUMIF(April[SysID],R47,April[Pay Amount]),0)+IF(March[After the 14th?]="Yes",SUMIF(March[SysID],R47,March[Pay Amount]),0)</f>
        <v>0</v>
      </c>
      <c r="T47" s="8"/>
      <c r="U47" s="5" t="str">
        <f t="shared" si="2"/>
        <v>N</v>
      </c>
      <c r="X47" s="56"/>
      <c r="Y47" s="56"/>
      <c r="Z47" s="56"/>
      <c r="AA47" s="56"/>
      <c r="AC47" s="56"/>
    </row>
    <row r="48" spans="1:29" x14ac:dyDescent="0.25">
      <c r="A48" s="35"/>
      <c r="B48" s="5" t="e">
        <f>VLOOKUP(A48,Relay!$A$1:$B$50,2,FALSE)</f>
        <v>#N/A</v>
      </c>
      <c r="C48" s="5" t="e">
        <f>VLOOKUP(A48,Relay!$A$2:$C$51,3,FALSE)</f>
        <v>#N/A</v>
      </c>
      <c r="D48" s="39"/>
      <c r="E48" s="35"/>
      <c r="F48" s="35" t="str">
        <f t="shared" si="0"/>
        <v>INS</v>
      </c>
      <c r="G48" s="5" t="e">
        <f>IF(OR(E48="Jeopardy",E48="APP Moonlighting",E48="Differential Pay"),"",April[[#This Row],[SysID]])</f>
        <v>#N/A</v>
      </c>
      <c r="H48" s="5" t="e">
        <f>IF(E48="Jeopardy",IF(C48="MD",Relay!$E$7,Relay!$E$8),IF(C48="MD",IF(COUNTIF(G:G,B48)&gt;1,Relay!$E$2,Relay!$E$1),IF(AND(COUNTIF(G:G,B48)&gt;1,COUNTA(A48)&gt;0),Relay!$E$5,Relay!$E$4)))</f>
        <v>#N/A</v>
      </c>
      <c r="I48" s="8">
        <f t="shared" si="1"/>
        <v>0</v>
      </c>
      <c r="J48" s="35"/>
      <c r="K48" s="35"/>
      <c r="L48" s="35"/>
      <c r="M48" s="35"/>
      <c r="N48" s="10" t="e">
        <f>IF(H48=April!$E$2,"N",IF(AND(COUNTIF(B:B,B48)=1,D48&gt;14),"Y","N"))</f>
        <v>#N/A</v>
      </c>
      <c r="O48" s="55" t="str">
        <f>IF(COUNT(April[[#This Row],[Date]])&gt;0,IF(April[[#This Row],[Date]]&gt;14,"Yes","No"),"N/A")</f>
        <v>N/A</v>
      </c>
      <c r="P48" s="55"/>
      <c r="Q48" s="5">
        <f>Relay!A47</f>
        <v>0</v>
      </c>
      <c r="R48" s="5">
        <f>Relay!B47</f>
        <v>46</v>
      </c>
      <c r="S48" s="8">
        <f>IF(April[After the 14th?]="No",SUMIF(April[SysID],R48,April[Pay Amount]),0)+IF(March[After the 14th?]="Yes",SUMIF(March[SysID],R48,March[Pay Amount]),0)</f>
        <v>0</v>
      </c>
      <c r="T48" s="8"/>
      <c r="U48" s="5" t="str">
        <f t="shared" si="2"/>
        <v>N</v>
      </c>
      <c r="X48" s="56"/>
      <c r="Y48" s="56"/>
      <c r="Z48" s="56"/>
      <c r="AA48" s="56"/>
      <c r="AC48" s="56"/>
    </row>
    <row r="49" spans="1:29" x14ac:dyDescent="0.25">
      <c r="A49" s="35"/>
      <c r="B49" s="5" t="e">
        <f>VLOOKUP(A49,Relay!$A$1:$B$50,2,FALSE)</f>
        <v>#N/A</v>
      </c>
      <c r="C49" s="5" t="e">
        <f>VLOOKUP(A49,Relay!$A$2:$C$51,3,FALSE)</f>
        <v>#N/A</v>
      </c>
      <c r="D49" s="39"/>
      <c r="E49" s="35"/>
      <c r="F49" s="35" t="str">
        <f t="shared" si="0"/>
        <v>INS</v>
      </c>
      <c r="G49" s="5" t="e">
        <f>IF(OR(E49="Jeopardy",E49="APP Moonlighting",E49="Differential Pay"),"",April[[#This Row],[SysID]])</f>
        <v>#N/A</v>
      </c>
      <c r="H49" s="5" t="e">
        <f>IF(E49="Jeopardy",IF(C49="MD",Relay!$E$7,Relay!$E$8),IF(C49="MD",IF(COUNTIF(G:G,B49)&gt;1,Relay!$E$2,Relay!$E$1),IF(AND(COUNTIF(G:G,B49)&gt;1,COUNTA(A49)&gt;0),Relay!$E$5,Relay!$E$4)))</f>
        <v>#N/A</v>
      </c>
      <c r="I49" s="8">
        <f t="shared" si="1"/>
        <v>0</v>
      </c>
      <c r="J49" s="35"/>
      <c r="K49" s="35"/>
      <c r="L49" s="35"/>
      <c r="M49" s="35"/>
      <c r="N49" s="10" t="e">
        <f>IF(H49=April!$E$2,"N",IF(AND(COUNTIF(B:B,B49)=1,D49&gt;14),"Y","N"))</f>
        <v>#N/A</v>
      </c>
      <c r="O49" s="55" t="str">
        <f>IF(COUNT(April[[#This Row],[Date]])&gt;0,IF(April[[#This Row],[Date]]&gt;14,"Yes","No"),"N/A")</f>
        <v>N/A</v>
      </c>
      <c r="P49" s="55"/>
      <c r="Q49" s="5">
        <f>Relay!A48</f>
        <v>0</v>
      </c>
      <c r="R49" s="5">
        <f>Relay!B48</f>
        <v>47</v>
      </c>
      <c r="S49" s="8">
        <f>IF(April[After the 14th?]="No",SUMIF(April[SysID],R49,April[Pay Amount]),0)+IF(March[After the 14th?]="Yes",SUMIF(March[SysID],R49,March[Pay Amount]),0)</f>
        <v>0</v>
      </c>
      <c r="T49" s="8"/>
      <c r="U49" s="5" t="str">
        <f t="shared" si="2"/>
        <v>N</v>
      </c>
      <c r="X49" s="56"/>
      <c r="Y49" s="56"/>
      <c r="Z49" s="56"/>
      <c r="AA49" s="56"/>
      <c r="AC49" s="56"/>
    </row>
    <row r="50" spans="1:29" x14ac:dyDescent="0.25">
      <c r="A50" s="35"/>
      <c r="B50" s="5" t="e">
        <f>VLOOKUP(A50,Relay!$A$1:$B$50,2,FALSE)</f>
        <v>#N/A</v>
      </c>
      <c r="C50" s="5" t="e">
        <f>VLOOKUP(A50,Relay!$A$2:$C$51,3,FALSE)</f>
        <v>#N/A</v>
      </c>
      <c r="D50" s="39"/>
      <c r="E50" s="35"/>
      <c r="F50" s="35" t="str">
        <f t="shared" si="0"/>
        <v>INS</v>
      </c>
      <c r="G50" s="5" t="e">
        <f>IF(OR(E50="Jeopardy",E50="APP Moonlighting",E50="Differential Pay"),"",April[[#This Row],[SysID]])</f>
        <v>#N/A</v>
      </c>
      <c r="H50" s="5" t="e">
        <f>IF(E50="Jeopardy",IF(C50="MD",Relay!$E$7,Relay!$E$8),IF(C50="MD",IF(COUNTIF(G:G,B50)&gt;1,Relay!$E$2,Relay!$E$1),IF(AND(COUNTIF(G:G,B50)&gt;1,COUNTA(A50)&gt;0),Relay!$E$5,Relay!$E$4)))</f>
        <v>#N/A</v>
      </c>
      <c r="I50" s="8">
        <f t="shared" si="1"/>
        <v>0</v>
      </c>
      <c r="J50" s="35"/>
      <c r="K50" s="35"/>
      <c r="L50" s="35"/>
      <c r="M50" s="35"/>
      <c r="N50" s="10" t="e">
        <f>IF(H50=April!$E$2,"N",IF(AND(COUNTIF(B:B,B50)=1,D50&gt;14),"Y","N"))</f>
        <v>#N/A</v>
      </c>
      <c r="O50" s="55" t="str">
        <f>IF(COUNT(April[[#This Row],[Date]])&gt;0,IF(April[[#This Row],[Date]]&gt;14,"Yes","No"),"N/A")</f>
        <v>N/A</v>
      </c>
      <c r="P50" s="55"/>
      <c r="Q50" s="5">
        <f>Relay!A49</f>
        <v>0</v>
      </c>
      <c r="R50" s="5">
        <f>Relay!B49</f>
        <v>48</v>
      </c>
      <c r="S50" s="8">
        <f>IF(April[After the 14th?]="No",SUMIF(April[SysID],R50,April[Pay Amount]),0)+IF(March[After the 14th?]="Yes",SUMIF(March[SysID],R50,March[Pay Amount]),0)</f>
        <v>0</v>
      </c>
      <c r="T50" s="8"/>
      <c r="U50" s="5" t="str">
        <f t="shared" si="2"/>
        <v>N</v>
      </c>
      <c r="X50" s="56"/>
      <c r="Y50" s="56"/>
      <c r="Z50" s="56"/>
      <c r="AA50" s="56"/>
      <c r="AC50" s="56"/>
    </row>
    <row r="51" spans="1:29" x14ac:dyDescent="0.25">
      <c r="A51" s="35"/>
      <c r="B51" s="32" t="e">
        <f>VLOOKUP(A51,Relay!$A$1:$B$50,2,FALSE)</f>
        <v>#N/A</v>
      </c>
      <c r="C51" s="32" t="e">
        <f>VLOOKUP(A51,Relay!$A$2:$C$101,3,FALSE)</f>
        <v>#N/A</v>
      </c>
      <c r="D51" s="39"/>
      <c r="E51" s="35"/>
      <c r="F51" s="58" t="str">
        <f t="shared" si="0"/>
        <v>INS</v>
      </c>
      <c r="G51" s="32" t="e">
        <f>IF(OR(E51="Jeopardy",E51="APP Moonlighting",E51="Differential Pay"),"",April[[#This Row],[SysID]])</f>
        <v>#N/A</v>
      </c>
      <c r="H51" s="32" t="e">
        <f>IF(E51="Jeopardy",IF(C51="MD",Relay!$E$7,Relay!$E$8),IF(C51="MD",IF(COUNTIF(G:G,B51)&gt;1,Relay!$E$2,Relay!$E$1),IF(AND(COUNTIF(G:G,B51)&gt;1,COUNTA(A51)&gt;0),Relay!$E$5,Relay!$E$4)))</f>
        <v>#N/A</v>
      </c>
      <c r="I51" s="8">
        <f t="shared" si="1"/>
        <v>0</v>
      </c>
      <c r="J51" s="35"/>
      <c r="K51" s="35"/>
      <c r="L51" s="35"/>
      <c r="M51" s="35"/>
      <c r="N51" s="32" t="e">
        <f>IF(H51=April!$E$2,"N",IF(AND(COUNTIF(B:B,B51)=1,D51&gt;14),"Y","N"))</f>
        <v>#N/A</v>
      </c>
      <c r="O51" s="55" t="str">
        <f>IF(COUNT(April[[#This Row],[Date]])&gt;0,IF(April[[#This Row],[Date]]&gt;14,"Yes","No"),"N/A")</f>
        <v>N/A</v>
      </c>
      <c r="P51" s="55"/>
      <c r="Q51" s="5">
        <f>Relay!A50</f>
        <v>0</v>
      </c>
      <c r="R51" s="5">
        <f>Relay!B50</f>
        <v>49</v>
      </c>
      <c r="S51" s="8">
        <f>IF(April[After the 14th?]="No",SUMIF(April[SysID],R51,April[Pay Amount]),0)+IF(March[After the 14th?]="Yes",SUMIF(March[SysID],R51,March[Pay Amount]),0)</f>
        <v>0</v>
      </c>
      <c r="T51" s="8"/>
      <c r="U51" s="5" t="str">
        <f t="shared" si="2"/>
        <v>N</v>
      </c>
      <c r="X51" s="56"/>
      <c r="Y51" s="56"/>
      <c r="Z51" s="56"/>
      <c r="AA51" s="56"/>
      <c r="AC51" s="56"/>
    </row>
    <row r="52" spans="1:29" x14ac:dyDescent="0.25">
      <c r="A52" s="35"/>
      <c r="B52" s="32" t="e">
        <f>VLOOKUP(A52,Relay!$A$1:$B$50,2,FALSE)</f>
        <v>#N/A</v>
      </c>
      <c r="C52" s="32" t="e">
        <f>VLOOKUP(A52,Relay!$A$2:$C$101,3,FALSE)</f>
        <v>#N/A</v>
      </c>
      <c r="D52" s="39"/>
      <c r="E52" s="35"/>
      <c r="F52" s="58" t="str">
        <f t="shared" si="0"/>
        <v>INS</v>
      </c>
      <c r="G52" s="32" t="e">
        <f>IF(OR(E52="Jeopardy",E52="APP Moonlighting",E52="Differential Pay"),"",April[[#This Row],[SysID]])</f>
        <v>#N/A</v>
      </c>
      <c r="H52" s="32" t="e">
        <f>IF(E52="Jeopardy",IF(C52="MD",Relay!$E$7,Relay!$E$8),IF(C52="MD",IF(COUNTIF(G:G,B52)&gt;1,Relay!$E$2,Relay!$E$1),IF(AND(COUNTIF(G:G,B52)&gt;1,COUNTA(A52)&gt;0),Relay!$E$5,Relay!$E$4)))</f>
        <v>#N/A</v>
      </c>
      <c r="I52" s="8">
        <f t="shared" si="1"/>
        <v>0</v>
      </c>
      <c r="J52" s="35"/>
      <c r="K52" s="35"/>
      <c r="L52" s="35"/>
      <c r="M52" s="35"/>
      <c r="N52" s="32" t="e">
        <f>IF(H52=April!$E$2,"N",IF(AND(COUNTIF(B:B,B52)=1,D52&gt;14),"Y","N"))</f>
        <v>#N/A</v>
      </c>
      <c r="O52" s="55" t="str">
        <f>IF(COUNT(April[[#This Row],[Date]])&gt;0,IF(April[[#This Row],[Date]]&gt;14,"Yes","No"),"N/A")</f>
        <v>N/A</v>
      </c>
      <c r="P52" s="55"/>
      <c r="Q52" s="5">
        <f>Relay!A51</f>
        <v>0</v>
      </c>
      <c r="R52" s="5">
        <f>Relay!B51</f>
        <v>50</v>
      </c>
      <c r="S52" s="8">
        <f>IF(April[After the 14th?]="No",SUMIF(April[SysID],R52,April[Pay Amount]),0)+IF(March[After the 14th?]="Yes",SUMIF(March[SysID],R52,March[Pay Amount]),0)</f>
        <v>0</v>
      </c>
      <c r="T52" s="8"/>
      <c r="U52" s="5" t="str">
        <f t="shared" si="2"/>
        <v>N</v>
      </c>
      <c r="X52" s="56"/>
      <c r="Y52" s="56"/>
      <c r="Z52" s="56"/>
      <c r="AA52" s="56"/>
      <c r="AC52" s="56"/>
    </row>
    <row r="53" spans="1:29" x14ac:dyDescent="0.25">
      <c r="A53" s="35"/>
      <c r="B53" s="32" t="e">
        <f>VLOOKUP(A53,Relay!$A$1:$B$50,2,FALSE)</f>
        <v>#N/A</v>
      </c>
      <c r="C53" s="32" t="e">
        <f>VLOOKUP(A53,Relay!$A$2:$C$101,3,FALSE)</f>
        <v>#N/A</v>
      </c>
      <c r="D53" s="39"/>
      <c r="E53" s="35"/>
      <c r="F53" s="58" t="str">
        <f t="shared" si="0"/>
        <v>INS</v>
      </c>
      <c r="G53" s="32" t="e">
        <f>IF(OR(E53="Jeopardy",E53="APP Moonlighting",E53="Differential Pay"),"",April[[#This Row],[SysID]])</f>
        <v>#N/A</v>
      </c>
      <c r="H53" s="32" t="e">
        <f>IF(E53="Jeopardy",IF(C53="MD",Relay!$E$7,Relay!$E$8),IF(C53="MD",IF(COUNTIF(G:G,B53)&gt;1,Relay!$E$2,Relay!$E$1),IF(AND(COUNTIF(G:G,B53)&gt;1,COUNTA(A53)&gt;0),Relay!$E$5,Relay!$E$4)))</f>
        <v>#N/A</v>
      </c>
      <c r="I53" s="8">
        <f t="shared" si="1"/>
        <v>0</v>
      </c>
      <c r="J53" s="35"/>
      <c r="K53" s="35"/>
      <c r="L53" s="35"/>
      <c r="M53" s="35"/>
      <c r="N53" s="32" t="e">
        <f>IF(H53=April!$E$2,"N",IF(AND(COUNTIF(B:B,B53)=1,D53&gt;14),"Y","N"))</f>
        <v>#N/A</v>
      </c>
      <c r="O53" s="55" t="str">
        <f>IF(COUNT(April[[#This Row],[Date]])&gt;0,IF(April[[#This Row],[Date]]&gt;14,"Yes","No"),"N/A")</f>
        <v>N/A</v>
      </c>
      <c r="P53" s="55"/>
      <c r="Q53" s="5">
        <f>Relay!A52</f>
        <v>0</v>
      </c>
      <c r="R53" s="5">
        <f>Relay!B52</f>
        <v>51</v>
      </c>
      <c r="S53" s="8">
        <f>IF(April[After the 14th?]="No",SUMIF(April[SysID],R53,April[Pay Amount]),0)+IF(March[After the 14th?]="Yes",SUMIF(March[SysID],R53,March[Pay Amount]),0)</f>
        <v>0</v>
      </c>
      <c r="T53" s="8"/>
      <c r="U53" s="5" t="str">
        <f t="shared" si="2"/>
        <v>N</v>
      </c>
      <c r="X53" s="56"/>
      <c r="Y53" s="56"/>
      <c r="Z53" s="56"/>
      <c r="AA53" s="56"/>
      <c r="AC53" s="56"/>
    </row>
    <row r="54" spans="1:29" x14ac:dyDescent="0.25">
      <c r="A54" s="35"/>
      <c r="B54" s="32" t="e">
        <f>VLOOKUP(A54,Relay!$A$1:$B$50,2,FALSE)</f>
        <v>#N/A</v>
      </c>
      <c r="C54" s="32" t="e">
        <f>VLOOKUP(A54,Relay!$A$2:$C$101,3,FALSE)</f>
        <v>#N/A</v>
      </c>
      <c r="D54" s="39"/>
      <c r="E54" s="35"/>
      <c r="F54" s="58" t="str">
        <f t="shared" si="0"/>
        <v>INS</v>
      </c>
      <c r="G54" s="32" t="e">
        <f>IF(OR(E54="Jeopardy",E54="APP Moonlighting",E54="Differential Pay"),"",April[[#This Row],[SysID]])</f>
        <v>#N/A</v>
      </c>
      <c r="H54" s="32" t="e">
        <f>IF(E54="Jeopardy",IF(C54="MD",Relay!$E$7,Relay!$E$8),IF(C54="MD",IF(COUNTIF(G:G,B54)&gt;1,Relay!$E$2,Relay!$E$1),IF(AND(COUNTIF(G:G,B54)&gt;1,COUNTA(A54)&gt;0),Relay!$E$5,Relay!$E$4)))</f>
        <v>#N/A</v>
      </c>
      <c r="I54" s="8">
        <f t="shared" si="1"/>
        <v>0</v>
      </c>
      <c r="J54" s="35"/>
      <c r="K54" s="35"/>
      <c r="L54" s="35"/>
      <c r="M54" s="35"/>
      <c r="N54" s="32" t="e">
        <f>IF(H54=April!$E$2,"N",IF(AND(COUNTIF(B:B,B54)=1,D54&gt;14),"Y","N"))</f>
        <v>#N/A</v>
      </c>
      <c r="O54" s="55" t="str">
        <f>IF(COUNT(April[[#This Row],[Date]])&gt;0,IF(April[[#This Row],[Date]]&gt;14,"Yes","No"),"N/A")</f>
        <v>N/A</v>
      </c>
      <c r="P54" s="55"/>
      <c r="Q54" s="5">
        <f>Relay!A53</f>
        <v>0</v>
      </c>
      <c r="R54" s="5">
        <f>Relay!B53</f>
        <v>52</v>
      </c>
      <c r="S54" s="8">
        <f>IF(April[After the 14th?]="No",SUMIF(April[SysID],R54,April[Pay Amount]),0)+IF(March[After the 14th?]="Yes",SUMIF(March[SysID],R54,March[Pay Amount]),0)</f>
        <v>0</v>
      </c>
      <c r="T54" s="8"/>
      <c r="U54" s="5" t="str">
        <f t="shared" si="2"/>
        <v>N</v>
      </c>
      <c r="X54" s="56"/>
      <c r="Y54" s="56"/>
      <c r="Z54" s="56"/>
      <c r="AA54" s="56"/>
      <c r="AC54" s="56"/>
    </row>
    <row r="55" spans="1:29" x14ac:dyDescent="0.25">
      <c r="A55" s="35"/>
      <c r="B55" s="32" t="e">
        <f>VLOOKUP(A55,Relay!$A$1:$B$50,2,FALSE)</f>
        <v>#N/A</v>
      </c>
      <c r="C55" s="32" t="e">
        <f>VLOOKUP(A55,Relay!$A$2:$C$101,3,FALSE)</f>
        <v>#N/A</v>
      </c>
      <c r="D55" s="39"/>
      <c r="E55" s="35"/>
      <c r="F55" s="58" t="str">
        <f t="shared" si="0"/>
        <v>INS</v>
      </c>
      <c r="G55" s="32" t="e">
        <f>IF(OR(E55="Jeopardy",E55="APP Moonlighting",E55="Differential Pay"),"",April[[#This Row],[SysID]])</f>
        <v>#N/A</v>
      </c>
      <c r="H55" s="32" t="e">
        <f>IF(E55="Jeopardy",IF(C55="MD",Relay!$E$7,Relay!$E$8),IF(C55="MD",IF(COUNTIF(G:G,B55)&gt;1,Relay!$E$2,Relay!$E$1),IF(AND(COUNTIF(G:G,B55)&gt;1,COUNTA(A55)&gt;0),Relay!$E$5,Relay!$E$4)))</f>
        <v>#N/A</v>
      </c>
      <c r="I55" s="8">
        <f t="shared" si="1"/>
        <v>0</v>
      </c>
      <c r="J55" s="35"/>
      <c r="K55" s="35"/>
      <c r="L55" s="35"/>
      <c r="M55" s="35"/>
      <c r="N55" s="32" t="e">
        <f>IF(H55=April!$E$2,"N",IF(AND(COUNTIF(B:B,B55)=1,D55&gt;14),"Y","N"))</f>
        <v>#N/A</v>
      </c>
      <c r="O55" s="55" t="str">
        <f>IF(COUNT(April[[#This Row],[Date]])&gt;0,IF(April[[#This Row],[Date]]&gt;14,"Yes","No"),"N/A")</f>
        <v>N/A</v>
      </c>
      <c r="P55" s="55"/>
      <c r="Q55" s="5">
        <f>Relay!A54</f>
        <v>0</v>
      </c>
      <c r="R55" s="5">
        <f>Relay!B54</f>
        <v>53</v>
      </c>
      <c r="S55" s="8">
        <f>IF(April[After the 14th?]="No",SUMIF(April[SysID],R55,April[Pay Amount]),0)+IF(March[After the 14th?]="Yes",SUMIF(March[SysID],R55,March[Pay Amount]),0)</f>
        <v>0</v>
      </c>
      <c r="T55" s="8"/>
      <c r="U55" s="5" t="str">
        <f t="shared" si="2"/>
        <v>N</v>
      </c>
      <c r="X55" s="56"/>
      <c r="Y55" s="56"/>
      <c r="Z55" s="56"/>
      <c r="AA55" s="56"/>
      <c r="AC55" s="56"/>
    </row>
    <row r="56" spans="1:29" x14ac:dyDescent="0.25">
      <c r="A56" s="35"/>
      <c r="B56" s="32" t="e">
        <f>VLOOKUP(A56,Relay!$A$1:$B$50,2,FALSE)</f>
        <v>#N/A</v>
      </c>
      <c r="C56" s="32" t="e">
        <f>VLOOKUP(A56,Relay!$A$2:$C$101,3,FALSE)</f>
        <v>#N/A</v>
      </c>
      <c r="D56" s="39"/>
      <c r="E56" s="35"/>
      <c r="F56" s="58" t="str">
        <f t="shared" si="0"/>
        <v>INS</v>
      </c>
      <c r="G56" s="32" t="e">
        <f>IF(OR(E56="Jeopardy",E56="APP Moonlighting",E56="Differential Pay"),"",April[[#This Row],[SysID]])</f>
        <v>#N/A</v>
      </c>
      <c r="H56" s="32" t="e">
        <f>IF(E56="Jeopardy",IF(C56="MD",Relay!$E$7,Relay!$E$8),IF(C56="MD",IF(COUNTIF(G:G,B56)&gt;1,Relay!$E$2,Relay!$E$1),IF(AND(COUNTIF(G:G,B56)&gt;1,COUNTA(A56)&gt;0),Relay!$E$5,Relay!$E$4)))</f>
        <v>#N/A</v>
      </c>
      <c r="I56" s="8">
        <f t="shared" si="1"/>
        <v>0</v>
      </c>
      <c r="J56" s="35"/>
      <c r="K56" s="35"/>
      <c r="L56" s="35"/>
      <c r="M56" s="35"/>
      <c r="N56" s="32" t="e">
        <f>IF(H56=April!$E$2,"N",IF(AND(COUNTIF(B:B,B56)=1,D56&gt;14),"Y","N"))</f>
        <v>#N/A</v>
      </c>
      <c r="O56" s="55" t="str">
        <f>IF(COUNT(April[[#This Row],[Date]])&gt;0,IF(April[[#This Row],[Date]]&gt;14,"Yes","No"),"N/A")</f>
        <v>N/A</v>
      </c>
      <c r="P56" s="55"/>
      <c r="Q56" s="5">
        <f>Relay!A55</f>
        <v>0</v>
      </c>
      <c r="R56" s="5">
        <f>Relay!B55</f>
        <v>54</v>
      </c>
      <c r="S56" s="8">
        <f>IF(April[After the 14th?]="No",SUMIF(April[SysID],R56,April[Pay Amount]),0)+IF(March[After the 14th?]="Yes",SUMIF(March[SysID],R56,March[Pay Amount]),0)</f>
        <v>0</v>
      </c>
      <c r="T56" s="8"/>
      <c r="U56" s="5" t="str">
        <f t="shared" si="2"/>
        <v>N</v>
      </c>
      <c r="X56" s="56"/>
      <c r="Y56" s="56"/>
      <c r="Z56" s="56"/>
      <c r="AA56" s="56"/>
      <c r="AC56" s="56"/>
    </row>
    <row r="57" spans="1:29" x14ac:dyDescent="0.25">
      <c r="A57" s="35"/>
      <c r="B57" s="32" t="e">
        <f>VLOOKUP(A57,Relay!$A$1:$B$50,2,FALSE)</f>
        <v>#N/A</v>
      </c>
      <c r="C57" s="32" t="e">
        <f>VLOOKUP(A57,Relay!$A$2:$C$101,3,FALSE)</f>
        <v>#N/A</v>
      </c>
      <c r="D57" s="39"/>
      <c r="E57" s="35"/>
      <c r="F57" s="58" t="str">
        <f t="shared" si="0"/>
        <v>INS</v>
      </c>
      <c r="G57" s="32" t="e">
        <f>IF(OR(E57="Jeopardy",E57="APP Moonlighting",E57="Differential Pay"),"",April[[#This Row],[SysID]])</f>
        <v>#N/A</v>
      </c>
      <c r="H57" s="32" t="e">
        <f>IF(E57="Jeopardy",IF(C57="MD",Relay!$E$7,Relay!$E$8),IF(C57="MD",IF(COUNTIF(G:G,B57)&gt;1,Relay!$E$2,Relay!$E$1),IF(AND(COUNTIF(G:G,B57)&gt;1,COUNTA(A57)&gt;0),Relay!$E$5,Relay!$E$4)))</f>
        <v>#N/A</v>
      </c>
      <c r="I57" s="8">
        <f t="shared" si="1"/>
        <v>0</v>
      </c>
      <c r="J57" s="35"/>
      <c r="K57" s="35"/>
      <c r="L57" s="35"/>
      <c r="M57" s="35"/>
      <c r="N57" s="32" t="e">
        <f>IF(H57=April!$E$2,"N",IF(AND(COUNTIF(B:B,B57)=1,D57&gt;14),"Y","N"))</f>
        <v>#N/A</v>
      </c>
      <c r="O57" s="55" t="str">
        <f>IF(COUNT(April[[#This Row],[Date]])&gt;0,IF(April[[#This Row],[Date]]&gt;14,"Yes","No"),"N/A")</f>
        <v>N/A</v>
      </c>
      <c r="P57" s="55"/>
      <c r="Q57" s="5">
        <f>Relay!A56</f>
        <v>0</v>
      </c>
      <c r="R57" s="5">
        <f>Relay!B56</f>
        <v>55</v>
      </c>
      <c r="S57" s="8">
        <f>IF(April[After the 14th?]="No",SUMIF(April[SysID],R57,April[Pay Amount]),0)+IF(March[After the 14th?]="Yes",SUMIF(March[SysID],R57,March[Pay Amount]),0)</f>
        <v>0</v>
      </c>
      <c r="T57" s="8"/>
      <c r="U57" s="5" t="str">
        <f t="shared" si="2"/>
        <v>N</v>
      </c>
      <c r="X57" s="56"/>
      <c r="Y57" s="56"/>
      <c r="Z57" s="56"/>
      <c r="AA57" s="56"/>
      <c r="AC57" s="56"/>
    </row>
    <row r="58" spans="1:29" x14ac:dyDescent="0.25">
      <c r="A58" s="35"/>
      <c r="B58" s="32" t="e">
        <f>VLOOKUP(A58,Relay!$A$1:$B$50,2,FALSE)</f>
        <v>#N/A</v>
      </c>
      <c r="C58" s="32" t="e">
        <f>VLOOKUP(A58,Relay!$A$2:$C$101,3,FALSE)</f>
        <v>#N/A</v>
      </c>
      <c r="D58" s="39"/>
      <c r="E58" s="35"/>
      <c r="F58" s="58" t="str">
        <f t="shared" si="0"/>
        <v>INS</v>
      </c>
      <c r="G58" s="32" t="e">
        <f>IF(OR(E58="Jeopardy",E58="APP Moonlighting",E58="Differential Pay"),"",April[[#This Row],[SysID]])</f>
        <v>#N/A</v>
      </c>
      <c r="H58" s="32" t="e">
        <f>IF(E58="Jeopardy",IF(C58="MD",Relay!$E$7,Relay!$E$8),IF(C58="MD",IF(COUNTIF(G:G,B58)&gt;1,Relay!$E$2,Relay!$E$1),IF(AND(COUNTIF(G:G,B58)&gt;1,COUNTA(A58)&gt;0),Relay!$E$5,Relay!$E$4)))</f>
        <v>#N/A</v>
      </c>
      <c r="I58" s="8">
        <f t="shared" si="1"/>
        <v>0</v>
      </c>
      <c r="J58" s="35"/>
      <c r="K58" s="35"/>
      <c r="L58" s="35"/>
      <c r="M58" s="35"/>
      <c r="N58" s="32" t="e">
        <f>IF(H58=April!$E$2,"N",IF(AND(COUNTIF(B:B,B58)=1,D58&gt;14),"Y","N"))</f>
        <v>#N/A</v>
      </c>
      <c r="O58" s="55" t="str">
        <f>IF(COUNT(April[[#This Row],[Date]])&gt;0,IF(April[[#This Row],[Date]]&gt;14,"Yes","No"),"N/A")</f>
        <v>N/A</v>
      </c>
      <c r="P58" s="55"/>
      <c r="Q58" s="5">
        <f>Relay!A57</f>
        <v>0</v>
      </c>
      <c r="R58" s="5">
        <f>Relay!B57</f>
        <v>56</v>
      </c>
      <c r="S58" s="8">
        <f>IF(April[After the 14th?]="No",SUMIF(April[SysID],R58,April[Pay Amount]),0)+IF(March[After the 14th?]="Yes",SUMIF(March[SysID],R58,March[Pay Amount]),0)</f>
        <v>0</v>
      </c>
      <c r="T58" s="8"/>
      <c r="U58" s="5" t="str">
        <f t="shared" si="2"/>
        <v>N</v>
      </c>
      <c r="X58" s="56"/>
      <c r="Y58" s="56"/>
      <c r="Z58" s="56"/>
      <c r="AA58" s="56"/>
      <c r="AC58" s="56"/>
    </row>
    <row r="59" spans="1:29" x14ac:dyDescent="0.25">
      <c r="A59" s="35"/>
      <c r="B59" s="32" t="e">
        <f>VLOOKUP(A59,Relay!$A$1:$B$50,2,FALSE)</f>
        <v>#N/A</v>
      </c>
      <c r="C59" s="32" t="e">
        <f>VLOOKUP(A59,Relay!$A$2:$C$101,3,FALSE)</f>
        <v>#N/A</v>
      </c>
      <c r="D59" s="39"/>
      <c r="E59" s="35"/>
      <c r="F59" s="58" t="str">
        <f t="shared" si="0"/>
        <v>INS</v>
      </c>
      <c r="G59" s="32" t="e">
        <f>IF(OR(E59="Jeopardy",E59="APP Moonlighting",E59="Differential Pay"),"",April[[#This Row],[SysID]])</f>
        <v>#N/A</v>
      </c>
      <c r="H59" s="32" t="e">
        <f>IF(E59="Jeopardy",IF(C59="MD",Relay!$E$7,Relay!$E$8),IF(C59="MD",IF(COUNTIF(G:G,B59)&gt;1,Relay!$E$2,Relay!$E$1),IF(AND(COUNTIF(G:G,B59)&gt;1,COUNTA(A59)&gt;0),Relay!$E$5,Relay!$E$4)))</f>
        <v>#N/A</v>
      </c>
      <c r="I59" s="8">
        <f t="shared" si="1"/>
        <v>0</v>
      </c>
      <c r="J59" s="35"/>
      <c r="K59" s="35"/>
      <c r="L59" s="35"/>
      <c r="M59" s="35"/>
      <c r="N59" s="32" t="e">
        <f>IF(H59=April!$E$2,"N",IF(AND(COUNTIF(B:B,B59)=1,D59&gt;14),"Y","N"))</f>
        <v>#N/A</v>
      </c>
      <c r="O59" s="55" t="str">
        <f>IF(COUNT(April[[#This Row],[Date]])&gt;0,IF(April[[#This Row],[Date]]&gt;14,"Yes","No"),"N/A")</f>
        <v>N/A</v>
      </c>
      <c r="P59" s="55"/>
      <c r="Q59" s="5">
        <f>Relay!A58</f>
        <v>0</v>
      </c>
      <c r="R59" s="5">
        <f>Relay!B58</f>
        <v>57</v>
      </c>
      <c r="S59" s="8">
        <f>IF(April[After the 14th?]="No",SUMIF(April[SysID],R59,April[Pay Amount]),0)+IF(March[After the 14th?]="Yes",SUMIF(March[SysID],R59,March[Pay Amount]),0)</f>
        <v>0</v>
      </c>
      <c r="T59" s="8"/>
      <c r="U59" s="5" t="str">
        <f t="shared" si="2"/>
        <v>N</v>
      </c>
      <c r="X59" s="56"/>
      <c r="Y59" s="56"/>
      <c r="Z59" s="56"/>
      <c r="AA59" s="56"/>
      <c r="AC59" s="56"/>
    </row>
    <row r="60" spans="1:29" x14ac:dyDescent="0.25">
      <c r="A60" s="35"/>
      <c r="B60" s="32" t="e">
        <f>VLOOKUP(A60,Relay!$A$1:$B$50,2,FALSE)</f>
        <v>#N/A</v>
      </c>
      <c r="C60" s="32" t="e">
        <f>VLOOKUP(A60,Relay!$A$2:$C$101,3,FALSE)</f>
        <v>#N/A</v>
      </c>
      <c r="D60" s="39"/>
      <c r="E60" s="35"/>
      <c r="F60" s="58" t="str">
        <f t="shared" si="0"/>
        <v>INS</v>
      </c>
      <c r="G60" s="32" t="e">
        <f>IF(OR(E60="Jeopardy",E60="APP Moonlighting",E60="Differential Pay"),"",April[[#This Row],[SysID]])</f>
        <v>#N/A</v>
      </c>
      <c r="H60" s="32" t="e">
        <f>IF(E60="Jeopardy",IF(C60="MD",Relay!$E$7,Relay!$E$8),IF(C60="MD",IF(COUNTIF(G:G,B60)&gt;1,Relay!$E$2,Relay!$E$1),IF(AND(COUNTIF(G:G,B60)&gt;1,COUNTA(A60)&gt;0),Relay!$E$5,Relay!$E$4)))</f>
        <v>#N/A</v>
      </c>
      <c r="I60" s="8">
        <f t="shared" si="1"/>
        <v>0</v>
      </c>
      <c r="J60" s="35"/>
      <c r="K60" s="35"/>
      <c r="L60" s="35"/>
      <c r="M60" s="35"/>
      <c r="N60" s="32" t="e">
        <f>IF(H60=April!$E$2,"N",IF(AND(COUNTIF(B:B,B60)=1,D60&gt;14),"Y","N"))</f>
        <v>#N/A</v>
      </c>
      <c r="O60" s="55" t="str">
        <f>IF(COUNT(April[[#This Row],[Date]])&gt;0,IF(April[[#This Row],[Date]]&gt;14,"Yes","No"),"N/A")</f>
        <v>N/A</v>
      </c>
      <c r="P60" s="55"/>
      <c r="Q60" s="5">
        <f>Relay!A59</f>
        <v>0</v>
      </c>
      <c r="R60" s="5">
        <f>Relay!B59</f>
        <v>58</v>
      </c>
      <c r="S60" s="8">
        <f>IF(April[After the 14th?]="No",SUMIF(April[SysID],R60,April[Pay Amount]),0)+IF(March[After the 14th?]="Yes",SUMIF(March[SysID],R60,March[Pay Amount]),0)</f>
        <v>0</v>
      </c>
      <c r="T60" s="8"/>
      <c r="U60" s="5" t="str">
        <f t="shared" si="2"/>
        <v>N</v>
      </c>
      <c r="X60" s="56"/>
      <c r="Y60" s="56"/>
      <c r="Z60" s="56"/>
      <c r="AA60" s="56"/>
      <c r="AC60" s="56"/>
    </row>
    <row r="61" spans="1:29" x14ac:dyDescent="0.25">
      <c r="A61" s="35"/>
      <c r="B61" s="32" t="e">
        <f>VLOOKUP(A61,Relay!$A$1:$B$50,2,FALSE)</f>
        <v>#N/A</v>
      </c>
      <c r="C61" s="32" t="e">
        <f>VLOOKUP(A61,Relay!$A$2:$C$101,3,FALSE)</f>
        <v>#N/A</v>
      </c>
      <c r="D61" s="39"/>
      <c r="E61" s="35"/>
      <c r="F61" s="58" t="str">
        <f t="shared" si="0"/>
        <v>INS</v>
      </c>
      <c r="G61" s="32" t="e">
        <f>IF(OR(E61="Jeopardy",E61="APP Moonlighting",E61="Differential Pay"),"",April[[#This Row],[SysID]])</f>
        <v>#N/A</v>
      </c>
      <c r="H61" s="32" t="e">
        <f>IF(E61="Jeopardy",IF(C61="MD",Relay!$E$7,Relay!$E$8),IF(C61="MD",IF(COUNTIF(G:G,B61)&gt;1,Relay!$E$2,Relay!$E$1),IF(AND(COUNTIF(G:G,B61)&gt;1,COUNTA(A61)&gt;0),Relay!$E$5,Relay!$E$4)))</f>
        <v>#N/A</v>
      </c>
      <c r="I61" s="8">
        <f t="shared" si="1"/>
        <v>0</v>
      </c>
      <c r="J61" s="35"/>
      <c r="K61" s="35"/>
      <c r="L61" s="35"/>
      <c r="M61" s="35"/>
      <c r="N61" s="32" t="e">
        <f>IF(H61=April!$E$2,"N",IF(AND(COUNTIF(B:B,B61)=1,D61&gt;14),"Y","N"))</f>
        <v>#N/A</v>
      </c>
      <c r="O61" s="55" t="str">
        <f>IF(COUNT(April[[#This Row],[Date]])&gt;0,IF(April[[#This Row],[Date]]&gt;14,"Yes","No"),"N/A")</f>
        <v>N/A</v>
      </c>
      <c r="P61" s="55"/>
      <c r="Q61" s="5">
        <f>Relay!A60</f>
        <v>0</v>
      </c>
      <c r="R61" s="5">
        <f>Relay!B60</f>
        <v>59</v>
      </c>
      <c r="S61" s="8">
        <f>IF(April[After the 14th?]="No",SUMIF(April[SysID],R61,April[Pay Amount]),0)+IF(March[After the 14th?]="Yes",SUMIF(March[SysID],R61,March[Pay Amount]),0)</f>
        <v>0</v>
      </c>
      <c r="T61" s="8"/>
      <c r="U61" s="5" t="str">
        <f t="shared" si="2"/>
        <v>N</v>
      </c>
      <c r="X61" s="56"/>
      <c r="Y61" s="56"/>
      <c r="Z61" s="56"/>
      <c r="AA61" s="56"/>
      <c r="AC61" s="56"/>
    </row>
    <row r="62" spans="1:29" x14ac:dyDescent="0.25">
      <c r="A62" s="35"/>
      <c r="B62" s="32" t="e">
        <f>VLOOKUP(A62,Relay!$A$1:$B$50,2,FALSE)</f>
        <v>#N/A</v>
      </c>
      <c r="C62" s="32" t="e">
        <f>VLOOKUP(A62,Relay!$A$2:$C$101,3,FALSE)</f>
        <v>#N/A</v>
      </c>
      <c r="D62" s="39"/>
      <c r="E62" s="35"/>
      <c r="F62" s="58" t="str">
        <f t="shared" si="0"/>
        <v>INS</v>
      </c>
      <c r="G62" s="32" t="e">
        <f>IF(OR(E62="Jeopardy",E62="APP Moonlighting",E62="Differential Pay"),"",April[[#This Row],[SysID]])</f>
        <v>#N/A</v>
      </c>
      <c r="H62" s="32" t="e">
        <f>IF(E62="Jeopardy",IF(C62="MD",Relay!$E$7,Relay!$E$8),IF(C62="MD",IF(COUNTIF(G:G,B62)&gt;1,Relay!$E$2,Relay!$E$1),IF(AND(COUNTIF(G:G,B62)&gt;1,COUNTA(A62)&gt;0),Relay!$E$5,Relay!$E$4)))</f>
        <v>#N/A</v>
      </c>
      <c r="I62" s="8">
        <f t="shared" si="1"/>
        <v>0</v>
      </c>
      <c r="J62" s="35"/>
      <c r="K62" s="35"/>
      <c r="L62" s="35"/>
      <c r="M62" s="35"/>
      <c r="N62" s="32" t="e">
        <f>IF(H62=April!$E$2,"N",IF(AND(COUNTIF(B:B,B62)=1,D62&gt;14),"Y","N"))</f>
        <v>#N/A</v>
      </c>
      <c r="O62" s="55" t="str">
        <f>IF(COUNT(April[[#This Row],[Date]])&gt;0,IF(April[[#This Row],[Date]]&gt;14,"Yes","No"),"N/A")</f>
        <v>N/A</v>
      </c>
      <c r="P62" s="55"/>
      <c r="Q62" s="5">
        <f>Relay!A61</f>
        <v>0</v>
      </c>
      <c r="R62" s="5">
        <f>Relay!B61</f>
        <v>60</v>
      </c>
      <c r="S62" s="8">
        <f>IF(April[After the 14th?]="No",SUMIF(April[SysID],R62,April[Pay Amount]),0)+IF(March[After the 14th?]="Yes",SUMIF(March[SysID],R62,March[Pay Amount]),0)</f>
        <v>0</v>
      </c>
      <c r="T62" s="8"/>
      <c r="U62" s="5" t="str">
        <f t="shared" si="2"/>
        <v>N</v>
      </c>
      <c r="X62" s="56"/>
      <c r="Y62" s="56"/>
      <c r="Z62" s="56"/>
      <c r="AA62" s="56"/>
      <c r="AC62" s="56"/>
    </row>
    <row r="63" spans="1:29" x14ac:dyDescent="0.25">
      <c r="A63" s="35"/>
      <c r="B63" s="32" t="e">
        <f>VLOOKUP(A63,Relay!$A$1:$B$50,2,FALSE)</f>
        <v>#N/A</v>
      </c>
      <c r="C63" s="32" t="e">
        <f>VLOOKUP(A63,Relay!$A$2:$C$101,3,FALSE)</f>
        <v>#N/A</v>
      </c>
      <c r="D63" s="39"/>
      <c r="E63" s="35"/>
      <c r="F63" s="58" t="str">
        <f t="shared" si="0"/>
        <v>INS</v>
      </c>
      <c r="G63" s="32" t="e">
        <f>IF(OR(E63="Jeopardy",E63="APP Moonlighting",E63="Differential Pay"),"",April[[#This Row],[SysID]])</f>
        <v>#N/A</v>
      </c>
      <c r="H63" s="32" t="e">
        <f>IF(E63="Jeopardy",IF(C63="MD",Relay!$E$7,Relay!$E$8),IF(C63="MD",IF(COUNTIF(G:G,B63)&gt;1,Relay!$E$2,Relay!$E$1),IF(AND(COUNTIF(G:G,B63)&gt;1,COUNTA(A63)&gt;0),Relay!$E$5,Relay!$E$4)))</f>
        <v>#N/A</v>
      </c>
      <c r="I63" s="8">
        <f t="shared" si="1"/>
        <v>0</v>
      </c>
      <c r="J63" s="35"/>
      <c r="K63" s="35"/>
      <c r="L63" s="35"/>
      <c r="M63" s="35"/>
      <c r="N63" s="32" t="e">
        <f>IF(H63=April!$E$2,"N",IF(AND(COUNTIF(B:B,B63)=1,D63&gt;14),"Y","N"))</f>
        <v>#N/A</v>
      </c>
      <c r="O63" s="55" t="str">
        <f>IF(COUNT(April[[#This Row],[Date]])&gt;0,IF(April[[#This Row],[Date]]&gt;14,"Yes","No"),"N/A")</f>
        <v>N/A</v>
      </c>
      <c r="P63" s="55"/>
      <c r="Q63" s="5">
        <f>Relay!A62</f>
        <v>0</v>
      </c>
      <c r="R63" s="5">
        <f>Relay!B62</f>
        <v>61</v>
      </c>
      <c r="S63" s="8">
        <f>IF(April[After the 14th?]="No",SUMIF(April[SysID],R63,April[Pay Amount]),0)+IF(March[After the 14th?]="Yes",SUMIF(March[SysID],R63,March[Pay Amount]),0)</f>
        <v>0</v>
      </c>
      <c r="T63" s="8"/>
      <c r="U63" s="5" t="str">
        <f t="shared" si="2"/>
        <v>N</v>
      </c>
      <c r="X63" s="56"/>
      <c r="Y63" s="56"/>
      <c r="Z63" s="56"/>
      <c r="AA63" s="56"/>
      <c r="AC63" s="56"/>
    </row>
    <row r="64" spans="1:29" x14ac:dyDescent="0.25">
      <c r="A64" s="35"/>
      <c r="B64" s="32" t="e">
        <f>VLOOKUP(A64,Relay!$A$1:$B$50,2,FALSE)</f>
        <v>#N/A</v>
      </c>
      <c r="C64" s="32" t="e">
        <f>VLOOKUP(A64,Relay!$A$2:$C$101,3,FALSE)</f>
        <v>#N/A</v>
      </c>
      <c r="D64" s="39"/>
      <c r="E64" s="35"/>
      <c r="F64" s="58" t="str">
        <f t="shared" si="0"/>
        <v>INS</v>
      </c>
      <c r="G64" s="32" t="e">
        <f>IF(OR(E64="Jeopardy",E64="APP Moonlighting",E64="Differential Pay"),"",April[[#This Row],[SysID]])</f>
        <v>#N/A</v>
      </c>
      <c r="H64" s="32" t="e">
        <f>IF(E64="Jeopardy",IF(C64="MD",Relay!$E$7,Relay!$E$8),IF(C64="MD",IF(COUNTIF(G:G,B64)&gt;1,Relay!$E$2,Relay!$E$1),IF(AND(COUNTIF(G:G,B64)&gt;1,COUNTA(A64)&gt;0),Relay!$E$5,Relay!$E$4)))</f>
        <v>#N/A</v>
      </c>
      <c r="I64" s="8">
        <f t="shared" si="1"/>
        <v>0</v>
      </c>
      <c r="J64" s="35"/>
      <c r="K64" s="35"/>
      <c r="L64" s="35"/>
      <c r="M64" s="35"/>
      <c r="N64" s="32" t="e">
        <f>IF(H64=April!$E$2,"N",IF(AND(COUNTIF(B:B,B64)=1,D64&gt;14),"Y","N"))</f>
        <v>#N/A</v>
      </c>
      <c r="O64" s="55" t="str">
        <f>IF(COUNT(April[[#This Row],[Date]])&gt;0,IF(April[[#This Row],[Date]]&gt;14,"Yes","No"),"N/A")</f>
        <v>N/A</v>
      </c>
      <c r="P64" s="55"/>
      <c r="Q64" s="5">
        <f>Relay!A63</f>
        <v>0</v>
      </c>
      <c r="R64" s="5">
        <f>Relay!B63</f>
        <v>62</v>
      </c>
      <c r="S64" s="8">
        <f>IF(April[After the 14th?]="No",SUMIF(April[SysID],R64,April[Pay Amount]),0)+IF(March[After the 14th?]="Yes",SUMIF(March[SysID],R64,March[Pay Amount]),0)</f>
        <v>0</v>
      </c>
      <c r="T64" s="8"/>
      <c r="U64" s="5" t="str">
        <f t="shared" si="2"/>
        <v>N</v>
      </c>
      <c r="X64" s="56"/>
      <c r="Y64" s="56"/>
      <c r="Z64" s="56"/>
      <c r="AA64" s="56"/>
      <c r="AC64" s="56"/>
    </row>
    <row r="65" spans="1:29" x14ac:dyDescent="0.25">
      <c r="A65" s="35"/>
      <c r="B65" s="32" t="e">
        <f>VLOOKUP(A65,Relay!$A$1:$B$50,2,FALSE)</f>
        <v>#N/A</v>
      </c>
      <c r="C65" s="32" t="e">
        <f>VLOOKUP(A65,Relay!$A$2:$C$101,3,FALSE)</f>
        <v>#N/A</v>
      </c>
      <c r="D65" s="39"/>
      <c r="E65" s="35"/>
      <c r="F65" s="58" t="str">
        <f t="shared" si="0"/>
        <v>INS</v>
      </c>
      <c r="G65" s="32" t="e">
        <f>IF(OR(E65="Jeopardy",E65="APP Moonlighting",E65="Differential Pay"),"",April[[#This Row],[SysID]])</f>
        <v>#N/A</v>
      </c>
      <c r="H65" s="32" t="e">
        <f>IF(E65="Jeopardy",IF(C65="MD",Relay!$E$7,Relay!$E$8),IF(C65="MD",IF(COUNTIF(G:G,B65)&gt;1,Relay!$E$2,Relay!$E$1),IF(AND(COUNTIF(G:G,B65)&gt;1,COUNTA(A65)&gt;0),Relay!$E$5,Relay!$E$4)))</f>
        <v>#N/A</v>
      </c>
      <c r="I65" s="8">
        <f t="shared" si="1"/>
        <v>0</v>
      </c>
      <c r="J65" s="35"/>
      <c r="K65" s="35"/>
      <c r="L65" s="35"/>
      <c r="M65" s="35"/>
      <c r="N65" s="32" t="e">
        <f>IF(H65=April!$E$2,"N",IF(AND(COUNTIF(B:B,B65)=1,D65&gt;14),"Y","N"))</f>
        <v>#N/A</v>
      </c>
      <c r="O65" s="55" t="str">
        <f>IF(COUNT(April[[#This Row],[Date]])&gt;0,IF(April[[#This Row],[Date]]&gt;14,"Yes","No"),"N/A")</f>
        <v>N/A</v>
      </c>
      <c r="P65" s="55"/>
      <c r="Q65" s="5">
        <f>Relay!A64</f>
        <v>0</v>
      </c>
      <c r="R65" s="5">
        <f>Relay!B64</f>
        <v>63</v>
      </c>
      <c r="S65" s="8">
        <f>IF(April[After the 14th?]="No",SUMIF(April[SysID],R65,April[Pay Amount]),0)+IF(March[After the 14th?]="Yes",SUMIF(March[SysID],R65,March[Pay Amount]),0)</f>
        <v>0</v>
      </c>
      <c r="T65" s="8"/>
      <c r="U65" s="5" t="str">
        <f t="shared" si="2"/>
        <v>N</v>
      </c>
      <c r="X65" s="56"/>
      <c r="Y65" s="56"/>
      <c r="Z65" s="56"/>
      <c r="AA65" s="56"/>
      <c r="AC65" s="56"/>
    </row>
    <row r="66" spans="1:29" x14ac:dyDescent="0.25">
      <c r="A66" s="35"/>
      <c r="B66" s="32" t="e">
        <f>VLOOKUP(A66,Relay!$A$1:$B$50,2,FALSE)</f>
        <v>#N/A</v>
      </c>
      <c r="C66" s="32" t="e">
        <f>VLOOKUP(A66,Relay!$A$2:$C$101,3,FALSE)</f>
        <v>#N/A</v>
      </c>
      <c r="D66" s="39"/>
      <c r="E66" s="35"/>
      <c r="F66" s="58" t="str">
        <f t="shared" si="0"/>
        <v>INS</v>
      </c>
      <c r="G66" s="32" t="e">
        <f>IF(OR(E66="Jeopardy",E66="APP Moonlighting",E66="Differential Pay"),"",April[[#This Row],[SysID]])</f>
        <v>#N/A</v>
      </c>
      <c r="H66" s="32" t="e">
        <f>IF(E66="Jeopardy",IF(C66="MD",Relay!$E$7,Relay!$E$8),IF(C66="MD",IF(COUNTIF(G:G,B66)&gt;1,Relay!$E$2,Relay!$E$1),IF(AND(COUNTIF(G:G,B66)&gt;1,COUNTA(A66)&gt;0),Relay!$E$5,Relay!$E$4)))</f>
        <v>#N/A</v>
      </c>
      <c r="I66" s="8">
        <f t="shared" si="1"/>
        <v>0</v>
      </c>
      <c r="J66" s="35"/>
      <c r="K66" s="35"/>
      <c r="L66" s="35"/>
      <c r="M66" s="35"/>
      <c r="N66" s="32" t="e">
        <f>IF(H66=April!$E$2,"N",IF(AND(COUNTIF(B:B,B66)=1,D66&gt;14),"Y","N"))</f>
        <v>#N/A</v>
      </c>
      <c r="O66" s="55" t="str">
        <f>IF(COUNT(April[[#This Row],[Date]])&gt;0,IF(April[[#This Row],[Date]]&gt;14,"Yes","No"),"N/A")</f>
        <v>N/A</v>
      </c>
      <c r="P66" s="55"/>
      <c r="Q66" s="5">
        <f>Relay!A65</f>
        <v>0</v>
      </c>
      <c r="R66" s="5">
        <f>Relay!B65</f>
        <v>64</v>
      </c>
      <c r="S66" s="8">
        <f>IF(April[After the 14th?]="No",SUMIF(April[SysID],R66,April[Pay Amount]),0)+IF(March[After the 14th?]="Yes",SUMIF(March[SysID],R66,March[Pay Amount]),0)</f>
        <v>0</v>
      </c>
      <c r="T66" s="8"/>
      <c r="U66" s="5" t="str">
        <f t="shared" si="2"/>
        <v>N</v>
      </c>
      <c r="X66" s="56"/>
      <c r="Y66" s="56"/>
      <c r="Z66" s="56"/>
      <c r="AA66" s="56"/>
      <c r="AC66" s="56"/>
    </row>
    <row r="67" spans="1:29" x14ac:dyDescent="0.25">
      <c r="A67" s="35"/>
      <c r="B67" s="32" t="e">
        <f>VLOOKUP(A67,Relay!$A$1:$B$50,2,FALSE)</f>
        <v>#N/A</v>
      </c>
      <c r="C67" s="32" t="e">
        <f>VLOOKUP(A67,Relay!$A$2:$C$101,3,FALSE)</f>
        <v>#N/A</v>
      </c>
      <c r="D67" s="39"/>
      <c r="E67" s="35"/>
      <c r="F67" s="58" t="str">
        <f t="shared" ref="F67:F103" si="3">IF(E67="Moonlighting", 12, "INS")</f>
        <v>INS</v>
      </c>
      <c r="G67" s="32" t="e">
        <f>IF(OR(E67="Jeopardy",E67="APP Moonlighting",E67="Differential Pay"),"",April[[#This Row],[SysID]])</f>
        <v>#N/A</v>
      </c>
      <c r="H67" s="32" t="e">
        <f>IF(E67="Jeopardy",IF(C67="MD",Relay!$E$7,Relay!$E$8),IF(C67="MD",IF(COUNTIF(G:G,B67)&gt;1,Relay!$E$2,Relay!$E$1),IF(AND(COUNTIF(G:G,B67)&gt;1,COUNTA(A67)&gt;0),Relay!$E$5,Relay!$E$4)))</f>
        <v>#N/A</v>
      </c>
      <c r="I67" s="8">
        <f t="shared" ref="I67:I103" si="4">IF(COUNTA(A67)&gt;0,H67*F67,0)</f>
        <v>0</v>
      </c>
      <c r="J67" s="35"/>
      <c r="K67" s="35"/>
      <c r="L67" s="35"/>
      <c r="M67" s="35"/>
      <c r="N67" s="32" t="e">
        <f>IF(H67=April!$E$2,"N",IF(AND(COUNTIF(B:B,B67)=1,D67&gt;14),"Y","N"))</f>
        <v>#N/A</v>
      </c>
      <c r="O67" s="55" t="str">
        <f>IF(COUNT(April[[#This Row],[Date]])&gt;0,IF(April[[#This Row],[Date]]&gt;14,"Yes","No"),"N/A")</f>
        <v>N/A</v>
      </c>
      <c r="P67" s="55"/>
      <c r="Q67" s="5">
        <f>Relay!A66</f>
        <v>0</v>
      </c>
      <c r="R67" s="5">
        <f>Relay!B66</f>
        <v>65</v>
      </c>
      <c r="S67" s="8">
        <f>IF(April[After the 14th?]="No",SUMIF(April[SysID],R67,April[Pay Amount]),0)+IF(March[After the 14th?]="Yes",SUMIF(March[SysID],R67,March[Pay Amount]),0)</f>
        <v>0</v>
      </c>
      <c r="T67" s="8"/>
      <c r="U67" s="5" t="str">
        <f t="shared" ref="U67:U103" si="5">IF(S67=T67,"N","Y")</f>
        <v>N</v>
      </c>
      <c r="X67" s="56"/>
      <c r="Y67" s="56"/>
      <c r="Z67" s="56"/>
      <c r="AA67" s="56"/>
      <c r="AC67" s="56"/>
    </row>
    <row r="68" spans="1:29" x14ac:dyDescent="0.25">
      <c r="A68" s="35"/>
      <c r="B68" s="32" t="e">
        <f>VLOOKUP(A68,Relay!$A$1:$B$50,2,FALSE)</f>
        <v>#N/A</v>
      </c>
      <c r="C68" s="32" t="e">
        <f>VLOOKUP(A68,Relay!$A$2:$C$101,3,FALSE)</f>
        <v>#N/A</v>
      </c>
      <c r="D68" s="39"/>
      <c r="E68" s="35"/>
      <c r="F68" s="58" t="str">
        <f t="shared" si="3"/>
        <v>INS</v>
      </c>
      <c r="G68" s="32" t="e">
        <f>IF(OR(E68="Jeopardy",E68="APP Moonlighting",E68="Differential Pay"),"",April[[#This Row],[SysID]])</f>
        <v>#N/A</v>
      </c>
      <c r="H68" s="32" t="e">
        <f>IF(E68="Jeopardy",IF(C68="MD",Relay!$E$7,Relay!$E$8),IF(C68="MD",IF(COUNTIF(G:G,B68)&gt;1,Relay!$E$2,Relay!$E$1),IF(AND(COUNTIF(G:G,B68)&gt;1,COUNTA(A68)&gt;0),Relay!$E$5,Relay!$E$4)))</f>
        <v>#N/A</v>
      </c>
      <c r="I68" s="8">
        <f t="shared" si="4"/>
        <v>0</v>
      </c>
      <c r="J68" s="35"/>
      <c r="K68" s="35"/>
      <c r="L68" s="35"/>
      <c r="M68" s="35"/>
      <c r="N68" s="32" t="e">
        <f>IF(H68=April!$E$2,"N",IF(AND(COUNTIF(B:B,B68)=1,D68&gt;14),"Y","N"))</f>
        <v>#N/A</v>
      </c>
      <c r="O68" s="55" t="str">
        <f>IF(COUNT(April[[#This Row],[Date]])&gt;0,IF(April[[#This Row],[Date]]&gt;14,"Yes","No"),"N/A")</f>
        <v>N/A</v>
      </c>
      <c r="P68" s="55"/>
      <c r="Q68" s="5">
        <f>Relay!A67</f>
        <v>0</v>
      </c>
      <c r="R68" s="5">
        <f>Relay!B67</f>
        <v>66</v>
      </c>
      <c r="S68" s="8">
        <f>IF(April[After the 14th?]="No",SUMIF(April[SysID],R68,April[Pay Amount]),0)+IF(March[After the 14th?]="Yes",SUMIF(March[SysID],R68,March[Pay Amount]),0)</f>
        <v>0</v>
      </c>
      <c r="T68" s="8"/>
      <c r="U68" s="5" t="str">
        <f t="shared" si="5"/>
        <v>N</v>
      </c>
      <c r="X68" s="56"/>
      <c r="Y68" s="56"/>
      <c r="Z68" s="56"/>
      <c r="AA68" s="56"/>
      <c r="AC68" s="56"/>
    </row>
    <row r="69" spans="1:29" x14ac:dyDescent="0.25">
      <c r="A69" s="35"/>
      <c r="B69" s="32" t="e">
        <f>VLOOKUP(A69,Relay!$A$1:$B$50,2,FALSE)</f>
        <v>#N/A</v>
      </c>
      <c r="C69" s="32" t="e">
        <f>VLOOKUP(A69,Relay!$A$2:$C$101,3,FALSE)</f>
        <v>#N/A</v>
      </c>
      <c r="D69" s="39"/>
      <c r="E69" s="35"/>
      <c r="F69" s="58" t="str">
        <f t="shared" si="3"/>
        <v>INS</v>
      </c>
      <c r="G69" s="32" t="e">
        <f>IF(OR(E69="Jeopardy",E69="APP Moonlighting",E69="Differential Pay"),"",April[[#This Row],[SysID]])</f>
        <v>#N/A</v>
      </c>
      <c r="H69" s="32" t="e">
        <f>IF(E69="Jeopardy",IF(C69="MD",Relay!$E$7,Relay!$E$8),IF(C69="MD",IF(COUNTIF(G:G,B69)&gt;1,Relay!$E$2,Relay!$E$1),IF(AND(COUNTIF(G:G,B69)&gt;1,COUNTA(A69)&gt;0),Relay!$E$5,Relay!$E$4)))</f>
        <v>#N/A</v>
      </c>
      <c r="I69" s="8">
        <f t="shared" si="4"/>
        <v>0</v>
      </c>
      <c r="J69" s="35"/>
      <c r="K69" s="35"/>
      <c r="L69" s="35"/>
      <c r="M69" s="35"/>
      <c r="N69" s="32" t="e">
        <f>IF(H69=April!$E$2,"N",IF(AND(COUNTIF(B:B,B69)=1,D69&gt;14),"Y","N"))</f>
        <v>#N/A</v>
      </c>
      <c r="O69" s="55" t="str">
        <f>IF(COUNT(April[[#This Row],[Date]])&gt;0,IF(April[[#This Row],[Date]]&gt;14,"Yes","No"),"N/A")</f>
        <v>N/A</v>
      </c>
      <c r="P69" s="55"/>
      <c r="Q69" s="5">
        <f>Relay!A68</f>
        <v>0</v>
      </c>
      <c r="R69" s="5">
        <f>Relay!B68</f>
        <v>67</v>
      </c>
      <c r="S69" s="8">
        <f>IF(April[After the 14th?]="No",SUMIF(April[SysID],R69,April[Pay Amount]),0)+IF(March[After the 14th?]="Yes",SUMIF(March[SysID],R69,March[Pay Amount]),0)</f>
        <v>0</v>
      </c>
      <c r="T69" s="8"/>
      <c r="U69" s="5" t="str">
        <f t="shared" si="5"/>
        <v>N</v>
      </c>
      <c r="X69" s="56"/>
      <c r="Y69" s="56"/>
      <c r="Z69" s="56"/>
      <c r="AA69" s="56"/>
      <c r="AC69" s="56"/>
    </row>
    <row r="70" spans="1:29" x14ac:dyDescent="0.25">
      <c r="A70" s="35"/>
      <c r="B70" s="32" t="e">
        <f>VLOOKUP(A70,Relay!$A$1:$B$50,2,FALSE)</f>
        <v>#N/A</v>
      </c>
      <c r="C70" s="32" t="e">
        <f>VLOOKUP(A70,Relay!$A$2:$C$101,3,FALSE)</f>
        <v>#N/A</v>
      </c>
      <c r="D70" s="39"/>
      <c r="E70" s="35"/>
      <c r="F70" s="58" t="str">
        <f t="shared" si="3"/>
        <v>INS</v>
      </c>
      <c r="G70" s="32" t="e">
        <f>IF(OR(E70="Jeopardy",E70="APP Moonlighting",E70="Differential Pay"),"",April[[#This Row],[SysID]])</f>
        <v>#N/A</v>
      </c>
      <c r="H70" s="32" t="e">
        <f>IF(E70="Jeopardy",IF(C70="MD",Relay!$E$7,Relay!$E$8),IF(C70="MD",IF(COUNTIF(G:G,B70)&gt;1,Relay!$E$2,Relay!$E$1),IF(AND(COUNTIF(G:G,B70)&gt;1,COUNTA(A70)&gt;0),Relay!$E$5,Relay!$E$4)))</f>
        <v>#N/A</v>
      </c>
      <c r="I70" s="8">
        <f t="shared" si="4"/>
        <v>0</v>
      </c>
      <c r="J70" s="35"/>
      <c r="K70" s="35"/>
      <c r="L70" s="35"/>
      <c r="M70" s="35"/>
      <c r="N70" s="32" t="e">
        <f>IF(H70=April!$E$2,"N",IF(AND(COUNTIF(B:B,B70)=1,D70&gt;14),"Y","N"))</f>
        <v>#N/A</v>
      </c>
      <c r="O70" s="55" t="str">
        <f>IF(COUNT(April[[#This Row],[Date]])&gt;0,IF(April[[#This Row],[Date]]&gt;14,"Yes","No"),"N/A")</f>
        <v>N/A</v>
      </c>
      <c r="P70" s="55"/>
      <c r="Q70" s="5">
        <f>Relay!A69</f>
        <v>0</v>
      </c>
      <c r="R70" s="5">
        <f>Relay!B69</f>
        <v>68</v>
      </c>
      <c r="S70" s="8">
        <f>IF(April[After the 14th?]="No",SUMIF(April[SysID],R70,April[Pay Amount]),0)+IF(March[After the 14th?]="Yes",SUMIF(March[SysID],R70,March[Pay Amount]),0)</f>
        <v>0</v>
      </c>
      <c r="T70" s="8"/>
      <c r="U70" s="5" t="str">
        <f t="shared" si="5"/>
        <v>N</v>
      </c>
      <c r="X70" s="56"/>
      <c r="Y70" s="56"/>
      <c r="Z70" s="56"/>
      <c r="AA70" s="56"/>
      <c r="AC70" s="56"/>
    </row>
    <row r="71" spans="1:29" x14ac:dyDescent="0.25">
      <c r="A71" s="35"/>
      <c r="B71" s="32" t="e">
        <f>VLOOKUP(A71,Relay!$A$1:$B$50,2,FALSE)</f>
        <v>#N/A</v>
      </c>
      <c r="C71" s="32" t="e">
        <f>VLOOKUP(A71,Relay!$A$2:$C$101,3,FALSE)</f>
        <v>#N/A</v>
      </c>
      <c r="D71" s="39"/>
      <c r="E71" s="35"/>
      <c r="F71" s="58" t="str">
        <f t="shared" si="3"/>
        <v>INS</v>
      </c>
      <c r="G71" s="32" t="e">
        <f>IF(OR(E71="Jeopardy",E71="APP Moonlighting",E71="Differential Pay"),"",April[[#This Row],[SysID]])</f>
        <v>#N/A</v>
      </c>
      <c r="H71" s="32" t="e">
        <f>IF(E71="Jeopardy",IF(C71="MD",Relay!$E$7,Relay!$E$8),IF(C71="MD",IF(COUNTIF(G:G,B71)&gt;1,Relay!$E$2,Relay!$E$1),IF(AND(COUNTIF(G:G,B71)&gt;1,COUNTA(A71)&gt;0),Relay!$E$5,Relay!$E$4)))</f>
        <v>#N/A</v>
      </c>
      <c r="I71" s="8">
        <f t="shared" si="4"/>
        <v>0</v>
      </c>
      <c r="J71" s="35"/>
      <c r="K71" s="35"/>
      <c r="L71" s="35"/>
      <c r="M71" s="35"/>
      <c r="N71" s="32" t="e">
        <f>IF(H71=April!$E$2,"N",IF(AND(COUNTIF(B:B,B71)=1,D71&gt;14),"Y","N"))</f>
        <v>#N/A</v>
      </c>
      <c r="O71" s="55" t="str">
        <f>IF(COUNT(April[[#This Row],[Date]])&gt;0,IF(April[[#This Row],[Date]]&gt;14,"Yes","No"),"N/A")</f>
        <v>N/A</v>
      </c>
      <c r="P71" s="55"/>
      <c r="Q71" s="5">
        <f>Relay!A70</f>
        <v>0</v>
      </c>
      <c r="R71" s="5">
        <f>Relay!B70</f>
        <v>69</v>
      </c>
      <c r="S71" s="8">
        <f>IF(April[After the 14th?]="No",SUMIF(April[SysID],R71,April[Pay Amount]),0)+IF(March[After the 14th?]="Yes",SUMIF(March[SysID],R71,March[Pay Amount]),0)</f>
        <v>0</v>
      </c>
      <c r="T71" s="8"/>
      <c r="U71" s="5" t="str">
        <f t="shared" si="5"/>
        <v>N</v>
      </c>
      <c r="X71" s="56"/>
      <c r="Y71" s="56"/>
      <c r="Z71" s="56"/>
      <c r="AA71" s="56"/>
      <c r="AC71" s="56"/>
    </row>
    <row r="72" spans="1:29" x14ac:dyDescent="0.25">
      <c r="A72" s="35"/>
      <c r="B72" s="32" t="e">
        <f>VLOOKUP(A72,Relay!$A$1:$B$50,2,FALSE)</f>
        <v>#N/A</v>
      </c>
      <c r="C72" s="32" t="e">
        <f>VLOOKUP(A72,Relay!$A$2:$C$101,3,FALSE)</f>
        <v>#N/A</v>
      </c>
      <c r="D72" s="39"/>
      <c r="E72" s="35"/>
      <c r="F72" s="58" t="str">
        <f t="shared" si="3"/>
        <v>INS</v>
      </c>
      <c r="G72" s="32" t="e">
        <f>IF(OR(E72="Jeopardy",E72="APP Moonlighting",E72="Differential Pay"),"",April[[#This Row],[SysID]])</f>
        <v>#N/A</v>
      </c>
      <c r="H72" s="32" t="e">
        <f>IF(E72="Jeopardy",IF(C72="MD",Relay!$E$7,Relay!$E$8),IF(C72="MD",IF(COUNTIF(G:G,B72)&gt;1,Relay!$E$2,Relay!$E$1),IF(AND(COUNTIF(G:G,B72)&gt;1,COUNTA(A72)&gt;0),Relay!$E$5,Relay!$E$4)))</f>
        <v>#N/A</v>
      </c>
      <c r="I72" s="8">
        <f t="shared" si="4"/>
        <v>0</v>
      </c>
      <c r="J72" s="35"/>
      <c r="K72" s="35"/>
      <c r="L72" s="35"/>
      <c r="M72" s="35"/>
      <c r="N72" s="32" t="e">
        <f>IF(H72=April!$E$2,"N",IF(AND(COUNTIF(B:B,B72)=1,D72&gt;14),"Y","N"))</f>
        <v>#N/A</v>
      </c>
      <c r="O72" s="55" t="str">
        <f>IF(COUNT(April[[#This Row],[Date]])&gt;0,IF(April[[#This Row],[Date]]&gt;14,"Yes","No"),"N/A")</f>
        <v>N/A</v>
      </c>
      <c r="P72" s="55"/>
      <c r="Q72" s="5">
        <f>Relay!A71</f>
        <v>0</v>
      </c>
      <c r="R72" s="5">
        <f>Relay!B71</f>
        <v>70</v>
      </c>
      <c r="S72" s="8">
        <f>IF(April[After the 14th?]="No",SUMIF(April[SysID],R72,April[Pay Amount]),0)+IF(March[After the 14th?]="Yes",SUMIF(March[SysID],R72,March[Pay Amount]),0)</f>
        <v>0</v>
      </c>
      <c r="T72" s="8"/>
      <c r="U72" s="5" t="str">
        <f t="shared" si="5"/>
        <v>N</v>
      </c>
      <c r="X72" s="56"/>
      <c r="Y72" s="56"/>
      <c r="Z72" s="56"/>
      <c r="AA72" s="56"/>
      <c r="AC72" s="56"/>
    </row>
    <row r="73" spans="1:29" x14ac:dyDescent="0.25">
      <c r="A73" s="35"/>
      <c r="B73" s="32" t="e">
        <f>VLOOKUP(A73,Relay!$A$1:$B$50,2,FALSE)</f>
        <v>#N/A</v>
      </c>
      <c r="C73" s="32" t="e">
        <f>VLOOKUP(A73,Relay!$A$2:$C$101,3,FALSE)</f>
        <v>#N/A</v>
      </c>
      <c r="D73" s="39"/>
      <c r="E73" s="35"/>
      <c r="F73" s="58" t="str">
        <f t="shared" si="3"/>
        <v>INS</v>
      </c>
      <c r="G73" s="32" t="e">
        <f>IF(OR(E73="Jeopardy",E73="APP Moonlighting",E73="Differential Pay"),"",April[[#This Row],[SysID]])</f>
        <v>#N/A</v>
      </c>
      <c r="H73" s="32" t="e">
        <f>IF(E73="Jeopardy",IF(C73="MD",Relay!$E$7,Relay!$E$8),IF(C73="MD",IF(COUNTIF(G:G,B73)&gt;1,Relay!$E$2,Relay!$E$1),IF(AND(COUNTIF(G:G,B73)&gt;1,COUNTA(A73)&gt;0),Relay!$E$5,Relay!$E$4)))</f>
        <v>#N/A</v>
      </c>
      <c r="I73" s="8">
        <f t="shared" si="4"/>
        <v>0</v>
      </c>
      <c r="J73" s="35"/>
      <c r="K73" s="35"/>
      <c r="L73" s="35"/>
      <c r="M73" s="35"/>
      <c r="N73" s="32" t="e">
        <f>IF(H73=April!$E$2,"N",IF(AND(COUNTIF(B:B,B73)=1,D73&gt;14),"Y","N"))</f>
        <v>#N/A</v>
      </c>
      <c r="O73" s="55" t="str">
        <f>IF(COUNT(April[[#This Row],[Date]])&gt;0,IF(April[[#This Row],[Date]]&gt;14,"Yes","No"),"N/A")</f>
        <v>N/A</v>
      </c>
      <c r="P73" s="55"/>
      <c r="Q73" s="5">
        <f>Relay!A72</f>
        <v>0</v>
      </c>
      <c r="R73" s="5">
        <f>Relay!B72</f>
        <v>71</v>
      </c>
      <c r="S73" s="8">
        <f>IF(April[After the 14th?]="No",SUMIF(April[SysID],R73,April[Pay Amount]),0)+IF(March[After the 14th?]="Yes",SUMIF(March[SysID],R73,March[Pay Amount]),0)</f>
        <v>0</v>
      </c>
      <c r="T73" s="8"/>
      <c r="U73" s="5" t="str">
        <f t="shared" si="5"/>
        <v>N</v>
      </c>
      <c r="X73" s="56"/>
      <c r="Y73" s="56"/>
      <c r="Z73" s="56"/>
      <c r="AA73" s="56"/>
      <c r="AC73" s="56"/>
    </row>
    <row r="74" spans="1:29" x14ac:dyDescent="0.25">
      <c r="A74" s="35"/>
      <c r="B74" s="32" t="e">
        <f>VLOOKUP(A74,Relay!$A$1:$B$50,2,FALSE)</f>
        <v>#N/A</v>
      </c>
      <c r="C74" s="32" t="e">
        <f>VLOOKUP(A74,Relay!$A$2:$C$101,3,FALSE)</f>
        <v>#N/A</v>
      </c>
      <c r="D74" s="39"/>
      <c r="E74" s="35"/>
      <c r="F74" s="58" t="str">
        <f t="shared" si="3"/>
        <v>INS</v>
      </c>
      <c r="G74" s="32" t="e">
        <f>IF(OR(E74="Jeopardy",E74="APP Moonlighting",E74="Differential Pay"),"",April[[#This Row],[SysID]])</f>
        <v>#N/A</v>
      </c>
      <c r="H74" s="32" t="e">
        <f>IF(E74="Jeopardy",IF(C74="MD",Relay!$E$7,Relay!$E$8),IF(C74="MD",IF(COUNTIF(G:G,B74)&gt;1,Relay!$E$2,Relay!$E$1),IF(AND(COUNTIF(G:G,B74)&gt;1,COUNTA(A74)&gt;0),Relay!$E$5,Relay!$E$4)))</f>
        <v>#N/A</v>
      </c>
      <c r="I74" s="8">
        <f t="shared" si="4"/>
        <v>0</v>
      </c>
      <c r="J74" s="35"/>
      <c r="K74" s="35"/>
      <c r="L74" s="35"/>
      <c r="M74" s="35"/>
      <c r="N74" s="32" t="e">
        <f>IF(H74=April!$E$2,"N",IF(AND(COUNTIF(B:B,B74)=1,D74&gt;14),"Y","N"))</f>
        <v>#N/A</v>
      </c>
      <c r="O74" s="55" t="str">
        <f>IF(COUNT(April[[#This Row],[Date]])&gt;0,IF(April[[#This Row],[Date]]&gt;14,"Yes","No"),"N/A")</f>
        <v>N/A</v>
      </c>
      <c r="P74" s="55"/>
      <c r="Q74" s="5">
        <f>Relay!A73</f>
        <v>0</v>
      </c>
      <c r="R74" s="5">
        <f>Relay!B73</f>
        <v>72</v>
      </c>
      <c r="S74" s="8">
        <f>IF(April[After the 14th?]="No",SUMIF(April[SysID],R74,April[Pay Amount]),0)+IF(March[After the 14th?]="Yes",SUMIF(March[SysID],R74,March[Pay Amount]),0)</f>
        <v>0</v>
      </c>
      <c r="T74" s="8"/>
      <c r="U74" s="5" t="str">
        <f t="shared" si="5"/>
        <v>N</v>
      </c>
      <c r="X74" s="56"/>
      <c r="Y74" s="56"/>
      <c r="Z74" s="56"/>
      <c r="AA74" s="56"/>
      <c r="AC74" s="56"/>
    </row>
    <row r="75" spans="1:29" x14ac:dyDescent="0.25">
      <c r="A75" s="35"/>
      <c r="B75" s="32" t="e">
        <f>VLOOKUP(A75,Relay!$A$1:$B$50,2,FALSE)</f>
        <v>#N/A</v>
      </c>
      <c r="C75" s="32" t="e">
        <f>VLOOKUP(A75,Relay!$A$2:$C$101,3,FALSE)</f>
        <v>#N/A</v>
      </c>
      <c r="D75" s="39"/>
      <c r="E75" s="35"/>
      <c r="F75" s="58" t="str">
        <f t="shared" si="3"/>
        <v>INS</v>
      </c>
      <c r="G75" s="32" t="e">
        <f>IF(OR(E75="Jeopardy",E75="APP Moonlighting",E75="Differential Pay"),"",April[[#This Row],[SysID]])</f>
        <v>#N/A</v>
      </c>
      <c r="H75" s="32" t="e">
        <f>IF(E75="Jeopardy",IF(C75="MD",Relay!$E$7,Relay!$E$8),IF(C75="MD",IF(COUNTIF(G:G,B75)&gt;1,Relay!$E$2,Relay!$E$1),IF(AND(COUNTIF(G:G,B75)&gt;1,COUNTA(A75)&gt;0),Relay!$E$5,Relay!$E$4)))</f>
        <v>#N/A</v>
      </c>
      <c r="I75" s="8">
        <f t="shared" si="4"/>
        <v>0</v>
      </c>
      <c r="J75" s="35"/>
      <c r="K75" s="35"/>
      <c r="L75" s="35"/>
      <c r="M75" s="35"/>
      <c r="N75" s="32" t="e">
        <f>IF(H75=April!$E$2,"N",IF(AND(COUNTIF(B:B,B75)=1,D75&gt;14),"Y","N"))</f>
        <v>#N/A</v>
      </c>
      <c r="O75" s="55" t="str">
        <f>IF(COUNT(April[[#This Row],[Date]])&gt;0,IF(April[[#This Row],[Date]]&gt;14,"Yes","No"),"N/A")</f>
        <v>N/A</v>
      </c>
      <c r="P75" s="55"/>
      <c r="Q75" s="5">
        <f>Relay!A74</f>
        <v>0</v>
      </c>
      <c r="R75" s="5">
        <f>Relay!B74</f>
        <v>73</v>
      </c>
      <c r="S75" s="8">
        <f>IF(April[After the 14th?]="No",SUMIF(April[SysID],R75,April[Pay Amount]),0)+IF(March[After the 14th?]="Yes",SUMIF(March[SysID],R75,March[Pay Amount]),0)</f>
        <v>0</v>
      </c>
      <c r="T75" s="8"/>
      <c r="U75" s="5" t="str">
        <f t="shared" si="5"/>
        <v>N</v>
      </c>
      <c r="X75" s="56"/>
      <c r="Y75" s="56"/>
      <c r="Z75" s="56"/>
      <c r="AA75" s="56"/>
      <c r="AC75" s="56"/>
    </row>
    <row r="76" spans="1:29" x14ac:dyDescent="0.25">
      <c r="A76" s="35"/>
      <c r="B76" s="32" t="e">
        <f>VLOOKUP(A76,Relay!$A$1:$B$50,2,FALSE)</f>
        <v>#N/A</v>
      </c>
      <c r="C76" s="32" t="e">
        <f>VLOOKUP(A76,Relay!$A$2:$C$101,3,FALSE)</f>
        <v>#N/A</v>
      </c>
      <c r="D76" s="39"/>
      <c r="E76" s="35"/>
      <c r="F76" s="58" t="str">
        <f t="shared" si="3"/>
        <v>INS</v>
      </c>
      <c r="G76" s="32" t="e">
        <f>IF(OR(E76="Jeopardy",E76="APP Moonlighting",E76="Differential Pay"),"",April[[#This Row],[SysID]])</f>
        <v>#N/A</v>
      </c>
      <c r="H76" s="32" t="e">
        <f>IF(E76="Jeopardy",IF(C76="MD",Relay!$E$7,Relay!$E$8),IF(C76="MD",IF(COUNTIF(G:G,B76)&gt;1,Relay!$E$2,Relay!$E$1),IF(AND(COUNTIF(G:G,B76)&gt;1,COUNTA(A76)&gt;0),Relay!$E$5,Relay!$E$4)))</f>
        <v>#N/A</v>
      </c>
      <c r="I76" s="8">
        <f t="shared" si="4"/>
        <v>0</v>
      </c>
      <c r="J76" s="35"/>
      <c r="K76" s="35"/>
      <c r="L76" s="35"/>
      <c r="M76" s="35"/>
      <c r="N76" s="32" t="e">
        <f>IF(H76=April!$E$2,"N",IF(AND(COUNTIF(B:B,B76)=1,D76&gt;14),"Y","N"))</f>
        <v>#N/A</v>
      </c>
      <c r="O76" s="55" t="str">
        <f>IF(COUNT(April[[#This Row],[Date]])&gt;0,IF(April[[#This Row],[Date]]&gt;14,"Yes","No"),"N/A")</f>
        <v>N/A</v>
      </c>
      <c r="P76" s="55"/>
      <c r="Q76" s="5">
        <f>Relay!A75</f>
        <v>0</v>
      </c>
      <c r="R76" s="5">
        <f>Relay!B75</f>
        <v>74</v>
      </c>
      <c r="S76" s="8">
        <f>IF(April[After the 14th?]="No",SUMIF(April[SysID],R76,April[Pay Amount]),0)+IF(March[After the 14th?]="Yes",SUMIF(March[SysID],R76,March[Pay Amount]),0)</f>
        <v>0</v>
      </c>
      <c r="T76" s="8"/>
      <c r="U76" s="5" t="str">
        <f t="shared" si="5"/>
        <v>N</v>
      </c>
      <c r="X76" s="56"/>
      <c r="Y76" s="56"/>
      <c r="Z76" s="56"/>
      <c r="AA76" s="56"/>
      <c r="AC76" s="56"/>
    </row>
    <row r="77" spans="1:29" x14ac:dyDescent="0.25">
      <c r="A77" s="35"/>
      <c r="B77" s="32" t="e">
        <f>VLOOKUP(A77,Relay!$A$1:$B$50,2,FALSE)</f>
        <v>#N/A</v>
      </c>
      <c r="C77" s="32" t="e">
        <f>VLOOKUP(A77,Relay!$A$2:$C$101,3,FALSE)</f>
        <v>#N/A</v>
      </c>
      <c r="D77" s="39"/>
      <c r="E77" s="35"/>
      <c r="F77" s="58" t="str">
        <f t="shared" si="3"/>
        <v>INS</v>
      </c>
      <c r="G77" s="32" t="e">
        <f>IF(OR(E77="Jeopardy",E77="APP Moonlighting",E77="Differential Pay"),"",April[[#This Row],[SysID]])</f>
        <v>#N/A</v>
      </c>
      <c r="H77" s="32" t="e">
        <f>IF(E77="Jeopardy",IF(C77="MD",Relay!$E$7,Relay!$E$8),IF(C77="MD",IF(COUNTIF(G:G,B77)&gt;1,Relay!$E$2,Relay!$E$1),IF(AND(COUNTIF(G:G,B77)&gt;1,COUNTA(A77)&gt;0),Relay!$E$5,Relay!$E$4)))</f>
        <v>#N/A</v>
      </c>
      <c r="I77" s="8">
        <f t="shared" si="4"/>
        <v>0</v>
      </c>
      <c r="J77" s="35"/>
      <c r="K77" s="35"/>
      <c r="L77" s="35"/>
      <c r="M77" s="35"/>
      <c r="N77" s="32" t="e">
        <f>IF(H77=April!$E$2,"N",IF(AND(COUNTIF(B:B,B77)=1,D77&gt;14),"Y","N"))</f>
        <v>#N/A</v>
      </c>
      <c r="O77" s="55" t="str">
        <f>IF(COUNT(April[[#This Row],[Date]])&gt;0,IF(April[[#This Row],[Date]]&gt;14,"Yes","No"),"N/A")</f>
        <v>N/A</v>
      </c>
      <c r="P77" s="55"/>
      <c r="Q77" s="5">
        <f>Relay!A76</f>
        <v>0</v>
      </c>
      <c r="R77" s="5">
        <f>Relay!B76</f>
        <v>75</v>
      </c>
      <c r="S77" s="8">
        <f>IF(April[After the 14th?]="No",SUMIF(April[SysID],R77,April[Pay Amount]),0)+IF(March[After the 14th?]="Yes",SUMIF(March[SysID],R77,March[Pay Amount]),0)</f>
        <v>0</v>
      </c>
      <c r="T77" s="8"/>
      <c r="U77" s="5" t="str">
        <f t="shared" si="5"/>
        <v>N</v>
      </c>
      <c r="X77" s="56"/>
      <c r="Y77" s="56"/>
      <c r="Z77" s="56"/>
      <c r="AA77" s="56"/>
      <c r="AC77" s="56"/>
    </row>
    <row r="78" spans="1:29" x14ac:dyDescent="0.25">
      <c r="A78" s="35"/>
      <c r="B78" s="32" t="e">
        <f>VLOOKUP(A78,Relay!$A$1:$B$50,2,FALSE)</f>
        <v>#N/A</v>
      </c>
      <c r="C78" s="32" t="e">
        <f>VLOOKUP(A78,Relay!$A$2:$C$101,3,FALSE)</f>
        <v>#N/A</v>
      </c>
      <c r="D78" s="39"/>
      <c r="E78" s="35"/>
      <c r="F78" s="58" t="str">
        <f t="shared" si="3"/>
        <v>INS</v>
      </c>
      <c r="G78" s="32" t="e">
        <f>IF(OR(E78="Jeopardy",E78="APP Moonlighting",E78="Differential Pay"),"",April[[#This Row],[SysID]])</f>
        <v>#N/A</v>
      </c>
      <c r="H78" s="32" t="e">
        <f>IF(E78="Jeopardy",IF(C78="MD",Relay!$E$7,Relay!$E$8),IF(C78="MD",IF(COUNTIF(G:G,B78)&gt;1,Relay!$E$2,Relay!$E$1),IF(AND(COUNTIF(G:G,B78)&gt;1,COUNTA(A78)&gt;0),Relay!$E$5,Relay!$E$4)))</f>
        <v>#N/A</v>
      </c>
      <c r="I78" s="8">
        <f t="shared" si="4"/>
        <v>0</v>
      </c>
      <c r="J78" s="35"/>
      <c r="K78" s="35"/>
      <c r="L78" s="35"/>
      <c r="M78" s="35"/>
      <c r="N78" s="32" t="e">
        <f>IF(H78=April!$E$2,"N",IF(AND(COUNTIF(B:B,B78)=1,D78&gt;14),"Y","N"))</f>
        <v>#N/A</v>
      </c>
      <c r="O78" s="55" t="str">
        <f>IF(COUNT(April[[#This Row],[Date]])&gt;0,IF(April[[#This Row],[Date]]&gt;14,"Yes","No"),"N/A")</f>
        <v>N/A</v>
      </c>
      <c r="P78" s="55"/>
      <c r="Q78" s="5">
        <f>Relay!A77</f>
        <v>0</v>
      </c>
      <c r="R78" s="5">
        <f>Relay!B77</f>
        <v>76</v>
      </c>
      <c r="S78" s="8">
        <f>IF(April[After the 14th?]="No",SUMIF(April[SysID],R78,April[Pay Amount]),0)+IF(March[After the 14th?]="Yes",SUMIF(March[SysID],R78,March[Pay Amount]),0)</f>
        <v>0</v>
      </c>
      <c r="T78" s="8"/>
      <c r="U78" s="5" t="str">
        <f t="shared" si="5"/>
        <v>N</v>
      </c>
      <c r="X78" s="56"/>
      <c r="Y78" s="56"/>
      <c r="Z78" s="56"/>
      <c r="AA78" s="56"/>
      <c r="AC78" s="56"/>
    </row>
    <row r="79" spans="1:29" x14ac:dyDescent="0.25">
      <c r="A79" s="35"/>
      <c r="B79" s="32" t="e">
        <f>VLOOKUP(A79,Relay!$A$1:$B$50,2,FALSE)</f>
        <v>#N/A</v>
      </c>
      <c r="C79" s="32" t="e">
        <f>VLOOKUP(A79,Relay!$A$2:$C$101,3,FALSE)</f>
        <v>#N/A</v>
      </c>
      <c r="D79" s="39"/>
      <c r="E79" s="35"/>
      <c r="F79" s="58" t="str">
        <f t="shared" si="3"/>
        <v>INS</v>
      </c>
      <c r="G79" s="32" t="e">
        <f>IF(OR(E79="Jeopardy",E79="APP Moonlighting",E79="Differential Pay"),"",April[[#This Row],[SysID]])</f>
        <v>#N/A</v>
      </c>
      <c r="H79" s="32" t="e">
        <f>IF(E79="Jeopardy",IF(C79="MD",Relay!$E$7,Relay!$E$8),IF(C79="MD",IF(COUNTIF(G:G,B79)&gt;1,Relay!$E$2,Relay!$E$1),IF(AND(COUNTIF(G:G,B79)&gt;1,COUNTA(A79)&gt;0),Relay!$E$5,Relay!$E$4)))</f>
        <v>#N/A</v>
      </c>
      <c r="I79" s="8">
        <f t="shared" si="4"/>
        <v>0</v>
      </c>
      <c r="J79" s="35"/>
      <c r="K79" s="35"/>
      <c r="L79" s="35"/>
      <c r="M79" s="35"/>
      <c r="N79" s="32" t="e">
        <f>IF(H79=April!$E$2,"N",IF(AND(COUNTIF(B:B,B79)=1,D79&gt;14),"Y","N"))</f>
        <v>#N/A</v>
      </c>
      <c r="O79" s="55" t="str">
        <f>IF(COUNT(April[[#This Row],[Date]])&gt;0,IF(April[[#This Row],[Date]]&gt;14,"Yes","No"),"N/A")</f>
        <v>N/A</v>
      </c>
      <c r="P79" s="55"/>
      <c r="Q79" s="5">
        <f>Relay!A78</f>
        <v>0</v>
      </c>
      <c r="R79" s="5">
        <f>Relay!B78</f>
        <v>77</v>
      </c>
      <c r="S79" s="8">
        <f>IF(April[After the 14th?]="No",SUMIF(April[SysID],R79,April[Pay Amount]),0)+IF(March[After the 14th?]="Yes",SUMIF(March[SysID],R79,March[Pay Amount]),0)</f>
        <v>0</v>
      </c>
      <c r="T79" s="8"/>
      <c r="U79" s="5" t="str">
        <f t="shared" si="5"/>
        <v>N</v>
      </c>
      <c r="X79" s="56"/>
      <c r="Y79" s="56"/>
      <c r="Z79" s="56"/>
      <c r="AA79" s="56"/>
      <c r="AC79" s="56"/>
    </row>
    <row r="80" spans="1:29" x14ac:dyDescent="0.25">
      <c r="A80" s="35"/>
      <c r="B80" s="32" t="e">
        <f>VLOOKUP(A80,Relay!$A$1:$B$50,2,FALSE)</f>
        <v>#N/A</v>
      </c>
      <c r="C80" s="32" t="e">
        <f>VLOOKUP(A80,Relay!$A$2:$C$101,3,FALSE)</f>
        <v>#N/A</v>
      </c>
      <c r="D80" s="39"/>
      <c r="E80" s="35"/>
      <c r="F80" s="58" t="str">
        <f t="shared" si="3"/>
        <v>INS</v>
      </c>
      <c r="G80" s="32" t="e">
        <f>IF(OR(E80="Jeopardy",E80="APP Moonlighting",E80="Differential Pay"),"",April[[#This Row],[SysID]])</f>
        <v>#N/A</v>
      </c>
      <c r="H80" s="32" t="e">
        <f>IF(E80="Jeopardy",IF(C80="MD",Relay!$E$7,Relay!$E$8),IF(C80="MD",IF(COUNTIF(G:G,B80)&gt;1,Relay!$E$2,Relay!$E$1),IF(AND(COUNTIF(G:G,B80)&gt;1,COUNTA(A80)&gt;0),Relay!$E$5,Relay!$E$4)))</f>
        <v>#N/A</v>
      </c>
      <c r="I80" s="8">
        <f t="shared" si="4"/>
        <v>0</v>
      </c>
      <c r="J80" s="35"/>
      <c r="K80" s="35"/>
      <c r="L80" s="35"/>
      <c r="M80" s="35"/>
      <c r="N80" s="32" t="e">
        <f>IF(H80=April!$E$2,"N",IF(AND(COUNTIF(B:B,B80)=1,D80&gt;14),"Y","N"))</f>
        <v>#N/A</v>
      </c>
      <c r="O80" s="55" t="str">
        <f>IF(COUNT(April[[#This Row],[Date]])&gt;0,IF(April[[#This Row],[Date]]&gt;14,"Yes","No"),"N/A")</f>
        <v>N/A</v>
      </c>
      <c r="P80" s="55"/>
      <c r="Q80" s="5">
        <f>Relay!A79</f>
        <v>0</v>
      </c>
      <c r="R80" s="5">
        <f>Relay!B79</f>
        <v>78</v>
      </c>
      <c r="S80" s="8">
        <f>IF(April[After the 14th?]="No",SUMIF(April[SysID],R80,April[Pay Amount]),0)+IF(March[After the 14th?]="Yes",SUMIF(March[SysID],R80,March[Pay Amount]),0)</f>
        <v>0</v>
      </c>
      <c r="T80" s="8"/>
      <c r="U80" s="5" t="str">
        <f t="shared" si="5"/>
        <v>N</v>
      </c>
      <c r="X80" s="56"/>
      <c r="Y80" s="56"/>
      <c r="Z80" s="56"/>
      <c r="AA80" s="56"/>
      <c r="AC80" s="56"/>
    </row>
    <row r="81" spans="1:29" x14ac:dyDescent="0.25">
      <c r="A81" s="35"/>
      <c r="B81" s="32" t="e">
        <f>VLOOKUP(A81,Relay!$A$1:$B$50,2,FALSE)</f>
        <v>#N/A</v>
      </c>
      <c r="C81" s="32" t="e">
        <f>VLOOKUP(A81,Relay!$A$2:$C$101,3,FALSE)</f>
        <v>#N/A</v>
      </c>
      <c r="D81" s="39"/>
      <c r="E81" s="35"/>
      <c r="F81" s="58" t="str">
        <f t="shared" si="3"/>
        <v>INS</v>
      </c>
      <c r="G81" s="32" t="e">
        <f>IF(OR(E81="Jeopardy",E81="APP Moonlighting",E81="Differential Pay"),"",April[[#This Row],[SysID]])</f>
        <v>#N/A</v>
      </c>
      <c r="H81" s="32" t="e">
        <f>IF(E81="Jeopardy",IF(C81="MD",Relay!$E$7,Relay!$E$8),IF(C81="MD",IF(COUNTIF(G:G,B81)&gt;1,Relay!$E$2,Relay!$E$1),IF(AND(COUNTIF(G:G,B81)&gt;1,COUNTA(A81)&gt;0),Relay!$E$5,Relay!$E$4)))</f>
        <v>#N/A</v>
      </c>
      <c r="I81" s="8">
        <f t="shared" si="4"/>
        <v>0</v>
      </c>
      <c r="J81" s="35"/>
      <c r="K81" s="35"/>
      <c r="L81" s="35"/>
      <c r="M81" s="35"/>
      <c r="N81" s="32" t="e">
        <f>IF(H81=April!$E$2,"N",IF(AND(COUNTIF(B:B,B81)=1,D81&gt;14),"Y","N"))</f>
        <v>#N/A</v>
      </c>
      <c r="O81" s="55" t="str">
        <f>IF(COUNT(April[[#This Row],[Date]])&gt;0,IF(April[[#This Row],[Date]]&gt;14,"Yes","No"),"N/A")</f>
        <v>N/A</v>
      </c>
      <c r="P81" s="55"/>
      <c r="Q81" s="5">
        <f>Relay!A80</f>
        <v>0</v>
      </c>
      <c r="R81" s="5">
        <f>Relay!B80</f>
        <v>79</v>
      </c>
      <c r="S81" s="8">
        <f>IF(April[After the 14th?]="No",SUMIF(April[SysID],R81,April[Pay Amount]),0)+IF(March[After the 14th?]="Yes",SUMIF(March[SysID],R81,March[Pay Amount]),0)</f>
        <v>0</v>
      </c>
      <c r="T81" s="8"/>
      <c r="U81" s="5" t="str">
        <f t="shared" si="5"/>
        <v>N</v>
      </c>
      <c r="X81" s="56"/>
      <c r="Y81" s="56"/>
      <c r="Z81" s="56"/>
      <c r="AA81" s="56"/>
      <c r="AC81" s="56"/>
    </row>
    <row r="82" spans="1:29" x14ac:dyDescent="0.25">
      <c r="A82" s="35"/>
      <c r="B82" s="32" t="e">
        <f>VLOOKUP(A82,Relay!$A$1:$B$50,2,FALSE)</f>
        <v>#N/A</v>
      </c>
      <c r="C82" s="32" t="e">
        <f>VLOOKUP(A82,Relay!$A$2:$C$101,3,FALSE)</f>
        <v>#N/A</v>
      </c>
      <c r="D82" s="39"/>
      <c r="E82" s="35"/>
      <c r="F82" s="58" t="str">
        <f t="shared" si="3"/>
        <v>INS</v>
      </c>
      <c r="G82" s="32" t="e">
        <f>IF(OR(E82="Jeopardy",E82="APP Moonlighting",E82="Differential Pay"),"",April[[#This Row],[SysID]])</f>
        <v>#N/A</v>
      </c>
      <c r="H82" s="32" t="e">
        <f>IF(E82="Jeopardy",IF(C82="MD",Relay!$E$7,Relay!$E$8),IF(C82="MD",IF(COUNTIF(G:G,B82)&gt;1,Relay!$E$2,Relay!$E$1),IF(AND(COUNTIF(G:G,B82)&gt;1,COUNTA(A82)&gt;0),Relay!$E$5,Relay!$E$4)))</f>
        <v>#N/A</v>
      </c>
      <c r="I82" s="8">
        <f t="shared" si="4"/>
        <v>0</v>
      </c>
      <c r="J82" s="35"/>
      <c r="K82" s="35"/>
      <c r="L82" s="35"/>
      <c r="M82" s="35"/>
      <c r="N82" s="32" t="e">
        <f>IF(H82=April!$E$2,"N",IF(AND(COUNTIF(B:B,B82)=1,D82&gt;14),"Y","N"))</f>
        <v>#N/A</v>
      </c>
      <c r="O82" s="55" t="str">
        <f>IF(COUNT(April[[#This Row],[Date]])&gt;0,IF(April[[#This Row],[Date]]&gt;14,"Yes","No"),"N/A")</f>
        <v>N/A</v>
      </c>
      <c r="P82" s="55"/>
      <c r="Q82" s="5">
        <f>Relay!A81</f>
        <v>0</v>
      </c>
      <c r="R82" s="5">
        <f>Relay!B81</f>
        <v>80</v>
      </c>
      <c r="S82" s="8">
        <f>IF(April[After the 14th?]="No",SUMIF(April[SysID],R82,April[Pay Amount]),0)+IF(March[After the 14th?]="Yes",SUMIF(March[SysID],R82,March[Pay Amount]),0)</f>
        <v>0</v>
      </c>
      <c r="T82" s="8"/>
      <c r="U82" s="5" t="str">
        <f t="shared" si="5"/>
        <v>N</v>
      </c>
      <c r="X82" s="56"/>
      <c r="Y82" s="56"/>
      <c r="Z82" s="56"/>
      <c r="AA82" s="56"/>
      <c r="AC82" s="56"/>
    </row>
    <row r="83" spans="1:29" x14ac:dyDescent="0.25">
      <c r="A83" s="35"/>
      <c r="B83" s="32" t="e">
        <f>VLOOKUP(A83,Relay!$A$1:$B$50,2,FALSE)</f>
        <v>#N/A</v>
      </c>
      <c r="C83" s="32" t="e">
        <f>VLOOKUP(A83,Relay!$A$2:$C$101,3,FALSE)</f>
        <v>#N/A</v>
      </c>
      <c r="D83" s="39"/>
      <c r="E83" s="35"/>
      <c r="F83" s="58" t="str">
        <f t="shared" si="3"/>
        <v>INS</v>
      </c>
      <c r="G83" s="32" t="e">
        <f>IF(OR(E83="Jeopardy",E83="APP Moonlighting",E83="Differential Pay"),"",April[[#This Row],[SysID]])</f>
        <v>#N/A</v>
      </c>
      <c r="H83" s="32" t="e">
        <f>IF(E83="Jeopardy",IF(C83="MD",Relay!$E$7,Relay!$E$8),IF(C83="MD",IF(COUNTIF(G:G,B83)&gt;1,Relay!$E$2,Relay!$E$1),IF(AND(COUNTIF(G:G,B83)&gt;1,COUNTA(A83)&gt;0),Relay!$E$5,Relay!$E$4)))</f>
        <v>#N/A</v>
      </c>
      <c r="I83" s="8">
        <f t="shared" si="4"/>
        <v>0</v>
      </c>
      <c r="J83" s="35"/>
      <c r="K83" s="35"/>
      <c r="L83" s="35"/>
      <c r="M83" s="35"/>
      <c r="N83" s="32" t="e">
        <f>IF(H83=April!$E$2,"N",IF(AND(COUNTIF(B:B,B83)=1,D83&gt;14),"Y","N"))</f>
        <v>#N/A</v>
      </c>
      <c r="O83" s="55" t="str">
        <f>IF(COUNT(April[[#This Row],[Date]])&gt;0,IF(April[[#This Row],[Date]]&gt;14,"Yes","No"),"N/A")</f>
        <v>N/A</v>
      </c>
      <c r="P83" s="55"/>
      <c r="Q83" s="5">
        <f>Relay!A82</f>
        <v>0</v>
      </c>
      <c r="R83" s="5">
        <f>Relay!B82</f>
        <v>81</v>
      </c>
      <c r="S83" s="8">
        <f>IF(April[After the 14th?]="No",SUMIF(April[SysID],R83,April[Pay Amount]),0)+IF(March[After the 14th?]="Yes",SUMIF(March[SysID],R83,March[Pay Amount]),0)</f>
        <v>0</v>
      </c>
      <c r="T83" s="8"/>
      <c r="U83" s="5" t="str">
        <f t="shared" si="5"/>
        <v>N</v>
      </c>
      <c r="X83" s="56"/>
      <c r="Y83" s="56"/>
      <c r="Z83" s="56"/>
      <c r="AA83" s="56"/>
      <c r="AC83" s="56"/>
    </row>
    <row r="84" spans="1:29" x14ac:dyDescent="0.25">
      <c r="A84" s="35"/>
      <c r="B84" s="32" t="e">
        <f>VLOOKUP(A84,Relay!$A$1:$B$50,2,FALSE)</f>
        <v>#N/A</v>
      </c>
      <c r="C84" s="32" t="e">
        <f>VLOOKUP(A84,Relay!$A$2:$C$101,3,FALSE)</f>
        <v>#N/A</v>
      </c>
      <c r="D84" s="39"/>
      <c r="E84" s="35"/>
      <c r="F84" s="58" t="str">
        <f t="shared" si="3"/>
        <v>INS</v>
      </c>
      <c r="G84" s="32" t="e">
        <f>IF(OR(E84="Jeopardy",E84="APP Moonlighting",E84="Differential Pay"),"",April[[#This Row],[SysID]])</f>
        <v>#N/A</v>
      </c>
      <c r="H84" s="32" t="e">
        <f>IF(E84="Jeopardy",IF(C84="MD",Relay!$E$7,Relay!$E$8),IF(C84="MD",IF(COUNTIF(G:G,B84)&gt;1,Relay!$E$2,Relay!$E$1),IF(AND(COUNTIF(G:G,B84)&gt;1,COUNTA(A84)&gt;0),Relay!$E$5,Relay!$E$4)))</f>
        <v>#N/A</v>
      </c>
      <c r="I84" s="8">
        <f t="shared" si="4"/>
        <v>0</v>
      </c>
      <c r="J84" s="35"/>
      <c r="K84" s="35"/>
      <c r="L84" s="35"/>
      <c r="M84" s="35"/>
      <c r="N84" s="32" t="e">
        <f>IF(H84=April!$E$2,"N",IF(AND(COUNTIF(B:B,B84)=1,D84&gt;14),"Y","N"))</f>
        <v>#N/A</v>
      </c>
      <c r="O84" s="55" t="str">
        <f>IF(COUNT(April[[#This Row],[Date]])&gt;0,IF(April[[#This Row],[Date]]&gt;14,"Yes","No"),"N/A")</f>
        <v>N/A</v>
      </c>
      <c r="P84" s="55"/>
      <c r="Q84" s="5">
        <f>Relay!A83</f>
        <v>0</v>
      </c>
      <c r="R84" s="5">
        <f>Relay!B83</f>
        <v>82</v>
      </c>
      <c r="S84" s="8">
        <f>IF(April[After the 14th?]="No",SUMIF(April[SysID],R84,April[Pay Amount]),0)+IF(March[After the 14th?]="Yes",SUMIF(March[SysID],R84,March[Pay Amount]),0)</f>
        <v>0</v>
      </c>
      <c r="T84" s="8"/>
      <c r="U84" s="5" t="str">
        <f t="shared" si="5"/>
        <v>N</v>
      </c>
      <c r="X84" s="56"/>
      <c r="Y84" s="56"/>
      <c r="Z84" s="56"/>
      <c r="AA84" s="56"/>
      <c r="AC84" s="56"/>
    </row>
    <row r="85" spans="1:29" x14ac:dyDescent="0.25">
      <c r="A85" s="35"/>
      <c r="B85" s="32" t="e">
        <f>VLOOKUP(A85,Relay!$A$1:$B$50,2,FALSE)</f>
        <v>#N/A</v>
      </c>
      <c r="C85" s="32" t="e">
        <f>VLOOKUP(A85,Relay!$A$2:$C$101,3,FALSE)</f>
        <v>#N/A</v>
      </c>
      <c r="D85" s="39"/>
      <c r="E85" s="35"/>
      <c r="F85" s="58" t="str">
        <f t="shared" si="3"/>
        <v>INS</v>
      </c>
      <c r="G85" s="32" t="e">
        <f>IF(OR(E85="Jeopardy",E85="APP Moonlighting",E85="Differential Pay"),"",April[[#This Row],[SysID]])</f>
        <v>#N/A</v>
      </c>
      <c r="H85" s="32" t="e">
        <f>IF(E85="Jeopardy",IF(C85="MD",Relay!$E$7,Relay!$E$8),IF(C85="MD",IF(COUNTIF(G:G,B85)&gt;1,Relay!$E$2,Relay!$E$1),IF(AND(COUNTIF(G:G,B85)&gt;1,COUNTA(A85)&gt;0),Relay!$E$5,Relay!$E$4)))</f>
        <v>#N/A</v>
      </c>
      <c r="I85" s="8">
        <f t="shared" si="4"/>
        <v>0</v>
      </c>
      <c r="J85" s="35"/>
      <c r="K85" s="35"/>
      <c r="L85" s="35"/>
      <c r="M85" s="35"/>
      <c r="N85" s="32" t="e">
        <f>IF(H85=April!$E$2,"N",IF(AND(COUNTIF(B:B,B85)=1,D85&gt;14),"Y","N"))</f>
        <v>#N/A</v>
      </c>
      <c r="O85" s="55" t="str">
        <f>IF(COUNT(April[[#This Row],[Date]])&gt;0,IF(April[[#This Row],[Date]]&gt;14,"Yes","No"),"N/A")</f>
        <v>N/A</v>
      </c>
      <c r="P85" s="55"/>
      <c r="Q85" s="5">
        <f>Relay!A84</f>
        <v>0</v>
      </c>
      <c r="R85" s="5">
        <f>Relay!B84</f>
        <v>83</v>
      </c>
      <c r="S85" s="8">
        <f>IF(April[After the 14th?]="No",SUMIF(April[SysID],R85,April[Pay Amount]),0)+IF(March[After the 14th?]="Yes",SUMIF(March[SysID],R85,March[Pay Amount]),0)</f>
        <v>0</v>
      </c>
      <c r="T85" s="8"/>
      <c r="U85" s="5" t="str">
        <f t="shared" si="5"/>
        <v>N</v>
      </c>
      <c r="X85" s="56"/>
      <c r="Y85" s="56"/>
      <c r="Z85" s="56"/>
      <c r="AA85" s="56"/>
      <c r="AC85" s="56"/>
    </row>
    <row r="86" spans="1:29" x14ac:dyDescent="0.25">
      <c r="A86" s="35"/>
      <c r="B86" s="32" t="e">
        <f>VLOOKUP(A86,Relay!$A$1:$B$50,2,FALSE)</f>
        <v>#N/A</v>
      </c>
      <c r="C86" s="32" t="e">
        <f>VLOOKUP(A86,Relay!$A$2:$C$101,3,FALSE)</f>
        <v>#N/A</v>
      </c>
      <c r="D86" s="39"/>
      <c r="E86" s="35"/>
      <c r="F86" s="58" t="str">
        <f t="shared" si="3"/>
        <v>INS</v>
      </c>
      <c r="G86" s="32" t="e">
        <f>IF(OR(E86="Jeopardy",E86="APP Moonlighting",E86="Differential Pay"),"",April[[#This Row],[SysID]])</f>
        <v>#N/A</v>
      </c>
      <c r="H86" s="32" t="e">
        <f>IF(E86="Jeopardy",IF(C86="MD",Relay!$E$7,Relay!$E$8),IF(C86="MD",IF(COUNTIF(G:G,B86)&gt;1,Relay!$E$2,Relay!$E$1),IF(AND(COUNTIF(G:G,B86)&gt;1,COUNTA(A86)&gt;0),Relay!$E$5,Relay!$E$4)))</f>
        <v>#N/A</v>
      </c>
      <c r="I86" s="8">
        <f t="shared" si="4"/>
        <v>0</v>
      </c>
      <c r="J86" s="35"/>
      <c r="K86" s="35"/>
      <c r="L86" s="35"/>
      <c r="M86" s="35"/>
      <c r="N86" s="32" t="e">
        <f>IF(H86=April!$E$2,"N",IF(AND(COUNTIF(B:B,B86)=1,D86&gt;14),"Y","N"))</f>
        <v>#N/A</v>
      </c>
      <c r="O86" s="55" t="str">
        <f>IF(COUNT(April[[#This Row],[Date]])&gt;0,IF(April[[#This Row],[Date]]&gt;14,"Yes","No"),"N/A")</f>
        <v>N/A</v>
      </c>
      <c r="P86" s="55"/>
      <c r="Q86" s="5">
        <f>Relay!A85</f>
        <v>0</v>
      </c>
      <c r="R86" s="5">
        <f>Relay!B85</f>
        <v>84</v>
      </c>
      <c r="S86" s="8">
        <f>IF(April[After the 14th?]="No",SUMIF(April[SysID],R86,April[Pay Amount]),0)+IF(March[After the 14th?]="Yes",SUMIF(March[SysID],R86,March[Pay Amount]),0)</f>
        <v>0</v>
      </c>
      <c r="T86" s="8"/>
      <c r="U86" s="5" t="str">
        <f t="shared" si="5"/>
        <v>N</v>
      </c>
      <c r="X86" s="56"/>
      <c r="Y86" s="56"/>
      <c r="Z86" s="56"/>
      <c r="AA86" s="56"/>
      <c r="AC86" s="56"/>
    </row>
    <row r="87" spans="1:29" x14ac:dyDescent="0.25">
      <c r="A87" s="35"/>
      <c r="B87" s="32" t="e">
        <f>VLOOKUP(A87,Relay!$A$1:$B$50,2,FALSE)</f>
        <v>#N/A</v>
      </c>
      <c r="C87" s="32" t="e">
        <f>VLOOKUP(A87,Relay!$A$2:$C$101,3,FALSE)</f>
        <v>#N/A</v>
      </c>
      <c r="D87" s="39"/>
      <c r="E87" s="35"/>
      <c r="F87" s="58" t="str">
        <f t="shared" si="3"/>
        <v>INS</v>
      </c>
      <c r="G87" s="32" t="e">
        <f>IF(OR(E87="Jeopardy",E87="APP Moonlighting",E87="Differential Pay"),"",April[[#This Row],[SysID]])</f>
        <v>#N/A</v>
      </c>
      <c r="H87" s="32" t="e">
        <f>IF(E87="Jeopardy",IF(C87="MD",Relay!$E$7,Relay!$E$8),IF(C87="MD",IF(COUNTIF(G:G,B87)&gt;1,Relay!$E$2,Relay!$E$1),IF(AND(COUNTIF(G:G,B87)&gt;1,COUNTA(A87)&gt;0),Relay!$E$5,Relay!$E$4)))</f>
        <v>#N/A</v>
      </c>
      <c r="I87" s="8">
        <f t="shared" si="4"/>
        <v>0</v>
      </c>
      <c r="J87" s="35"/>
      <c r="K87" s="35"/>
      <c r="L87" s="35"/>
      <c r="M87" s="35"/>
      <c r="N87" s="32" t="e">
        <f>IF(H87=April!$E$2,"N",IF(AND(COUNTIF(B:B,B87)=1,D87&gt;14),"Y","N"))</f>
        <v>#N/A</v>
      </c>
      <c r="O87" s="55" t="str">
        <f>IF(COUNT(April[[#This Row],[Date]])&gt;0,IF(April[[#This Row],[Date]]&gt;14,"Yes","No"),"N/A")</f>
        <v>N/A</v>
      </c>
      <c r="P87" s="55"/>
      <c r="Q87" s="5">
        <f>Relay!A86</f>
        <v>0</v>
      </c>
      <c r="R87" s="5">
        <f>Relay!B86</f>
        <v>85</v>
      </c>
      <c r="S87" s="8">
        <f>IF(April[After the 14th?]="No",SUMIF(April[SysID],R87,April[Pay Amount]),0)+IF(March[After the 14th?]="Yes",SUMIF(March[SysID],R87,March[Pay Amount]),0)</f>
        <v>0</v>
      </c>
      <c r="T87" s="8"/>
      <c r="U87" s="5" t="str">
        <f t="shared" si="5"/>
        <v>N</v>
      </c>
      <c r="X87" s="56"/>
      <c r="Y87" s="56"/>
      <c r="Z87" s="56"/>
      <c r="AA87" s="56"/>
      <c r="AC87" s="56"/>
    </row>
    <row r="88" spans="1:29" x14ac:dyDescent="0.25">
      <c r="A88" s="35"/>
      <c r="B88" s="32" t="e">
        <f>VLOOKUP(A88,Relay!$A$1:$B$50,2,FALSE)</f>
        <v>#N/A</v>
      </c>
      <c r="C88" s="32" t="e">
        <f>VLOOKUP(A88,Relay!$A$2:$C$101,3,FALSE)</f>
        <v>#N/A</v>
      </c>
      <c r="D88" s="39"/>
      <c r="E88" s="35"/>
      <c r="F88" s="58" t="str">
        <f t="shared" si="3"/>
        <v>INS</v>
      </c>
      <c r="G88" s="32" t="e">
        <f>IF(OR(E88="Jeopardy",E88="APP Moonlighting",E88="Differential Pay"),"",April[[#This Row],[SysID]])</f>
        <v>#N/A</v>
      </c>
      <c r="H88" s="32" t="e">
        <f>IF(E88="Jeopardy",IF(C88="MD",Relay!$E$7,Relay!$E$8),IF(C88="MD",IF(COUNTIF(G:G,B88)&gt;1,Relay!$E$2,Relay!$E$1),IF(AND(COUNTIF(G:G,B88)&gt;1,COUNTA(A88)&gt;0),Relay!$E$5,Relay!$E$4)))</f>
        <v>#N/A</v>
      </c>
      <c r="I88" s="8">
        <f t="shared" si="4"/>
        <v>0</v>
      </c>
      <c r="J88" s="35"/>
      <c r="K88" s="35"/>
      <c r="L88" s="35"/>
      <c r="M88" s="35"/>
      <c r="N88" s="32" t="e">
        <f>IF(H88=April!$E$2,"N",IF(AND(COUNTIF(B:B,B88)=1,D88&gt;14),"Y","N"))</f>
        <v>#N/A</v>
      </c>
      <c r="O88" s="55" t="str">
        <f>IF(COUNT(April[[#This Row],[Date]])&gt;0,IF(April[[#This Row],[Date]]&gt;14,"Yes","No"),"N/A")</f>
        <v>N/A</v>
      </c>
      <c r="P88" s="55"/>
      <c r="Q88" s="5">
        <f>Relay!A87</f>
        <v>0</v>
      </c>
      <c r="R88" s="5">
        <f>Relay!B87</f>
        <v>86</v>
      </c>
      <c r="S88" s="8">
        <f>IF(April[After the 14th?]="No",SUMIF(April[SysID],R88,April[Pay Amount]),0)+IF(March[After the 14th?]="Yes",SUMIF(March[SysID],R88,March[Pay Amount]),0)</f>
        <v>0</v>
      </c>
      <c r="T88" s="8"/>
      <c r="U88" s="5" t="str">
        <f t="shared" si="5"/>
        <v>N</v>
      </c>
      <c r="X88" s="56"/>
      <c r="Y88" s="56"/>
      <c r="Z88" s="56"/>
      <c r="AA88" s="56"/>
      <c r="AC88" s="56"/>
    </row>
    <row r="89" spans="1:29" x14ac:dyDescent="0.25">
      <c r="A89" s="35"/>
      <c r="B89" s="32" t="e">
        <f>VLOOKUP(A89,Relay!$A$1:$B$50,2,FALSE)</f>
        <v>#N/A</v>
      </c>
      <c r="C89" s="32" t="e">
        <f>VLOOKUP(A89,Relay!$A$2:$C$101,3,FALSE)</f>
        <v>#N/A</v>
      </c>
      <c r="D89" s="39"/>
      <c r="E89" s="35"/>
      <c r="F89" s="58" t="str">
        <f t="shared" si="3"/>
        <v>INS</v>
      </c>
      <c r="G89" s="32" t="e">
        <f>IF(OR(E89="Jeopardy",E89="APP Moonlighting",E89="Differential Pay"),"",April[[#This Row],[SysID]])</f>
        <v>#N/A</v>
      </c>
      <c r="H89" s="32" t="e">
        <f>IF(E89="Jeopardy",IF(C89="MD",Relay!$E$7,Relay!$E$8),IF(C89="MD",IF(COUNTIF(G:G,B89)&gt;1,Relay!$E$2,Relay!$E$1),IF(AND(COUNTIF(G:G,B89)&gt;1,COUNTA(A89)&gt;0),Relay!$E$5,Relay!$E$4)))</f>
        <v>#N/A</v>
      </c>
      <c r="I89" s="8">
        <f t="shared" si="4"/>
        <v>0</v>
      </c>
      <c r="J89" s="35"/>
      <c r="K89" s="35"/>
      <c r="L89" s="35"/>
      <c r="M89" s="35"/>
      <c r="N89" s="32" t="e">
        <f>IF(H89=April!$E$2,"N",IF(AND(COUNTIF(B:B,B89)=1,D89&gt;14),"Y","N"))</f>
        <v>#N/A</v>
      </c>
      <c r="O89" s="55" t="str">
        <f>IF(COUNT(April[[#This Row],[Date]])&gt;0,IF(April[[#This Row],[Date]]&gt;14,"Yes","No"),"N/A")</f>
        <v>N/A</v>
      </c>
      <c r="P89" s="55"/>
      <c r="Q89" s="5">
        <f>Relay!A88</f>
        <v>0</v>
      </c>
      <c r="R89" s="5">
        <f>Relay!B88</f>
        <v>87</v>
      </c>
      <c r="S89" s="8">
        <f>IF(April[After the 14th?]="No",SUMIF(April[SysID],R89,April[Pay Amount]),0)+IF(March[After the 14th?]="Yes",SUMIF(March[SysID],R89,March[Pay Amount]),0)</f>
        <v>0</v>
      </c>
      <c r="T89" s="8"/>
      <c r="U89" s="5" t="str">
        <f t="shared" si="5"/>
        <v>N</v>
      </c>
      <c r="X89" s="56"/>
      <c r="Y89" s="56"/>
      <c r="Z89" s="56"/>
      <c r="AA89" s="56"/>
      <c r="AC89" s="56"/>
    </row>
    <row r="90" spans="1:29" x14ac:dyDescent="0.25">
      <c r="A90" s="35"/>
      <c r="B90" s="32" t="e">
        <f>VLOOKUP(A90,Relay!$A$1:$B$50,2,FALSE)</f>
        <v>#N/A</v>
      </c>
      <c r="C90" s="32" t="e">
        <f>VLOOKUP(A90,Relay!$A$2:$C$101,3,FALSE)</f>
        <v>#N/A</v>
      </c>
      <c r="D90" s="39"/>
      <c r="E90" s="35"/>
      <c r="F90" s="58" t="str">
        <f t="shared" si="3"/>
        <v>INS</v>
      </c>
      <c r="G90" s="32" t="e">
        <f>IF(OR(E90="Jeopardy",E90="APP Moonlighting",E90="Differential Pay"),"",April[[#This Row],[SysID]])</f>
        <v>#N/A</v>
      </c>
      <c r="H90" s="32" t="e">
        <f>IF(E90="Jeopardy",IF(C90="MD",Relay!$E$7,Relay!$E$8),IF(C90="MD",IF(COUNTIF(G:G,B90)&gt;1,Relay!$E$2,Relay!$E$1),IF(AND(COUNTIF(G:G,B90)&gt;1,COUNTA(A90)&gt;0),Relay!$E$5,Relay!$E$4)))</f>
        <v>#N/A</v>
      </c>
      <c r="I90" s="8">
        <f t="shared" si="4"/>
        <v>0</v>
      </c>
      <c r="J90" s="35"/>
      <c r="K90" s="35"/>
      <c r="L90" s="35"/>
      <c r="M90" s="35"/>
      <c r="N90" s="32" t="e">
        <f>IF(H90=April!$E$2,"N",IF(AND(COUNTIF(B:B,B90)=1,D90&gt;14),"Y","N"))</f>
        <v>#N/A</v>
      </c>
      <c r="O90" s="55" t="str">
        <f>IF(COUNT(April[[#This Row],[Date]])&gt;0,IF(April[[#This Row],[Date]]&gt;14,"Yes","No"),"N/A")</f>
        <v>N/A</v>
      </c>
      <c r="P90" s="55"/>
      <c r="Q90" s="5">
        <f>Relay!A89</f>
        <v>0</v>
      </c>
      <c r="R90" s="5">
        <f>Relay!B89</f>
        <v>88</v>
      </c>
      <c r="S90" s="8">
        <f>IF(April[After the 14th?]="No",SUMIF(April[SysID],R90,April[Pay Amount]),0)+IF(March[After the 14th?]="Yes",SUMIF(March[SysID],R90,March[Pay Amount]),0)</f>
        <v>0</v>
      </c>
      <c r="T90" s="8"/>
      <c r="U90" s="5" t="str">
        <f t="shared" si="5"/>
        <v>N</v>
      </c>
      <c r="X90" s="56"/>
      <c r="Y90" s="56"/>
      <c r="Z90" s="56"/>
      <c r="AA90" s="56"/>
      <c r="AC90" s="56"/>
    </row>
    <row r="91" spans="1:29" x14ac:dyDescent="0.25">
      <c r="A91" s="35"/>
      <c r="B91" s="32" t="e">
        <f>VLOOKUP(A91,Relay!$A$1:$B$50,2,FALSE)</f>
        <v>#N/A</v>
      </c>
      <c r="C91" s="32" t="e">
        <f>VLOOKUP(A91,Relay!$A$2:$C$101,3,FALSE)</f>
        <v>#N/A</v>
      </c>
      <c r="D91" s="39"/>
      <c r="E91" s="35"/>
      <c r="F91" s="58" t="str">
        <f t="shared" si="3"/>
        <v>INS</v>
      </c>
      <c r="G91" s="32" t="e">
        <f>IF(OR(E91="Jeopardy",E91="APP Moonlighting",E91="Differential Pay"),"",April[[#This Row],[SysID]])</f>
        <v>#N/A</v>
      </c>
      <c r="H91" s="32" t="e">
        <f>IF(E91="Jeopardy",IF(C91="MD",Relay!$E$7,Relay!$E$8),IF(C91="MD",IF(COUNTIF(G:G,B91)&gt;1,Relay!$E$2,Relay!$E$1),IF(AND(COUNTIF(G:G,B91)&gt;1,COUNTA(A91)&gt;0),Relay!$E$5,Relay!$E$4)))</f>
        <v>#N/A</v>
      </c>
      <c r="I91" s="8">
        <f t="shared" si="4"/>
        <v>0</v>
      </c>
      <c r="J91" s="35"/>
      <c r="K91" s="35"/>
      <c r="L91" s="35"/>
      <c r="M91" s="35"/>
      <c r="N91" s="32" t="e">
        <f>IF(H91=April!$E$2,"N",IF(AND(COUNTIF(B:B,B91)=1,D91&gt;14),"Y","N"))</f>
        <v>#N/A</v>
      </c>
      <c r="O91" s="55" t="str">
        <f>IF(COUNT(April[[#This Row],[Date]])&gt;0,IF(April[[#This Row],[Date]]&gt;14,"Yes","No"),"N/A")</f>
        <v>N/A</v>
      </c>
      <c r="P91" s="55"/>
      <c r="Q91" s="5">
        <f>Relay!A90</f>
        <v>0</v>
      </c>
      <c r="R91" s="5">
        <f>Relay!B90</f>
        <v>89</v>
      </c>
      <c r="S91" s="8">
        <f>IF(April[After the 14th?]="No",SUMIF(April[SysID],R91,April[Pay Amount]),0)+IF(March[After the 14th?]="Yes",SUMIF(March[SysID],R91,March[Pay Amount]),0)</f>
        <v>0</v>
      </c>
      <c r="T91" s="8"/>
      <c r="U91" s="5" t="str">
        <f t="shared" si="5"/>
        <v>N</v>
      </c>
      <c r="X91" s="56"/>
      <c r="Y91" s="56"/>
      <c r="Z91" s="56"/>
      <c r="AA91" s="56"/>
      <c r="AC91" s="56"/>
    </row>
    <row r="92" spans="1:29" x14ac:dyDescent="0.25">
      <c r="A92" s="35"/>
      <c r="B92" s="32" t="e">
        <f>VLOOKUP(A92,Relay!$A$1:$B$50,2,FALSE)</f>
        <v>#N/A</v>
      </c>
      <c r="C92" s="32" t="e">
        <f>VLOOKUP(A92,Relay!$A$2:$C$101,3,FALSE)</f>
        <v>#N/A</v>
      </c>
      <c r="D92" s="39"/>
      <c r="E92" s="35"/>
      <c r="F92" s="58" t="str">
        <f t="shared" si="3"/>
        <v>INS</v>
      </c>
      <c r="G92" s="32" t="e">
        <f>IF(OR(E92="Jeopardy",E92="APP Moonlighting",E92="Differential Pay"),"",April[[#This Row],[SysID]])</f>
        <v>#N/A</v>
      </c>
      <c r="H92" s="32" t="e">
        <f>IF(E92="Jeopardy",IF(C92="MD",Relay!$E$7,Relay!$E$8),IF(C92="MD",IF(COUNTIF(G:G,B92)&gt;1,Relay!$E$2,Relay!$E$1),IF(AND(COUNTIF(G:G,B92)&gt;1,COUNTA(A92)&gt;0),Relay!$E$5,Relay!$E$4)))</f>
        <v>#N/A</v>
      </c>
      <c r="I92" s="8">
        <f t="shared" si="4"/>
        <v>0</v>
      </c>
      <c r="J92" s="35"/>
      <c r="K92" s="35"/>
      <c r="L92" s="35"/>
      <c r="M92" s="35"/>
      <c r="N92" s="32" t="e">
        <f>IF(H92=April!$E$2,"N",IF(AND(COUNTIF(B:B,B92)=1,D92&gt;14),"Y","N"))</f>
        <v>#N/A</v>
      </c>
      <c r="O92" s="55" t="str">
        <f>IF(COUNT(April[[#This Row],[Date]])&gt;0,IF(April[[#This Row],[Date]]&gt;14,"Yes","No"),"N/A")</f>
        <v>N/A</v>
      </c>
      <c r="P92" s="55"/>
      <c r="Q92" s="5">
        <f>Relay!A91</f>
        <v>0</v>
      </c>
      <c r="R92" s="5">
        <f>Relay!B91</f>
        <v>90</v>
      </c>
      <c r="S92" s="8">
        <f>IF(April[After the 14th?]="No",SUMIF(April[SysID],R92,April[Pay Amount]),0)+IF(March[After the 14th?]="Yes",SUMIF(March[SysID],R92,March[Pay Amount]),0)</f>
        <v>0</v>
      </c>
      <c r="T92" s="8"/>
      <c r="U92" s="5" t="str">
        <f t="shared" si="5"/>
        <v>N</v>
      </c>
      <c r="X92" s="56"/>
      <c r="Y92" s="56"/>
      <c r="Z92" s="56"/>
      <c r="AA92" s="56"/>
      <c r="AC92" s="56"/>
    </row>
    <row r="93" spans="1:29" x14ac:dyDescent="0.25">
      <c r="A93" s="35"/>
      <c r="B93" s="32" t="e">
        <f>VLOOKUP(A93,Relay!$A$1:$B$50,2,FALSE)</f>
        <v>#N/A</v>
      </c>
      <c r="C93" s="32" t="e">
        <f>VLOOKUP(A93,Relay!$A$2:$C$101,3,FALSE)</f>
        <v>#N/A</v>
      </c>
      <c r="D93" s="39"/>
      <c r="E93" s="35"/>
      <c r="F93" s="58" t="str">
        <f t="shared" si="3"/>
        <v>INS</v>
      </c>
      <c r="G93" s="32" t="e">
        <f>IF(OR(E93="Jeopardy",E93="APP Moonlighting",E93="Differential Pay"),"",April[[#This Row],[SysID]])</f>
        <v>#N/A</v>
      </c>
      <c r="H93" s="32" t="e">
        <f>IF(E93="Jeopardy",IF(C93="MD",Relay!$E$7,Relay!$E$8),IF(C93="MD",IF(COUNTIF(G:G,B93)&gt;1,Relay!$E$2,Relay!$E$1),IF(AND(COUNTIF(G:G,B93)&gt;1,COUNTA(A93)&gt;0),Relay!$E$5,Relay!$E$4)))</f>
        <v>#N/A</v>
      </c>
      <c r="I93" s="8">
        <f t="shared" si="4"/>
        <v>0</v>
      </c>
      <c r="J93" s="35"/>
      <c r="K93" s="35"/>
      <c r="L93" s="35"/>
      <c r="M93" s="35"/>
      <c r="N93" s="32" t="e">
        <f>IF(H93=April!$E$2,"N",IF(AND(COUNTIF(B:B,B93)=1,D93&gt;14),"Y","N"))</f>
        <v>#N/A</v>
      </c>
      <c r="O93" s="55" t="str">
        <f>IF(COUNT(April[[#This Row],[Date]])&gt;0,IF(April[[#This Row],[Date]]&gt;14,"Yes","No"),"N/A")</f>
        <v>N/A</v>
      </c>
      <c r="P93" s="55"/>
      <c r="Q93" s="5">
        <f>Relay!A92</f>
        <v>0</v>
      </c>
      <c r="R93" s="5">
        <f>Relay!B92</f>
        <v>91</v>
      </c>
      <c r="S93" s="8">
        <f>IF(April[After the 14th?]="No",SUMIF(April[SysID],R93,April[Pay Amount]),0)+IF(March[After the 14th?]="Yes",SUMIF(March[SysID],R93,March[Pay Amount]),0)</f>
        <v>0</v>
      </c>
      <c r="T93" s="8"/>
      <c r="U93" s="5" t="str">
        <f t="shared" si="5"/>
        <v>N</v>
      </c>
      <c r="X93" s="56"/>
      <c r="Y93" s="56"/>
      <c r="Z93" s="56"/>
      <c r="AA93" s="56"/>
      <c r="AC93" s="56"/>
    </row>
    <row r="94" spans="1:29" x14ac:dyDescent="0.25">
      <c r="A94" s="35"/>
      <c r="B94" s="32" t="e">
        <f>VLOOKUP(A94,Relay!$A$1:$B$50,2,FALSE)</f>
        <v>#N/A</v>
      </c>
      <c r="C94" s="32" t="e">
        <f>VLOOKUP(A94,Relay!$A$2:$C$101,3,FALSE)</f>
        <v>#N/A</v>
      </c>
      <c r="D94" s="39"/>
      <c r="E94" s="35"/>
      <c r="F94" s="58" t="str">
        <f t="shared" si="3"/>
        <v>INS</v>
      </c>
      <c r="G94" s="32" t="e">
        <f>IF(OR(E94="Jeopardy",E94="APP Moonlighting",E94="Differential Pay"),"",April[[#This Row],[SysID]])</f>
        <v>#N/A</v>
      </c>
      <c r="H94" s="32" t="e">
        <f>IF(E94="Jeopardy",IF(C94="MD",Relay!$E$7,Relay!$E$8),IF(C94="MD",IF(COUNTIF(G:G,B94)&gt;1,Relay!$E$2,Relay!$E$1),IF(AND(COUNTIF(G:G,B94)&gt;1,COUNTA(A94)&gt;0),Relay!$E$5,Relay!$E$4)))</f>
        <v>#N/A</v>
      </c>
      <c r="I94" s="8">
        <f t="shared" si="4"/>
        <v>0</v>
      </c>
      <c r="J94" s="35"/>
      <c r="K94" s="35"/>
      <c r="L94" s="35"/>
      <c r="M94" s="35"/>
      <c r="N94" s="32" t="e">
        <f>IF(H94=April!$E$2,"N",IF(AND(COUNTIF(B:B,B94)=1,D94&gt;14),"Y","N"))</f>
        <v>#N/A</v>
      </c>
      <c r="O94" s="55" t="str">
        <f>IF(COUNT(April[[#This Row],[Date]])&gt;0,IF(April[[#This Row],[Date]]&gt;14,"Yes","No"),"N/A")</f>
        <v>N/A</v>
      </c>
      <c r="P94" s="55"/>
      <c r="Q94" s="5">
        <f>Relay!A93</f>
        <v>0</v>
      </c>
      <c r="R94" s="5">
        <f>Relay!B93</f>
        <v>92</v>
      </c>
      <c r="S94" s="8">
        <f>IF(April[After the 14th?]="No",SUMIF(April[SysID],R94,April[Pay Amount]),0)+IF(March[After the 14th?]="Yes",SUMIF(March[SysID],R94,March[Pay Amount]),0)</f>
        <v>0</v>
      </c>
      <c r="T94" s="8"/>
      <c r="U94" s="5" t="str">
        <f t="shared" si="5"/>
        <v>N</v>
      </c>
      <c r="X94" s="56"/>
      <c r="Y94" s="56"/>
      <c r="Z94" s="56"/>
      <c r="AA94" s="56"/>
      <c r="AC94" s="56"/>
    </row>
    <row r="95" spans="1:29" x14ac:dyDescent="0.25">
      <c r="A95" s="35"/>
      <c r="B95" s="32" t="e">
        <f>VLOOKUP(A95,Relay!$A$1:$B$50,2,FALSE)</f>
        <v>#N/A</v>
      </c>
      <c r="C95" s="32" t="e">
        <f>VLOOKUP(A95,Relay!$A$2:$C$101,3,FALSE)</f>
        <v>#N/A</v>
      </c>
      <c r="D95" s="39"/>
      <c r="E95" s="35"/>
      <c r="F95" s="58" t="str">
        <f t="shared" si="3"/>
        <v>INS</v>
      </c>
      <c r="G95" s="32" t="e">
        <f>IF(OR(E95="Jeopardy",E95="APP Moonlighting",E95="Differential Pay"),"",April[[#This Row],[SysID]])</f>
        <v>#N/A</v>
      </c>
      <c r="H95" s="32" t="e">
        <f>IF(E95="Jeopardy",IF(C95="MD",Relay!$E$7,Relay!$E$8),IF(C95="MD",IF(COUNTIF(G:G,B95)&gt;1,Relay!$E$2,Relay!$E$1),IF(AND(COUNTIF(G:G,B95)&gt;1,COUNTA(A95)&gt;0),Relay!$E$5,Relay!$E$4)))</f>
        <v>#N/A</v>
      </c>
      <c r="I95" s="8">
        <f t="shared" si="4"/>
        <v>0</v>
      </c>
      <c r="J95" s="35"/>
      <c r="K95" s="35"/>
      <c r="L95" s="35"/>
      <c r="M95" s="35"/>
      <c r="N95" s="32" t="e">
        <f>IF(H95=April!$E$2,"N",IF(AND(COUNTIF(B:B,B95)=1,D95&gt;14),"Y","N"))</f>
        <v>#N/A</v>
      </c>
      <c r="O95" s="55" t="str">
        <f>IF(COUNT(April[[#This Row],[Date]])&gt;0,IF(April[[#This Row],[Date]]&gt;14,"Yes","No"),"N/A")</f>
        <v>N/A</v>
      </c>
      <c r="P95" s="55"/>
      <c r="Q95" s="5">
        <f>Relay!A94</f>
        <v>0</v>
      </c>
      <c r="R95" s="5">
        <f>Relay!B94</f>
        <v>93</v>
      </c>
      <c r="S95" s="8">
        <f>IF(April[After the 14th?]="No",SUMIF(April[SysID],R95,April[Pay Amount]),0)+IF(March[After the 14th?]="Yes",SUMIF(March[SysID],R95,March[Pay Amount]),0)</f>
        <v>0</v>
      </c>
      <c r="T95" s="8"/>
      <c r="U95" s="5" t="str">
        <f t="shared" si="5"/>
        <v>N</v>
      </c>
      <c r="X95" s="56"/>
      <c r="Y95" s="56"/>
      <c r="Z95" s="56"/>
      <c r="AA95" s="56"/>
      <c r="AC95" s="56"/>
    </row>
    <row r="96" spans="1:29" x14ac:dyDescent="0.25">
      <c r="A96" s="35"/>
      <c r="B96" s="32" t="e">
        <f>VLOOKUP(A96,Relay!$A$1:$B$50,2,FALSE)</f>
        <v>#N/A</v>
      </c>
      <c r="C96" s="32" t="e">
        <f>VLOOKUP(A96,Relay!$A$2:$C$101,3,FALSE)</f>
        <v>#N/A</v>
      </c>
      <c r="D96" s="39"/>
      <c r="E96" s="35"/>
      <c r="F96" s="58" t="str">
        <f t="shared" si="3"/>
        <v>INS</v>
      </c>
      <c r="G96" s="32" t="e">
        <f>IF(OR(E96="Jeopardy",E96="APP Moonlighting",E96="Differential Pay"),"",April[[#This Row],[SysID]])</f>
        <v>#N/A</v>
      </c>
      <c r="H96" s="32" t="e">
        <f>IF(E96="Jeopardy",IF(C96="MD",Relay!$E$7,Relay!$E$8),IF(C96="MD",IF(COUNTIF(G:G,B96)&gt;1,Relay!$E$2,Relay!$E$1),IF(AND(COUNTIF(G:G,B96)&gt;1,COUNTA(A96)&gt;0),Relay!$E$5,Relay!$E$4)))</f>
        <v>#N/A</v>
      </c>
      <c r="I96" s="8">
        <f t="shared" si="4"/>
        <v>0</v>
      </c>
      <c r="J96" s="35"/>
      <c r="K96" s="35"/>
      <c r="L96" s="35"/>
      <c r="M96" s="35"/>
      <c r="N96" s="32" t="e">
        <f>IF(H96=April!$E$2,"N",IF(AND(COUNTIF(B:B,B96)=1,D96&gt;14),"Y","N"))</f>
        <v>#N/A</v>
      </c>
      <c r="O96" s="55" t="str">
        <f>IF(COUNT(April[[#This Row],[Date]])&gt;0,IF(April[[#This Row],[Date]]&gt;14,"Yes","No"),"N/A")</f>
        <v>N/A</v>
      </c>
      <c r="P96" s="55"/>
      <c r="Q96" s="5">
        <f>Relay!A95</f>
        <v>0</v>
      </c>
      <c r="R96" s="5">
        <f>Relay!B95</f>
        <v>94</v>
      </c>
      <c r="S96" s="8">
        <f>IF(April[After the 14th?]="No",SUMIF(April[SysID],R96,April[Pay Amount]),0)+IF(March[After the 14th?]="Yes",SUMIF(March[SysID],R96,March[Pay Amount]),0)</f>
        <v>0</v>
      </c>
      <c r="T96" s="8"/>
      <c r="U96" s="5" t="str">
        <f t="shared" si="5"/>
        <v>N</v>
      </c>
      <c r="X96" s="56"/>
      <c r="Y96" s="56"/>
      <c r="Z96" s="56"/>
      <c r="AA96" s="56"/>
      <c r="AC96" s="56"/>
    </row>
    <row r="97" spans="1:29" x14ac:dyDescent="0.25">
      <c r="A97" s="35"/>
      <c r="B97" s="32" t="e">
        <f>VLOOKUP(A97,Relay!$A$1:$B$50,2,FALSE)</f>
        <v>#N/A</v>
      </c>
      <c r="C97" s="32" t="e">
        <f>VLOOKUP(A97,Relay!$A$2:$C$101,3,FALSE)</f>
        <v>#N/A</v>
      </c>
      <c r="D97" s="39"/>
      <c r="E97" s="35"/>
      <c r="F97" s="58" t="str">
        <f t="shared" si="3"/>
        <v>INS</v>
      </c>
      <c r="G97" s="32" t="e">
        <f>IF(OR(E97="Jeopardy",E97="APP Moonlighting",E97="Differential Pay"),"",April[[#This Row],[SysID]])</f>
        <v>#N/A</v>
      </c>
      <c r="H97" s="32" t="e">
        <f>IF(E97="Jeopardy",IF(C97="MD",Relay!$E$7,Relay!$E$8),IF(C97="MD",IF(COUNTIF(G:G,B97)&gt;1,Relay!$E$2,Relay!$E$1),IF(AND(COUNTIF(G:G,B97)&gt;1,COUNTA(A97)&gt;0),Relay!$E$5,Relay!$E$4)))</f>
        <v>#N/A</v>
      </c>
      <c r="I97" s="8">
        <f t="shared" si="4"/>
        <v>0</v>
      </c>
      <c r="J97" s="35"/>
      <c r="K97" s="35"/>
      <c r="L97" s="35"/>
      <c r="M97" s="35"/>
      <c r="N97" s="32" t="e">
        <f>IF(H97=April!$E$2,"N",IF(AND(COUNTIF(B:B,B97)=1,D97&gt;14),"Y","N"))</f>
        <v>#N/A</v>
      </c>
      <c r="O97" s="55" t="str">
        <f>IF(COUNT(April[[#This Row],[Date]])&gt;0,IF(April[[#This Row],[Date]]&gt;14,"Yes","No"),"N/A")</f>
        <v>N/A</v>
      </c>
      <c r="P97" s="55"/>
      <c r="Q97" s="5">
        <f>Relay!A96</f>
        <v>0</v>
      </c>
      <c r="R97" s="5">
        <f>Relay!B96</f>
        <v>95</v>
      </c>
      <c r="S97" s="8">
        <f>IF(April[After the 14th?]="No",SUMIF(April[SysID],R97,April[Pay Amount]),0)+IF(March[After the 14th?]="Yes",SUMIF(March[SysID],R97,March[Pay Amount]),0)</f>
        <v>0</v>
      </c>
      <c r="T97" s="8"/>
      <c r="U97" s="5" t="str">
        <f t="shared" si="5"/>
        <v>N</v>
      </c>
      <c r="X97" s="56"/>
      <c r="Y97" s="56"/>
      <c r="Z97" s="56"/>
      <c r="AA97" s="56"/>
      <c r="AC97" s="56"/>
    </row>
    <row r="98" spans="1:29" x14ac:dyDescent="0.25">
      <c r="A98" s="35"/>
      <c r="B98" s="32" t="e">
        <f>VLOOKUP(A98,Relay!$A$1:$B$50,2,FALSE)</f>
        <v>#N/A</v>
      </c>
      <c r="C98" s="32" t="e">
        <f>VLOOKUP(A98,Relay!$A$2:$C$101,3,FALSE)</f>
        <v>#N/A</v>
      </c>
      <c r="D98" s="39"/>
      <c r="E98" s="35"/>
      <c r="F98" s="58" t="str">
        <f t="shared" si="3"/>
        <v>INS</v>
      </c>
      <c r="G98" s="32" t="e">
        <f>IF(OR(E98="Jeopardy",E98="APP Moonlighting",E98="Differential Pay"),"",April[[#This Row],[SysID]])</f>
        <v>#N/A</v>
      </c>
      <c r="H98" s="32" t="e">
        <f>IF(E98="Jeopardy",IF(C98="MD",Relay!$E$7,Relay!$E$8),IF(C98="MD",IF(COUNTIF(G:G,B98)&gt;1,Relay!$E$2,Relay!$E$1),IF(AND(COUNTIF(G:G,B98)&gt;1,COUNTA(A98)&gt;0),Relay!$E$5,Relay!$E$4)))</f>
        <v>#N/A</v>
      </c>
      <c r="I98" s="8">
        <f t="shared" si="4"/>
        <v>0</v>
      </c>
      <c r="J98" s="35"/>
      <c r="K98" s="35"/>
      <c r="L98" s="35"/>
      <c r="M98" s="35"/>
      <c r="N98" s="32" t="e">
        <f>IF(H98=April!$E$2,"N",IF(AND(COUNTIF(B:B,B98)=1,D98&gt;14),"Y","N"))</f>
        <v>#N/A</v>
      </c>
      <c r="O98" s="55" t="str">
        <f>IF(COUNT(April[[#This Row],[Date]])&gt;0,IF(April[[#This Row],[Date]]&gt;14,"Yes","No"),"N/A")</f>
        <v>N/A</v>
      </c>
      <c r="P98" s="55"/>
      <c r="Q98" s="5">
        <f>Relay!A97</f>
        <v>0</v>
      </c>
      <c r="R98" s="5">
        <f>Relay!B97</f>
        <v>96</v>
      </c>
      <c r="S98" s="8">
        <f>IF(April[After the 14th?]="No",SUMIF(April[SysID],R98,April[Pay Amount]),0)+IF(March[After the 14th?]="Yes",SUMIF(March[SysID],R98,March[Pay Amount]),0)</f>
        <v>0</v>
      </c>
      <c r="T98" s="8"/>
      <c r="U98" s="5" t="str">
        <f t="shared" si="5"/>
        <v>N</v>
      </c>
      <c r="X98" s="56"/>
      <c r="Y98" s="56"/>
      <c r="Z98" s="56"/>
      <c r="AA98" s="56"/>
      <c r="AC98" s="56"/>
    </row>
    <row r="99" spans="1:29" x14ac:dyDescent="0.25">
      <c r="A99" s="35"/>
      <c r="B99" s="32" t="e">
        <f>VLOOKUP(A99,Relay!$A$1:$B$50,2,FALSE)</f>
        <v>#N/A</v>
      </c>
      <c r="C99" s="32" t="e">
        <f>VLOOKUP(A99,Relay!$A$2:$C$101,3,FALSE)</f>
        <v>#N/A</v>
      </c>
      <c r="D99" s="39"/>
      <c r="E99" s="35"/>
      <c r="F99" s="58" t="str">
        <f t="shared" si="3"/>
        <v>INS</v>
      </c>
      <c r="G99" s="32" t="e">
        <f>IF(OR(E99="Jeopardy",E99="APP Moonlighting",E99="Differential Pay"),"",April[[#This Row],[SysID]])</f>
        <v>#N/A</v>
      </c>
      <c r="H99" s="32" t="e">
        <f>IF(E99="Jeopardy",IF(C99="MD",Relay!$E$7,Relay!$E$8),IF(C99="MD",IF(COUNTIF(G:G,B99)&gt;1,Relay!$E$2,Relay!$E$1),IF(AND(COUNTIF(G:G,B99)&gt;1,COUNTA(A99)&gt;0),Relay!$E$5,Relay!$E$4)))</f>
        <v>#N/A</v>
      </c>
      <c r="I99" s="8">
        <f t="shared" si="4"/>
        <v>0</v>
      </c>
      <c r="J99" s="35"/>
      <c r="K99" s="35"/>
      <c r="L99" s="35"/>
      <c r="M99" s="35"/>
      <c r="N99" s="32" t="e">
        <f>IF(H99=April!$E$2,"N",IF(AND(COUNTIF(B:B,B99)=1,D99&gt;14),"Y","N"))</f>
        <v>#N/A</v>
      </c>
      <c r="O99" s="55" t="str">
        <f>IF(COUNT(April[[#This Row],[Date]])&gt;0,IF(April[[#This Row],[Date]]&gt;14,"Yes","No"),"N/A")</f>
        <v>N/A</v>
      </c>
      <c r="P99" s="55"/>
      <c r="Q99" s="5">
        <f>Relay!A98</f>
        <v>0</v>
      </c>
      <c r="R99" s="5">
        <f>Relay!B98</f>
        <v>97</v>
      </c>
      <c r="S99" s="8">
        <f>IF(April[After the 14th?]="No",SUMIF(April[SysID],R99,April[Pay Amount]),0)+IF(March[After the 14th?]="Yes",SUMIF(March[SysID],R99,March[Pay Amount]),0)</f>
        <v>0</v>
      </c>
      <c r="T99" s="8"/>
      <c r="U99" s="5" t="str">
        <f t="shared" si="5"/>
        <v>N</v>
      </c>
      <c r="X99" s="56"/>
      <c r="Y99" s="56"/>
      <c r="Z99" s="56"/>
      <c r="AA99" s="56"/>
      <c r="AC99" s="56"/>
    </row>
    <row r="100" spans="1:29" x14ac:dyDescent="0.25">
      <c r="A100" s="35"/>
      <c r="B100" s="32" t="e">
        <f>VLOOKUP(A100,Relay!$A$1:$B$50,2,FALSE)</f>
        <v>#N/A</v>
      </c>
      <c r="C100" s="32" t="e">
        <f>VLOOKUP(A100,Relay!$A$2:$C$101,3,FALSE)</f>
        <v>#N/A</v>
      </c>
      <c r="D100" s="39"/>
      <c r="E100" s="35"/>
      <c r="F100" s="58" t="str">
        <f t="shared" si="3"/>
        <v>INS</v>
      </c>
      <c r="G100" s="32" t="e">
        <f>IF(OR(E100="Jeopardy",E100="APP Moonlighting",E100="Differential Pay"),"",April[[#This Row],[SysID]])</f>
        <v>#N/A</v>
      </c>
      <c r="H100" s="32" t="e">
        <f>IF(E100="Jeopardy",IF(C100="MD",Relay!$E$7,Relay!$E$8),IF(C100="MD",IF(COUNTIF(G:G,B100)&gt;1,Relay!$E$2,Relay!$E$1),IF(AND(COUNTIF(G:G,B100)&gt;1,COUNTA(A100)&gt;0),Relay!$E$5,Relay!$E$4)))</f>
        <v>#N/A</v>
      </c>
      <c r="I100" s="8">
        <f t="shared" si="4"/>
        <v>0</v>
      </c>
      <c r="J100" s="35"/>
      <c r="K100" s="35"/>
      <c r="L100" s="35"/>
      <c r="M100" s="35"/>
      <c r="N100" s="32" t="e">
        <f>IF(H100=April!$E$2,"N",IF(AND(COUNTIF(B:B,B100)=1,D100&gt;14),"Y","N"))</f>
        <v>#N/A</v>
      </c>
      <c r="O100" s="55" t="str">
        <f>IF(COUNT(April[[#This Row],[Date]])&gt;0,IF(April[[#This Row],[Date]]&gt;14,"Yes","No"),"N/A")</f>
        <v>N/A</v>
      </c>
      <c r="P100" s="55"/>
      <c r="Q100" s="5">
        <f>Relay!A99</f>
        <v>0</v>
      </c>
      <c r="R100" s="5">
        <f>Relay!B99</f>
        <v>98</v>
      </c>
      <c r="S100" s="8">
        <f>IF(April[After the 14th?]="No",SUMIF(April[SysID],R100,April[Pay Amount]),0)+IF(March[After the 14th?]="Yes",SUMIF(March[SysID],R100,March[Pay Amount]),0)</f>
        <v>0</v>
      </c>
      <c r="T100" s="8"/>
      <c r="U100" s="5" t="str">
        <f t="shared" si="5"/>
        <v>N</v>
      </c>
      <c r="X100" s="56"/>
      <c r="Y100" s="56"/>
      <c r="Z100" s="56"/>
      <c r="AA100" s="56"/>
      <c r="AC100" s="56"/>
    </row>
    <row r="101" spans="1:29" x14ac:dyDescent="0.25">
      <c r="A101" s="35"/>
      <c r="B101" s="32" t="e">
        <f>VLOOKUP(A101,Relay!$A$1:$B$50,2,FALSE)</f>
        <v>#N/A</v>
      </c>
      <c r="C101" s="32" t="e">
        <f>VLOOKUP(A101,Relay!$A$2:$C$101,3,FALSE)</f>
        <v>#N/A</v>
      </c>
      <c r="D101" s="39"/>
      <c r="E101" s="35"/>
      <c r="F101" s="58" t="str">
        <f t="shared" si="3"/>
        <v>INS</v>
      </c>
      <c r="G101" s="32" t="e">
        <f>IF(OR(E101="Jeopardy",E101="APP Moonlighting",E101="Differential Pay"),"",April[[#This Row],[SysID]])</f>
        <v>#N/A</v>
      </c>
      <c r="H101" s="32" t="e">
        <f>IF(E101="Jeopardy",IF(C101="MD",Relay!$E$7,Relay!$E$8),IF(C101="MD",IF(COUNTIF(G:G,B101)&gt;1,Relay!$E$2,Relay!$E$1),IF(AND(COUNTIF(G:G,B101)&gt;1,COUNTA(A101)&gt;0),Relay!$E$5,Relay!$E$4)))</f>
        <v>#N/A</v>
      </c>
      <c r="I101" s="8">
        <f t="shared" si="4"/>
        <v>0</v>
      </c>
      <c r="J101" s="35"/>
      <c r="K101" s="35"/>
      <c r="L101" s="35"/>
      <c r="M101" s="35"/>
      <c r="N101" s="32" t="e">
        <f>IF(H101=April!$E$2,"N",IF(AND(COUNTIF(B:B,B101)=1,D101&gt;14),"Y","N"))</f>
        <v>#N/A</v>
      </c>
      <c r="O101" s="55" t="str">
        <f>IF(COUNT(April[[#This Row],[Date]])&gt;0,IF(April[[#This Row],[Date]]&gt;14,"Yes","No"),"N/A")</f>
        <v>N/A</v>
      </c>
      <c r="P101" s="55"/>
      <c r="Q101" s="5">
        <f>Relay!A100</f>
        <v>0</v>
      </c>
      <c r="R101" s="5">
        <f>Relay!B100</f>
        <v>99</v>
      </c>
      <c r="S101" s="8">
        <f>IF(April[After the 14th?]="No",SUMIF(April[SysID],R101,April[Pay Amount]),0)+IF(March[After the 14th?]="Yes",SUMIF(March[SysID],R101,March[Pay Amount]),0)</f>
        <v>0</v>
      </c>
      <c r="T101" s="8"/>
      <c r="U101" s="5" t="str">
        <f t="shared" si="5"/>
        <v>N</v>
      </c>
      <c r="X101" s="56"/>
      <c r="Y101" s="56"/>
      <c r="Z101" s="56"/>
      <c r="AA101" s="56"/>
      <c r="AC101" s="56"/>
    </row>
    <row r="102" spans="1:29" x14ac:dyDescent="0.25">
      <c r="A102" s="35"/>
      <c r="B102" s="32" t="e">
        <f>VLOOKUP(A102,Relay!$A$1:$B$50,2,FALSE)</f>
        <v>#N/A</v>
      </c>
      <c r="C102" s="32" t="e">
        <f>VLOOKUP(A102,Relay!$A$2:$C$101,3,FALSE)</f>
        <v>#N/A</v>
      </c>
      <c r="D102" s="39"/>
      <c r="E102" s="35"/>
      <c r="F102" s="58" t="str">
        <f t="shared" si="3"/>
        <v>INS</v>
      </c>
      <c r="G102" s="32" t="e">
        <f>IF(OR(E102="Jeopardy",E102="APP Moonlighting",E102="Differential Pay"),"",April[[#This Row],[SysID]])</f>
        <v>#N/A</v>
      </c>
      <c r="H102" s="32" t="e">
        <f>IF(E102="Jeopardy",IF(C102="MD",Relay!$E$7,Relay!$E$8),IF(C102="MD",IF(COUNTIF(G:G,B102)&gt;1,Relay!$E$2,Relay!$E$1),IF(AND(COUNTIF(G:G,B102)&gt;1,COUNTA(A102)&gt;0),Relay!$E$5,Relay!$E$4)))</f>
        <v>#N/A</v>
      </c>
      <c r="I102" s="8">
        <f t="shared" si="4"/>
        <v>0</v>
      </c>
      <c r="J102" s="35"/>
      <c r="K102" s="35"/>
      <c r="L102" s="35"/>
      <c r="M102" s="35"/>
      <c r="N102" s="32" t="e">
        <f>IF(H102=April!$E$2,"N",IF(AND(COUNTIF(B:B,B102)=1,D102&gt;14),"Y","N"))</f>
        <v>#N/A</v>
      </c>
      <c r="O102" s="55" t="str">
        <f>IF(COUNT(April[[#This Row],[Date]])&gt;0,IF(April[[#This Row],[Date]]&gt;14,"Yes","No"),"N/A")</f>
        <v>N/A</v>
      </c>
      <c r="P102" s="55"/>
      <c r="Q102" s="5">
        <f>Relay!A101</f>
        <v>0</v>
      </c>
      <c r="R102" s="5">
        <f>Relay!B101</f>
        <v>100</v>
      </c>
      <c r="S102" s="8">
        <f>IF(April[After the 14th?]="No",SUMIF(April[SysID],R102,April[Pay Amount]),0)+IF(March[After the 14th?]="Yes",SUMIF(March[SysID],R102,March[Pay Amount]),0)</f>
        <v>0</v>
      </c>
      <c r="T102" s="8"/>
      <c r="U102" s="5" t="str">
        <f t="shared" si="5"/>
        <v>N</v>
      </c>
      <c r="X102" s="56"/>
      <c r="Y102" s="56"/>
      <c r="Z102" s="56"/>
      <c r="AA102" s="56"/>
      <c r="AC102" s="56"/>
    </row>
    <row r="103" spans="1:29" x14ac:dyDescent="0.25">
      <c r="A103" s="35"/>
      <c r="B103" s="32" t="e">
        <f>VLOOKUP(A103,Relay!$A$1:$B$50,2,FALSE)</f>
        <v>#N/A</v>
      </c>
      <c r="C103" s="32" t="e">
        <f>VLOOKUP(A103,Relay!$A$2:$C$101,3,FALSE)</f>
        <v>#N/A</v>
      </c>
      <c r="D103" s="39"/>
      <c r="E103" s="35"/>
      <c r="F103" s="58" t="str">
        <f t="shared" si="3"/>
        <v>INS</v>
      </c>
      <c r="G103" s="32" t="e">
        <f>IF(OR(E103="Jeopardy",E103="APP Moonlighting",E103="Differential Pay"),"",April[[#This Row],[SysID]])</f>
        <v>#N/A</v>
      </c>
      <c r="H103" s="32" t="e">
        <f>IF(E103="Jeopardy",IF(C103="MD",Relay!$E$7,Relay!$E$8),IF(C103="MD",IF(COUNTIF(G:G,B103)&gt;1,Relay!$E$2,Relay!$E$1),IF(AND(COUNTIF(G:G,B103)&gt;1,COUNTA(A103)&gt;0),Relay!$E$5,Relay!$E$4)))</f>
        <v>#N/A</v>
      </c>
      <c r="I103" s="8">
        <f t="shared" si="4"/>
        <v>0</v>
      </c>
      <c r="J103" s="35"/>
      <c r="K103" s="35"/>
      <c r="L103" s="35"/>
      <c r="M103" s="35"/>
      <c r="N103" s="32" t="e">
        <f>IF(H103=April!$E$2,"N",IF(AND(COUNTIF(B:B,B103)=1,D103&gt;14),"Y","N"))</f>
        <v>#N/A</v>
      </c>
      <c r="O103" s="55" t="str">
        <f>IF(COUNT(April[[#This Row],[Date]])&gt;0,IF(April[[#This Row],[Date]]&gt;14,"Yes","No"),"N/A")</f>
        <v>N/A</v>
      </c>
      <c r="P103" s="55"/>
      <c r="Q103">
        <f>Relay!A102</f>
        <v>0</v>
      </c>
      <c r="R103">
        <f>Relay!B102</f>
        <v>0</v>
      </c>
      <c r="S103" s="9">
        <f>IF(April[After the 14th?]="No",SUMIF(April[SysID],R103,April[Pay Amount]),0)+IF(March[After the 14th?]="Yes",SUMIF(March[SysID],R103,March[Pay Amount]),0)</f>
        <v>0</v>
      </c>
      <c r="U103" s="5" t="str">
        <f t="shared" si="5"/>
        <v>N</v>
      </c>
      <c r="X103" s="56"/>
      <c r="Y103" s="56"/>
      <c r="Z103" s="56"/>
      <c r="AA103" s="56"/>
      <c r="AC103" s="56"/>
    </row>
  </sheetData>
  <conditionalFormatting sqref="N1:N1048576">
    <cfRule type="containsText" dxfId="119" priority="6" operator="containsText" text="Y">
      <formula>NOT(ISERROR(SEARCH("Y",N1)))</formula>
    </cfRule>
  </conditionalFormatting>
  <conditionalFormatting sqref="F1:G1048576">
    <cfRule type="containsText" dxfId="118" priority="5" operator="containsText" text="INS">
      <formula>NOT(ISERROR(SEARCH("INS",F1)))</formula>
    </cfRule>
  </conditionalFormatting>
  <conditionalFormatting sqref="O1:O1048576">
    <cfRule type="containsText" dxfId="117" priority="2" operator="containsText" text="yes">
      <formula>NOT(ISERROR(SEARCH("yes",O1)))</formula>
    </cfRule>
    <cfRule type="containsText" dxfId="116" priority="3" operator="containsText" text="no">
      <formula>NOT(ISERROR(SEARCH("no",O1)))</formula>
    </cfRule>
    <cfRule type="containsText" dxfId="115" priority="4" operator="containsText" text="/">
      <formula>NOT(ISERROR(SEARCH("/",O1)))</formula>
    </cfRule>
  </conditionalFormatting>
  <conditionalFormatting sqref="U1:U1048576">
    <cfRule type="containsText" dxfId="114" priority="1" operator="containsText" text="Y">
      <formula>NOT(ISERROR(SEARCH("Y",U1)))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Relay!$A$2:$A$101</xm:f>
          </x14:formula1>
          <xm:sqref>A3:A103</xm:sqref>
        </x14:dataValidation>
        <x14:dataValidation type="list" allowBlank="1" showInputMessage="1" showErrorMessage="1">
          <x14:formula1>
            <xm:f>Relay!$D$11:$D$16</xm:f>
          </x14:formula1>
          <xm:sqref>E3:E103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103"/>
  <sheetViews>
    <sheetView workbookViewId="0">
      <selection activeCell="B1" sqref="B1:B1048576"/>
    </sheetView>
  </sheetViews>
  <sheetFormatPr defaultRowHeight="15" x14ac:dyDescent="0.25"/>
  <cols>
    <col min="1" max="1" width="21.7109375" style="36" customWidth="1"/>
    <col min="2" max="2" width="9.140625" hidden="1" customWidth="1"/>
    <col min="3" max="3" width="12.85546875" bestFit="1" customWidth="1"/>
    <col min="4" max="4" width="10.7109375" style="40" bestFit="1" customWidth="1"/>
    <col min="5" max="5" width="12.85546875" style="36" bestFit="1" customWidth="1"/>
    <col min="6" max="6" width="12.85546875" style="36" customWidth="1"/>
    <col min="7" max="7" width="12.85546875" customWidth="1"/>
    <col min="8" max="8" width="10.7109375" customWidth="1"/>
    <col min="9" max="9" width="15.5703125" style="9" bestFit="1" customWidth="1"/>
    <col min="10" max="10" width="9.140625" style="36" customWidth="1"/>
    <col min="11" max="11" width="13.140625" style="36" bestFit="1" customWidth="1"/>
    <col min="12" max="12" width="15.5703125" style="36" bestFit="1" customWidth="1"/>
    <col min="13" max="13" width="14.140625" style="36" bestFit="1" customWidth="1"/>
    <col min="14" max="14" width="19.5703125" hidden="1" customWidth="1"/>
    <col min="15" max="16" width="17" customWidth="1"/>
    <col min="17" max="17" width="16.42578125" customWidth="1"/>
    <col min="19" max="19" width="15" style="9" bestFit="1" customWidth="1"/>
    <col min="20" max="20" width="16.28515625" style="9" bestFit="1" customWidth="1"/>
    <col min="21" max="21" width="9.140625" style="5"/>
    <col min="22" max="22" width="14.28515625" bestFit="1" customWidth="1"/>
    <col min="23" max="23" width="21.7109375" customWidth="1"/>
    <col min="27" max="27" width="12.85546875" bestFit="1" customWidth="1"/>
    <col min="28" max="28" width="9" style="9" bestFit="1" customWidth="1"/>
    <col min="29" max="29" width="8.42578125" bestFit="1" customWidth="1"/>
    <col min="30" max="30" width="10.42578125" style="9" bestFit="1" customWidth="1"/>
  </cols>
  <sheetData>
    <row r="1" spans="1:30" s="3" customFormat="1" x14ac:dyDescent="0.25">
      <c r="A1" s="33" t="s">
        <v>59</v>
      </c>
      <c r="D1" s="37"/>
      <c r="E1" s="41"/>
      <c r="F1" s="41"/>
      <c r="I1" s="6"/>
      <c r="J1" s="41"/>
      <c r="K1" s="41"/>
      <c r="L1" s="41"/>
      <c r="M1" s="41"/>
      <c r="Q1" s="2" t="s">
        <v>14</v>
      </c>
      <c r="S1" s="6"/>
      <c r="T1" s="6"/>
      <c r="U1" s="71"/>
      <c r="V1" s="2"/>
      <c r="AB1" s="6"/>
      <c r="AD1" s="6"/>
    </row>
    <row r="2" spans="1:30" x14ac:dyDescent="0.25">
      <c r="A2" s="34" t="s">
        <v>3</v>
      </c>
      <c r="B2" s="4" t="s">
        <v>2</v>
      </c>
      <c r="C2" s="4" t="s">
        <v>4</v>
      </c>
      <c r="D2" s="38" t="s">
        <v>1</v>
      </c>
      <c r="E2" s="34" t="s">
        <v>5</v>
      </c>
      <c r="F2" s="34" t="s">
        <v>6</v>
      </c>
      <c r="G2" s="4" t="s">
        <v>35</v>
      </c>
      <c r="H2" s="4" t="s">
        <v>7</v>
      </c>
      <c r="I2" s="7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11" t="s">
        <v>13</v>
      </c>
      <c r="O2" s="4" t="s">
        <v>70</v>
      </c>
      <c r="P2" s="4"/>
      <c r="Q2" s="5" t="s">
        <v>69</v>
      </c>
      <c r="R2" s="5" t="s">
        <v>2</v>
      </c>
      <c r="S2" s="8" t="s">
        <v>71</v>
      </c>
      <c r="T2" s="8" t="s">
        <v>16</v>
      </c>
      <c r="U2" s="5" t="s">
        <v>13</v>
      </c>
    </row>
    <row r="3" spans="1:30" x14ac:dyDescent="0.25">
      <c r="A3" s="35"/>
      <c r="B3" s="5" t="e">
        <f>VLOOKUP(A3,Relay!$A$1:$B$50,2,FALSE)</f>
        <v>#N/A</v>
      </c>
      <c r="C3" s="5" t="e">
        <f>VLOOKUP(A3,Relay!$A$2:$C$51,3,FALSE)</f>
        <v>#N/A</v>
      </c>
      <c r="D3" s="39"/>
      <c r="E3" s="35"/>
      <c r="F3" s="35" t="str">
        <f t="shared" ref="F3:F66" si="0">IF(E3="Moonlighting", 12, "INS")</f>
        <v>INS</v>
      </c>
      <c r="G3" s="5" t="e">
        <f>IF(OR(E3="Jeopardy",E3="APP Moonlighting",E3="Differential Pay"),"",May[[#This Row],[SysID]])</f>
        <v>#N/A</v>
      </c>
      <c r="H3" s="5" t="e">
        <f>IF(E3="Jeopardy",IF(C3="MD",Relay!$E$7,Relay!$E$8),IF(C3="MD",IF(COUNTIF(G:G,B3)&gt;1,Relay!$E$2,Relay!$E$1),IF(AND(COUNTIF(G:G,B3)&gt;1,COUNTA(A3)&gt;0),Relay!$E$5,Relay!$E$4)))</f>
        <v>#N/A</v>
      </c>
      <c r="I3" s="8">
        <f t="shared" ref="I3:I66" si="1">IF(COUNTA(A3)&gt;0,H3*F3,0)</f>
        <v>0</v>
      </c>
      <c r="J3" s="35"/>
      <c r="K3" s="35"/>
      <c r="L3" s="35"/>
      <c r="M3" s="35"/>
      <c r="N3" s="10" t="e">
        <f>IF(H3=May!$E$2,"N",IF(AND(COUNTIF(B:B,B3)=1,D3&gt;14),"Y","N"))</f>
        <v>#N/A</v>
      </c>
      <c r="O3" s="55" t="str">
        <f>IF(COUNT(May[[#This Row],[Date]])&gt;0,IF(May[[#This Row],[Date]]&gt;14,"Yes","No"),"N/A")</f>
        <v>N/A</v>
      </c>
      <c r="P3" s="55"/>
      <c r="Q3" s="5">
        <f>Relay!A2</f>
        <v>0</v>
      </c>
      <c r="R3" s="5">
        <f>Relay!B2</f>
        <v>1</v>
      </c>
      <c r="S3" s="8">
        <f>IF(May[After the 14th?]="No",SUMIF(May[SysID],R3,May[Pay Amount]),0)+IF(April[After the 14th?]="Yes",SUMIF(April[SysID],R3,April[Pay Amount]),0)</f>
        <v>0</v>
      </c>
      <c r="T3" s="8"/>
      <c r="U3" s="5" t="str">
        <f t="shared" ref="U3:U66" si="2">IF(S3=T3,"N","Y")</f>
        <v>N</v>
      </c>
      <c r="V3" s="57"/>
      <c r="W3" s="57"/>
      <c r="X3" s="56"/>
      <c r="Y3" s="56"/>
      <c r="Z3" s="56"/>
      <c r="AA3" s="56"/>
      <c r="AC3" s="56"/>
    </row>
    <row r="4" spans="1:30" x14ac:dyDescent="0.25">
      <c r="A4" s="35"/>
      <c r="B4" s="5" t="e">
        <f>VLOOKUP(A4,Relay!$A$1:$B$50,2,FALSE)</f>
        <v>#N/A</v>
      </c>
      <c r="C4" s="5" t="e">
        <f>VLOOKUP(A4,Relay!$A$2:$C$51,3,FALSE)</f>
        <v>#N/A</v>
      </c>
      <c r="D4" s="39"/>
      <c r="E4" s="35"/>
      <c r="F4" s="35" t="str">
        <f t="shared" si="0"/>
        <v>INS</v>
      </c>
      <c r="G4" s="5" t="e">
        <f>IF(OR(E4="Jeopardy",E4="APP Moonlighting",E4="Differential Pay"),"",May[[#This Row],[SysID]])</f>
        <v>#N/A</v>
      </c>
      <c r="H4" s="5" t="e">
        <f>IF(E4="Jeopardy",IF(C4="MD",Relay!$E$7,Relay!$E$8),IF(C4="MD",IF(COUNTIF(G:G,B4)&gt;1,Relay!$E$2,Relay!$E$1),IF(AND(COUNTIF(G:G,B4)&gt;1,COUNTA(A4)&gt;0),Relay!$E$5,Relay!$E$4)))</f>
        <v>#N/A</v>
      </c>
      <c r="I4" s="8">
        <f t="shared" si="1"/>
        <v>0</v>
      </c>
      <c r="J4" s="35"/>
      <c r="K4" s="35"/>
      <c r="L4" s="35"/>
      <c r="M4" s="35"/>
      <c r="N4" s="10" t="e">
        <f>IF(H4=May!$E$2,"N",IF(AND(COUNTIF(B:B,B4)=1,D4&gt;14),"Y","N"))</f>
        <v>#N/A</v>
      </c>
      <c r="O4" s="55" t="str">
        <f>IF(COUNT(May[[#This Row],[Date]])&gt;0,IF(May[[#This Row],[Date]]&gt;14,"Yes","No"),"N/A")</f>
        <v>N/A</v>
      </c>
      <c r="P4" s="55"/>
      <c r="Q4" s="5">
        <f>Relay!A3</f>
        <v>0</v>
      </c>
      <c r="R4" s="5">
        <f>Relay!B3</f>
        <v>2</v>
      </c>
      <c r="S4" s="8">
        <f>IF(May[After the 14th?]="No",SUMIF(May[SysID],R4,May[Pay Amount]),0)+IF(April[After the 14th?]="Yes",SUMIF(April[SysID],R4,April[Pay Amount]),0)</f>
        <v>0</v>
      </c>
      <c r="T4" s="8"/>
      <c r="U4" s="5" t="str">
        <f t="shared" si="2"/>
        <v>N</v>
      </c>
      <c r="X4" s="56"/>
      <c r="Y4" s="56"/>
      <c r="Z4" s="56"/>
      <c r="AA4" s="56"/>
      <c r="AC4" s="56"/>
    </row>
    <row r="5" spans="1:30" x14ac:dyDescent="0.25">
      <c r="A5" s="35"/>
      <c r="B5" s="5" t="e">
        <f>VLOOKUP(A5,Relay!$A$1:$B$50,2,FALSE)</f>
        <v>#N/A</v>
      </c>
      <c r="C5" s="5" t="e">
        <f>VLOOKUP(A5,Relay!$A$2:$C$51,3,FALSE)</f>
        <v>#N/A</v>
      </c>
      <c r="D5" s="39"/>
      <c r="E5" s="35"/>
      <c r="F5" s="35" t="str">
        <f t="shared" si="0"/>
        <v>INS</v>
      </c>
      <c r="G5" s="5" t="e">
        <f>IF(OR(E5="Jeopardy",E5="APP Moonlighting",E5="Differential Pay"),"",May[[#This Row],[SysID]])</f>
        <v>#N/A</v>
      </c>
      <c r="H5" s="5" t="e">
        <f>IF(E5="Jeopardy",IF(C5="MD",Relay!$E$7,Relay!$E$8),IF(C5="MD",IF(COUNTIF(G:G,B5)&gt;1,Relay!$E$2,Relay!$E$1),IF(AND(COUNTIF(G:G,B5)&gt;1,COUNTA(A5)&gt;0),Relay!$E$5,Relay!$E$4)))</f>
        <v>#N/A</v>
      </c>
      <c r="I5" s="8">
        <f t="shared" si="1"/>
        <v>0</v>
      </c>
      <c r="J5" s="35"/>
      <c r="K5" s="35"/>
      <c r="L5" s="35"/>
      <c r="M5" s="35"/>
      <c r="N5" s="10" t="e">
        <f>IF(H5=May!$E$2,"N",IF(AND(COUNTIF(B:B,B5)=1,D5&gt;14),"Y","N"))</f>
        <v>#N/A</v>
      </c>
      <c r="O5" s="55" t="str">
        <f>IF(COUNT(May[[#This Row],[Date]])&gt;0,IF(May[[#This Row],[Date]]&gt;14,"Yes","No"),"N/A")</f>
        <v>N/A</v>
      </c>
      <c r="P5" s="55"/>
      <c r="Q5" s="5">
        <f>Relay!A4</f>
        <v>0</v>
      </c>
      <c r="R5" s="5">
        <f>Relay!B4</f>
        <v>3</v>
      </c>
      <c r="S5" s="8">
        <f>IF(May[After the 14th?]="No",SUMIF(May[SysID],R5,May[Pay Amount]),0)+IF(April[After the 14th?]="Yes",SUMIF(April[SysID],R5,April[Pay Amount]),0)</f>
        <v>0</v>
      </c>
      <c r="T5" s="8"/>
      <c r="U5" s="5" t="str">
        <f t="shared" si="2"/>
        <v>N</v>
      </c>
      <c r="X5" s="56"/>
      <c r="Y5" s="56"/>
      <c r="Z5" s="56"/>
      <c r="AA5" s="56"/>
      <c r="AC5" s="56"/>
    </row>
    <row r="6" spans="1:30" x14ac:dyDescent="0.25">
      <c r="A6" s="35"/>
      <c r="B6" s="5" t="e">
        <f>VLOOKUP(A6,Relay!$A$1:$B$50,2,FALSE)</f>
        <v>#N/A</v>
      </c>
      <c r="C6" s="5" t="e">
        <f>VLOOKUP(A6,Relay!$A$2:$C$51,3,FALSE)</f>
        <v>#N/A</v>
      </c>
      <c r="D6" s="39"/>
      <c r="E6" s="35"/>
      <c r="F6" s="35" t="str">
        <f t="shared" si="0"/>
        <v>INS</v>
      </c>
      <c r="G6" s="5" t="e">
        <f>IF(OR(E6="Jeopardy",E6="APP Moonlighting",E6="Differential Pay"),"",May[[#This Row],[SysID]])</f>
        <v>#N/A</v>
      </c>
      <c r="H6" s="5" t="e">
        <f>IF(E6="Jeopardy",IF(C6="MD",Relay!$E$7,Relay!$E$8),IF(C6="MD",IF(COUNTIF(G:G,B6)&gt;1,Relay!$E$2,Relay!$E$1),IF(AND(COUNTIF(G:G,B6)&gt;1,COUNTA(A6)&gt;0),Relay!$E$5,Relay!$E$4)))</f>
        <v>#N/A</v>
      </c>
      <c r="I6" s="8">
        <f t="shared" si="1"/>
        <v>0</v>
      </c>
      <c r="J6" s="35"/>
      <c r="K6" s="35"/>
      <c r="L6" s="35"/>
      <c r="M6" s="35"/>
      <c r="N6" s="10" t="e">
        <f>IF(H6=May!$E$2,"N",IF(AND(COUNTIF(B:B,B6)=1,D6&gt;14),"Y","N"))</f>
        <v>#N/A</v>
      </c>
      <c r="O6" s="55" t="str">
        <f>IF(COUNT(May[[#This Row],[Date]])&gt;0,IF(May[[#This Row],[Date]]&gt;14,"Yes","No"),"N/A")</f>
        <v>N/A</v>
      </c>
      <c r="P6" s="55"/>
      <c r="Q6" s="5">
        <f>Relay!A5</f>
        <v>0</v>
      </c>
      <c r="R6" s="5">
        <f>Relay!B5</f>
        <v>4</v>
      </c>
      <c r="S6" s="8">
        <f>IF(May[After the 14th?]="No",SUMIF(May[SysID],R6,May[Pay Amount]),0)+IF(April[After the 14th?]="Yes",SUMIF(April[SysID],R6,April[Pay Amount]),0)</f>
        <v>0</v>
      </c>
      <c r="T6" s="8"/>
      <c r="U6" s="5" t="str">
        <f t="shared" si="2"/>
        <v>N</v>
      </c>
      <c r="X6" s="56"/>
      <c r="Y6" s="56"/>
      <c r="Z6" s="56"/>
      <c r="AA6" s="56"/>
      <c r="AC6" s="56"/>
    </row>
    <row r="7" spans="1:30" x14ac:dyDescent="0.25">
      <c r="A7" s="35"/>
      <c r="B7" s="5" t="e">
        <f>VLOOKUP(A7,Relay!$A$1:$B$50,2,FALSE)</f>
        <v>#N/A</v>
      </c>
      <c r="C7" s="5" t="e">
        <f>VLOOKUP(A7,Relay!$A$2:$C$51,3,FALSE)</f>
        <v>#N/A</v>
      </c>
      <c r="D7" s="39"/>
      <c r="E7" s="35"/>
      <c r="F7" s="35" t="str">
        <f t="shared" si="0"/>
        <v>INS</v>
      </c>
      <c r="G7" s="5" t="e">
        <f>IF(OR(E7="Jeopardy",E7="APP Moonlighting",E7="Differential Pay"),"",May[[#This Row],[SysID]])</f>
        <v>#N/A</v>
      </c>
      <c r="H7" s="5" t="e">
        <f>IF(E7="Jeopardy",IF(C7="MD",Relay!$E$7,Relay!$E$8),IF(C7="MD",IF(COUNTIF(G:G,B7)&gt;1,Relay!$E$2,Relay!$E$1),IF(AND(COUNTIF(G:G,B7)&gt;1,COUNTA(A7)&gt;0),Relay!$E$5,Relay!$E$4)))</f>
        <v>#N/A</v>
      </c>
      <c r="I7" s="8">
        <f t="shared" si="1"/>
        <v>0</v>
      </c>
      <c r="J7" s="35"/>
      <c r="K7" s="35"/>
      <c r="L7" s="35"/>
      <c r="M7" s="35"/>
      <c r="N7" s="10" t="e">
        <f>IF(H7=May!$E$2,"N",IF(AND(COUNTIF(B:B,B7)=1,D7&gt;14),"Y","N"))</f>
        <v>#N/A</v>
      </c>
      <c r="O7" s="55" t="str">
        <f>IF(COUNT(May[[#This Row],[Date]])&gt;0,IF(May[[#This Row],[Date]]&gt;14,"Yes","No"),"N/A")</f>
        <v>N/A</v>
      </c>
      <c r="P7" s="55"/>
      <c r="Q7" s="5">
        <f>Relay!A6</f>
        <v>0</v>
      </c>
      <c r="R7" s="5">
        <f>Relay!B6</f>
        <v>5</v>
      </c>
      <c r="S7" s="8">
        <f>IF(May[After the 14th?]="No",SUMIF(May[SysID],R7,May[Pay Amount]),0)+IF(April[After the 14th?]="Yes",SUMIF(April[SysID],R7,April[Pay Amount]),0)</f>
        <v>0</v>
      </c>
      <c r="T7" s="8"/>
      <c r="U7" s="5" t="str">
        <f t="shared" si="2"/>
        <v>N</v>
      </c>
      <c r="X7" s="56"/>
      <c r="Y7" s="56"/>
      <c r="Z7" s="56"/>
      <c r="AA7" s="56"/>
      <c r="AC7" s="56"/>
    </row>
    <row r="8" spans="1:30" x14ac:dyDescent="0.25">
      <c r="A8" s="35"/>
      <c r="B8" s="5" t="e">
        <f>VLOOKUP(A8,Relay!$A$1:$B$50,2,FALSE)</f>
        <v>#N/A</v>
      </c>
      <c r="C8" s="5" t="e">
        <f>VLOOKUP(A8,Relay!$A$2:$C$51,3,FALSE)</f>
        <v>#N/A</v>
      </c>
      <c r="D8" s="39"/>
      <c r="E8" s="35"/>
      <c r="F8" s="35" t="str">
        <f t="shared" si="0"/>
        <v>INS</v>
      </c>
      <c r="G8" s="5" t="e">
        <f>IF(OR(E8="Jeopardy",E8="APP Moonlighting",E8="Differential Pay"),"",May[[#This Row],[SysID]])</f>
        <v>#N/A</v>
      </c>
      <c r="H8" s="5" t="e">
        <f>IF(E8="Jeopardy",IF(C8="MD",Relay!$E$7,Relay!$E$8),IF(C8="MD",IF(COUNTIF(G:G,B8)&gt;1,Relay!$E$2,Relay!$E$1),IF(AND(COUNTIF(G:G,B8)&gt;1,COUNTA(A8)&gt;0),Relay!$E$5,Relay!$E$4)))</f>
        <v>#N/A</v>
      </c>
      <c r="I8" s="8">
        <f t="shared" si="1"/>
        <v>0</v>
      </c>
      <c r="J8" s="35"/>
      <c r="K8" s="35"/>
      <c r="L8" s="35"/>
      <c r="M8" s="35"/>
      <c r="N8" s="10" t="e">
        <f>IF(H8=May!$E$2,"N",IF(AND(COUNTIF(B:B,B8)=1,D8&gt;14),"Y","N"))</f>
        <v>#N/A</v>
      </c>
      <c r="O8" s="55" t="str">
        <f>IF(COUNT(May[[#This Row],[Date]])&gt;0,IF(May[[#This Row],[Date]]&gt;14,"Yes","No"),"N/A")</f>
        <v>N/A</v>
      </c>
      <c r="P8" s="55"/>
      <c r="Q8" s="5">
        <f>Relay!A7</f>
        <v>0</v>
      </c>
      <c r="R8" s="5">
        <f>Relay!B7</f>
        <v>6</v>
      </c>
      <c r="S8" s="8">
        <f>IF(May[After the 14th?]="No",SUMIF(May[SysID],R8,May[Pay Amount]),0)+IF(April[After the 14th?]="Yes",SUMIF(April[SysID],R8,April[Pay Amount]),0)</f>
        <v>0</v>
      </c>
      <c r="T8" s="8"/>
      <c r="U8" s="5" t="str">
        <f t="shared" si="2"/>
        <v>N</v>
      </c>
      <c r="X8" s="56"/>
      <c r="Y8" s="56"/>
      <c r="Z8" s="56"/>
      <c r="AA8" s="56"/>
      <c r="AC8" s="56"/>
    </row>
    <row r="9" spans="1:30" x14ac:dyDescent="0.25">
      <c r="A9" s="35"/>
      <c r="B9" s="5" t="e">
        <f>VLOOKUP(A9,Relay!$A$1:$B$50,2,FALSE)</f>
        <v>#N/A</v>
      </c>
      <c r="C9" s="5" t="e">
        <f>VLOOKUP(A9,Relay!$A$2:$C$51,3,FALSE)</f>
        <v>#N/A</v>
      </c>
      <c r="D9" s="39"/>
      <c r="E9" s="35"/>
      <c r="F9" s="35" t="str">
        <f t="shared" si="0"/>
        <v>INS</v>
      </c>
      <c r="G9" s="5" t="e">
        <f>IF(OR(E9="Jeopardy",E9="APP Moonlighting",E9="Differential Pay"),"",May[[#This Row],[SysID]])</f>
        <v>#N/A</v>
      </c>
      <c r="H9" s="5" t="e">
        <f>IF(E9="Jeopardy",IF(C9="MD",Relay!$E$7,Relay!$E$8),IF(C9="MD",IF(COUNTIF(G:G,B9)&gt;1,Relay!$E$2,Relay!$E$1),IF(AND(COUNTIF(G:G,B9)&gt;1,COUNTA(A9)&gt;0),Relay!$E$5,Relay!$E$4)))</f>
        <v>#N/A</v>
      </c>
      <c r="I9" s="8">
        <f t="shared" si="1"/>
        <v>0</v>
      </c>
      <c r="J9" s="35"/>
      <c r="K9" s="35"/>
      <c r="L9" s="35"/>
      <c r="M9" s="35"/>
      <c r="N9" s="10" t="e">
        <f>IF(H9=May!$E$2,"N",IF(AND(COUNTIF(B:B,B9)=1,D9&gt;14),"Y","N"))</f>
        <v>#N/A</v>
      </c>
      <c r="O9" s="55" t="str">
        <f>IF(COUNT(May[[#This Row],[Date]])&gt;0,IF(May[[#This Row],[Date]]&gt;14,"Yes","No"),"N/A")</f>
        <v>N/A</v>
      </c>
      <c r="P9" s="55"/>
      <c r="Q9" s="5">
        <f>Relay!A8</f>
        <v>0</v>
      </c>
      <c r="R9" s="5">
        <f>Relay!B8</f>
        <v>7</v>
      </c>
      <c r="S9" s="8">
        <f>IF(May[After the 14th?]="No",SUMIF(May[SysID],R9,May[Pay Amount]),0)+IF(April[After the 14th?]="Yes",SUMIF(April[SysID],R9,April[Pay Amount]),0)</f>
        <v>0</v>
      </c>
      <c r="T9" s="8"/>
      <c r="U9" s="5" t="str">
        <f t="shared" si="2"/>
        <v>N</v>
      </c>
      <c r="X9" s="56"/>
      <c r="Y9" s="56"/>
      <c r="Z9" s="56"/>
      <c r="AA9" s="56"/>
      <c r="AC9" s="56"/>
    </row>
    <row r="10" spans="1:30" x14ac:dyDescent="0.25">
      <c r="A10" s="35"/>
      <c r="B10" s="5" t="e">
        <f>VLOOKUP(A10,Relay!$A$1:$B$50,2,FALSE)</f>
        <v>#N/A</v>
      </c>
      <c r="C10" s="5" t="e">
        <f>VLOOKUP(A10,Relay!$A$2:$C$51,3,FALSE)</f>
        <v>#N/A</v>
      </c>
      <c r="D10" s="39"/>
      <c r="E10" s="35"/>
      <c r="F10" s="35" t="str">
        <f t="shared" si="0"/>
        <v>INS</v>
      </c>
      <c r="G10" s="5" t="e">
        <f>IF(OR(E10="Jeopardy",E10="APP Moonlighting",E10="Differential Pay"),"",May[[#This Row],[SysID]])</f>
        <v>#N/A</v>
      </c>
      <c r="H10" s="5" t="e">
        <f>IF(E10="Jeopardy",IF(C10="MD",Relay!$E$7,Relay!$E$8),IF(C10="MD",IF(COUNTIF(G:G,B10)&gt;1,Relay!$E$2,Relay!$E$1),IF(AND(COUNTIF(G:G,B10)&gt;1,COUNTA(A10)&gt;0),Relay!$E$5,Relay!$E$4)))</f>
        <v>#N/A</v>
      </c>
      <c r="I10" s="8">
        <f t="shared" si="1"/>
        <v>0</v>
      </c>
      <c r="J10" s="35"/>
      <c r="K10" s="35"/>
      <c r="L10" s="35"/>
      <c r="M10" s="35"/>
      <c r="N10" s="10" t="e">
        <f>IF(H10=May!$E$2,"N",IF(AND(COUNTIF(B:B,B10)=1,D10&gt;14),"Y","N"))</f>
        <v>#N/A</v>
      </c>
      <c r="O10" s="55" t="str">
        <f>IF(COUNT(May[[#This Row],[Date]])&gt;0,IF(May[[#This Row],[Date]]&gt;14,"Yes","No"),"N/A")</f>
        <v>N/A</v>
      </c>
      <c r="P10" s="55"/>
      <c r="Q10" s="5">
        <f>Relay!A9</f>
        <v>0</v>
      </c>
      <c r="R10" s="5">
        <f>Relay!B9</f>
        <v>8</v>
      </c>
      <c r="S10" s="8">
        <f>IF(May[After the 14th?]="No",SUMIF(May[SysID],R10,May[Pay Amount]),0)+IF(April[After the 14th?]="Yes",SUMIF(April[SysID],R10,April[Pay Amount]),0)</f>
        <v>0</v>
      </c>
      <c r="T10" s="8"/>
      <c r="U10" s="5" t="str">
        <f t="shared" si="2"/>
        <v>N</v>
      </c>
      <c r="X10" s="56"/>
      <c r="Y10" s="56"/>
      <c r="Z10" s="56"/>
      <c r="AA10" s="56"/>
      <c r="AC10" s="56"/>
    </row>
    <row r="11" spans="1:30" x14ac:dyDescent="0.25">
      <c r="A11" s="35"/>
      <c r="B11" s="5" t="e">
        <f>VLOOKUP(A11,Relay!$A$1:$B$50,2,FALSE)</f>
        <v>#N/A</v>
      </c>
      <c r="C11" s="5" t="e">
        <f>VLOOKUP(A11,Relay!$A$2:$C$51,3,FALSE)</f>
        <v>#N/A</v>
      </c>
      <c r="D11" s="39"/>
      <c r="E11" s="35"/>
      <c r="F11" s="35" t="str">
        <f t="shared" si="0"/>
        <v>INS</v>
      </c>
      <c r="G11" s="5" t="e">
        <f>IF(OR(E11="Jeopardy",E11="APP Moonlighting",E11="Differential Pay"),"",May[[#This Row],[SysID]])</f>
        <v>#N/A</v>
      </c>
      <c r="H11" s="5" t="e">
        <f>IF(E11="Jeopardy",IF(C11="MD",Relay!$E$7,Relay!$E$8),IF(C11="MD",IF(COUNTIF(G:G,B11)&gt;1,Relay!$E$2,Relay!$E$1),IF(AND(COUNTIF(G:G,B11)&gt;1,COUNTA(A11)&gt;0),Relay!$E$5,Relay!$E$4)))</f>
        <v>#N/A</v>
      </c>
      <c r="I11" s="8">
        <f t="shared" si="1"/>
        <v>0</v>
      </c>
      <c r="J11" s="35"/>
      <c r="K11" s="35"/>
      <c r="L11" s="35"/>
      <c r="M11" s="35"/>
      <c r="N11" s="10" t="e">
        <f>IF(H11=May!$E$2,"N",IF(AND(COUNTIF(B:B,B11)=1,D11&gt;14),"Y","N"))</f>
        <v>#N/A</v>
      </c>
      <c r="O11" s="55" t="str">
        <f>IF(COUNT(May[[#This Row],[Date]])&gt;0,IF(May[[#This Row],[Date]]&gt;14,"Yes","No"),"N/A")</f>
        <v>N/A</v>
      </c>
      <c r="P11" s="55"/>
      <c r="Q11" s="5">
        <f>Relay!A10</f>
        <v>0</v>
      </c>
      <c r="R11" s="5">
        <f>Relay!B10</f>
        <v>9</v>
      </c>
      <c r="S11" s="8">
        <f>IF(May[After the 14th?]="No",SUMIF(May[SysID],R11,May[Pay Amount]),0)+IF(April[After the 14th?]="Yes",SUMIF(April[SysID],R11,April[Pay Amount]),0)</f>
        <v>0</v>
      </c>
      <c r="T11" s="8"/>
      <c r="U11" s="5" t="str">
        <f t="shared" si="2"/>
        <v>N</v>
      </c>
      <c r="X11" s="56"/>
      <c r="Y11" s="56"/>
      <c r="Z11" s="56"/>
      <c r="AA11" s="56"/>
      <c r="AC11" s="56"/>
    </row>
    <row r="12" spans="1:30" x14ac:dyDescent="0.25">
      <c r="A12" s="35"/>
      <c r="B12" s="5" t="e">
        <f>VLOOKUP(A12,Relay!$A$1:$B$50,2,FALSE)</f>
        <v>#N/A</v>
      </c>
      <c r="C12" s="5" t="e">
        <f>VLOOKUP(A12,Relay!$A$2:$C$51,3,FALSE)</f>
        <v>#N/A</v>
      </c>
      <c r="D12" s="39"/>
      <c r="E12" s="35"/>
      <c r="F12" s="35" t="str">
        <f t="shared" si="0"/>
        <v>INS</v>
      </c>
      <c r="G12" s="5" t="e">
        <f>IF(OR(E12="Jeopardy",E12="APP Moonlighting",E12="Differential Pay"),"",May[[#This Row],[SysID]])</f>
        <v>#N/A</v>
      </c>
      <c r="H12" s="5" t="e">
        <f>IF(E12="Jeopardy",IF(C12="MD",Relay!$E$7,Relay!$E$8),IF(C12="MD",IF(COUNTIF(G:G,B12)&gt;1,Relay!$E$2,Relay!$E$1),IF(AND(COUNTIF(G:G,B12)&gt;1,COUNTA(A12)&gt;0),Relay!$E$5,Relay!$E$4)))</f>
        <v>#N/A</v>
      </c>
      <c r="I12" s="8">
        <f t="shared" si="1"/>
        <v>0</v>
      </c>
      <c r="J12" s="35"/>
      <c r="K12" s="35"/>
      <c r="L12" s="35"/>
      <c r="M12" s="35"/>
      <c r="N12" s="10" t="e">
        <f>IF(H12=May!$E$2,"N",IF(AND(COUNTIF(B:B,B12)=1,D12&gt;14),"Y","N"))</f>
        <v>#N/A</v>
      </c>
      <c r="O12" s="55" t="str">
        <f>IF(COUNT(May[[#This Row],[Date]])&gt;0,IF(May[[#This Row],[Date]]&gt;14,"Yes","No"),"N/A")</f>
        <v>N/A</v>
      </c>
      <c r="P12" s="55"/>
      <c r="Q12" s="5">
        <f>Relay!A11</f>
        <v>0</v>
      </c>
      <c r="R12" s="5">
        <f>Relay!B11</f>
        <v>10</v>
      </c>
      <c r="S12" s="8">
        <f>IF(May[After the 14th?]="No",SUMIF(May[SysID],R12,May[Pay Amount]),0)+IF(April[After the 14th?]="Yes",SUMIF(April[SysID],R12,April[Pay Amount]),0)</f>
        <v>0</v>
      </c>
      <c r="T12" s="8"/>
      <c r="U12" s="5" t="str">
        <f t="shared" si="2"/>
        <v>N</v>
      </c>
      <c r="X12" s="56"/>
      <c r="Y12" s="56"/>
      <c r="Z12" s="56"/>
      <c r="AA12" s="56"/>
      <c r="AC12" s="56"/>
    </row>
    <row r="13" spans="1:30" x14ac:dyDescent="0.25">
      <c r="A13" s="35"/>
      <c r="B13" s="5" t="e">
        <f>VLOOKUP(A13,Relay!$A$1:$B$50,2,FALSE)</f>
        <v>#N/A</v>
      </c>
      <c r="C13" s="5" t="e">
        <f>VLOOKUP(A13,Relay!$A$2:$C$51,3,FALSE)</f>
        <v>#N/A</v>
      </c>
      <c r="D13" s="39"/>
      <c r="E13" s="35"/>
      <c r="F13" s="35" t="str">
        <f t="shared" si="0"/>
        <v>INS</v>
      </c>
      <c r="G13" s="5" t="e">
        <f>IF(OR(E13="Jeopardy",E13="APP Moonlighting",E13="Differential Pay"),"",May[[#This Row],[SysID]])</f>
        <v>#N/A</v>
      </c>
      <c r="H13" s="5" t="e">
        <f>IF(E13="Jeopardy",IF(C13="MD",Relay!$E$7,Relay!$E$8),IF(C13="MD",IF(COUNTIF(G:G,B13)&gt;1,Relay!$E$2,Relay!$E$1),IF(AND(COUNTIF(G:G,B13)&gt;1,COUNTA(A13)&gt;0),Relay!$E$5,Relay!$E$4)))</f>
        <v>#N/A</v>
      </c>
      <c r="I13" s="8">
        <f t="shared" si="1"/>
        <v>0</v>
      </c>
      <c r="J13" s="35"/>
      <c r="K13" s="35"/>
      <c r="L13" s="35"/>
      <c r="M13" s="35"/>
      <c r="N13" s="10" t="e">
        <f>IF(H13=May!$E$2,"N",IF(AND(COUNTIF(B:B,B13)=1,D13&gt;14),"Y","N"))</f>
        <v>#N/A</v>
      </c>
      <c r="O13" s="55" t="str">
        <f>IF(COUNT(May[[#This Row],[Date]])&gt;0,IF(May[[#This Row],[Date]]&gt;14,"Yes","No"),"N/A")</f>
        <v>N/A</v>
      </c>
      <c r="P13" s="55"/>
      <c r="Q13" s="5">
        <f>Relay!A12</f>
        <v>0</v>
      </c>
      <c r="R13" s="5">
        <f>Relay!B12</f>
        <v>11</v>
      </c>
      <c r="S13" s="8">
        <f>IF(May[After the 14th?]="No",SUMIF(May[SysID],R13,May[Pay Amount]),0)+IF(April[After the 14th?]="Yes",SUMIF(April[SysID],R13,April[Pay Amount]),0)</f>
        <v>0</v>
      </c>
      <c r="T13" s="8"/>
      <c r="U13" s="5" t="str">
        <f t="shared" si="2"/>
        <v>N</v>
      </c>
      <c r="X13" s="56"/>
      <c r="Y13" s="56"/>
      <c r="Z13" s="56"/>
      <c r="AA13" s="56"/>
      <c r="AC13" s="56"/>
    </row>
    <row r="14" spans="1:30" x14ac:dyDescent="0.25">
      <c r="A14" s="35"/>
      <c r="B14" s="5" t="e">
        <f>VLOOKUP(A14,Relay!$A$1:$B$50,2,FALSE)</f>
        <v>#N/A</v>
      </c>
      <c r="C14" s="5" t="e">
        <f>VLOOKUP(A14,Relay!$A$2:$C$51,3,FALSE)</f>
        <v>#N/A</v>
      </c>
      <c r="D14" s="39"/>
      <c r="E14" s="35"/>
      <c r="F14" s="35" t="str">
        <f t="shared" si="0"/>
        <v>INS</v>
      </c>
      <c r="G14" s="5" t="e">
        <f>IF(OR(E14="Jeopardy",E14="APP Moonlighting",E14="Differential Pay"),"",May[[#This Row],[SysID]])</f>
        <v>#N/A</v>
      </c>
      <c r="H14" s="5" t="e">
        <f>IF(E14="Jeopardy",IF(C14="MD",Relay!$E$7,Relay!$E$8),IF(C14="MD",IF(COUNTIF(G:G,B14)&gt;1,Relay!$E$2,Relay!$E$1),IF(AND(COUNTIF(G:G,B14)&gt;1,COUNTA(A14)&gt;0),Relay!$E$5,Relay!$E$4)))</f>
        <v>#N/A</v>
      </c>
      <c r="I14" s="8">
        <f t="shared" si="1"/>
        <v>0</v>
      </c>
      <c r="J14" s="35"/>
      <c r="K14" s="35"/>
      <c r="L14" s="35"/>
      <c r="M14" s="35"/>
      <c r="N14" s="10" t="e">
        <f>IF(H14=May!$E$2,"N",IF(AND(COUNTIF(B:B,B14)=1,D14&gt;14),"Y","N"))</f>
        <v>#N/A</v>
      </c>
      <c r="O14" s="55" t="str">
        <f>IF(COUNT(May[[#This Row],[Date]])&gt;0,IF(May[[#This Row],[Date]]&gt;14,"Yes","No"),"N/A")</f>
        <v>N/A</v>
      </c>
      <c r="P14" s="55"/>
      <c r="Q14" s="5">
        <f>Relay!A13</f>
        <v>0</v>
      </c>
      <c r="R14" s="5">
        <f>Relay!B13</f>
        <v>12</v>
      </c>
      <c r="S14" s="8">
        <f>IF(May[After the 14th?]="No",SUMIF(May[SysID],R14,May[Pay Amount]),0)+IF(April[After the 14th?]="Yes",SUMIF(April[SysID],R14,April[Pay Amount]),0)</f>
        <v>0</v>
      </c>
      <c r="T14" s="8"/>
      <c r="U14" s="5" t="str">
        <f t="shared" si="2"/>
        <v>N</v>
      </c>
      <c r="X14" s="56"/>
      <c r="Y14" s="56"/>
      <c r="Z14" s="56"/>
      <c r="AA14" s="56"/>
      <c r="AC14" s="56"/>
    </row>
    <row r="15" spans="1:30" x14ac:dyDescent="0.25">
      <c r="A15" s="35"/>
      <c r="B15" s="5" t="e">
        <f>VLOOKUP(A15,Relay!$A$1:$B$50,2,FALSE)</f>
        <v>#N/A</v>
      </c>
      <c r="C15" s="5" t="e">
        <f>VLOOKUP(A15,Relay!$A$2:$C$51,3,FALSE)</f>
        <v>#N/A</v>
      </c>
      <c r="D15" s="39"/>
      <c r="E15" s="35"/>
      <c r="F15" s="35" t="str">
        <f t="shared" si="0"/>
        <v>INS</v>
      </c>
      <c r="G15" s="5" t="e">
        <f>IF(OR(E15="Jeopardy",E15="APP Moonlighting",E15="Differential Pay"),"",May[[#This Row],[SysID]])</f>
        <v>#N/A</v>
      </c>
      <c r="H15" s="5" t="e">
        <f>IF(E15="Jeopardy",IF(C15="MD",Relay!$E$7,Relay!$E$8),IF(C15="MD",IF(COUNTIF(G:G,B15)&gt;1,Relay!$E$2,Relay!$E$1),IF(AND(COUNTIF(G:G,B15)&gt;1,COUNTA(A15)&gt;0),Relay!$E$5,Relay!$E$4)))</f>
        <v>#N/A</v>
      </c>
      <c r="I15" s="8">
        <f t="shared" si="1"/>
        <v>0</v>
      </c>
      <c r="J15" s="35"/>
      <c r="K15" s="35"/>
      <c r="L15" s="35"/>
      <c r="M15" s="35"/>
      <c r="N15" s="10" t="e">
        <f>IF(H15=May!$E$2,"N",IF(AND(COUNTIF(B:B,B15)=1,D15&gt;14),"Y","N"))</f>
        <v>#N/A</v>
      </c>
      <c r="O15" s="55" t="str">
        <f>IF(COUNT(May[[#This Row],[Date]])&gt;0,IF(May[[#This Row],[Date]]&gt;14,"Yes","No"),"N/A")</f>
        <v>N/A</v>
      </c>
      <c r="P15" s="55"/>
      <c r="Q15" s="5">
        <f>Relay!A14</f>
        <v>0</v>
      </c>
      <c r="R15" s="5">
        <f>Relay!B14</f>
        <v>13</v>
      </c>
      <c r="S15" s="8">
        <f>IF(May[After the 14th?]="No",SUMIF(May[SysID],R15,May[Pay Amount]),0)+IF(April[After the 14th?]="Yes",SUMIF(April[SysID],R15,April[Pay Amount]),0)</f>
        <v>0</v>
      </c>
      <c r="T15" s="8"/>
      <c r="U15" s="5" t="str">
        <f t="shared" si="2"/>
        <v>N</v>
      </c>
      <c r="X15" s="56"/>
      <c r="Y15" s="56"/>
      <c r="Z15" s="56"/>
      <c r="AA15" s="56"/>
      <c r="AC15" s="56"/>
    </row>
    <row r="16" spans="1:30" x14ac:dyDescent="0.25">
      <c r="A16" s="35"/>
      <c r="B16" s="5" t="e">
        <f>VLOOKUP(A16,Relay!$A$1:$B$50,2,FALSE)</f>
        <v>#N/A</v>
      </c>
      <c r="C16" s="5" t="e">
        <f>VLOOKUP(A16,Relay!$A$2:$C$51,3,FALSE)</f>
        <v>#N/A</v>
      </c>
      <c r="D16" s="39"/>
      <c r="E16" s="35"/>
      <c r="F16" s="35" t="str">
        <f t="shared" si="0"/>
        <v>INS</v>
      </c>
      <c r="G16" s="5" t="e">
        <f>IF(OR(E16="Jeopardy",E16="APP Moonlighting",E16="Differential Pay"),"",May[[#This Row],[SysID]])</f>
        <v>#N/A</v>
      </c>
      <c r="H16" s="5" t="e">
        <f>IF(E16="Jeopardy",IF(C16="MD",Relay!$E$7,Relay!$E$8),IF(C16="MD",IF(COUNTIF(G:G,B16)&gt;1,Relay!$E$2,Relay!$E$1),IF(AND(COUNTIF(G:G,B16)&gt;1,COUNTA(A16)&gt;0),Relay!$E$5,Relay!$E$4)))</f>
        <v>#N/A</v>
      </c>
      <c r="I16" s="8">
        <f t="shared" si="1"/>
        <v>0</v>
      </c>
      <c r="J16" s="35"/>
      <c r="K16" s="35"/>
      <c r="L16" s="35"/>
      <c r="M16" s="35"/>
      <c r="N16" s="10" t="e">
        <f>IF(H16=May!$E$2,"N",IF(AND(COUNTIF(B:B,B16)=1,D16&gt;14),"Y","N"))</f>
        <v>#N/A</v>
      </c>
      <c r="O16" s="55" t="str">
        <f>IF(COUNT(May[[#This Row],[Date]])&gt;0,IF(May[[#This Row],[Date]]&gt;14,"Yes","No"),"N/A")</f>
        <v>N/A</v>
      </c>
      <c r="P16" s="55"/>
      <c r="Q16" s="5">
        <f>Relay!A15</f>
        <v>0</v>
      </c>
      <c r="R16" s="5">
        <f>Relay!B15</f>
        <v>14</v>
      </c>
      <c r="S16" s="8">
        <f>IF(May[After the 14th?]="No",SUMIF(May[SysID],R16,May[Pay Amount]),0)+IF(April[After the 14th?]="Yes",SUMIF(April[SysID],R16,April[Pay Amount]),0)</f>
        <v>0</v>
      </c>
      <c r="T16" s="8"/>
      <c r="U16" s="5" t="str">
        <f t="shared" si="2"/>
        <v>N</v>
      </c>
      <c r="X16" s="56"/>
      <c r="Y16" s="56"/>
      <c r="Z16" s="56"/>
      <c r="AA16" s="56"/>
      <c r="AC16" s="56"/>
    </row>
    <row r="17" spans="1:29" x14ac:dyDescent="0.25">
      <c r="A17" s="35"/>
      <c r="B17" s="5" t="e">
        <f>VLOOKUP(A17,Relay!$A$1:$B$50,2,FALSE)</f>
        <v>#N/A</v>
      </c>
      <c r="C17" s="5" t="e">
        <f>VLOOKUP(A17,Relay!$A$2:$C$51,3,FALSE)</f>
        <v>#N/A</v>
      </c>
      <c r="D17" s="39"/>
      <c r="E17" s="35"/>
      <c r="F17" s="35" t="str">
        <f t="shared" si="0"/>
        <v>INS</v>
      </c>
      <c r="G17" s="5" t="e">
        <f>IF(OR(E17="Jeopardy",E17="APP Moonlighting",E17="Differential Pay"),"",May[[#This Row],[SysID]])</f>
        <v>#N/A</v>
      </c>
      <c r="H17" s="5" t="e">
        <f>IF(E17="Jeopardy",IF(C17="MD",Relay!$E$7,Relay!$E$8),IF(C17="MD",IF(COUNTIF(G:G,B17)&gt;1,Relay!$E$2,Relay!$E$1),IF(AND(COUNTIF(G:G,B17)&gt;1,COUNTA(A17)&gt;0),Relay!$E$5,Relay!$E$4)))</f>
        <v>#N/A</v>
      </c>
      <c r="I17" s="8">
        <f t="shared" si="1"/>
        <v>0</v>
      </c>
      <c r="J17" s="35"/>
      <c r="K17" s="35"/>
      <c r="L17" s="35"/>
      <c r="M17" s="35"/>
      <c r="N17" s="10" t="e">
        <f>IF(H17=May!$E$2,"N",IF(AND(COUNTIF(B:B,B17)=1,D17&gt;14),"Y","N"))</f>
        <v>#N/A</v>
      </c>
      <c r="O17" s="55" t="str">
        <f>IF(COUNT(May[[#This Row],[Date]])&gt;0,IF(May[[#This Row],[Date]]&gt;14,"Yes","No"),"N/A")</f>
        <v>N/A</v>
      </c>
      <c r="P17" s="55"/>
      <c r="Q17" s="5">
        <f>Relay!A16</f>
        <v>0</v>
      </c>
      <c r="R17" s="5">
        <f>Relay!B16</f>
        <v>15</v>
      </c>
      <c r="S17" s="8">
        <f>IF(May[After the 14th?]="No",SUMIF(May[SysID],R17,May[Pay Amount]),0)+IF(April[After the 14th?]="Yes",SUMIF(April[SysID],R17,April[Pay Amount]),0)</f>
        <v>0</v>
      </c>
      <c r="T17" s="8"/>
      <c r="U17" s="5" t="str">
        <f t="shared" si="2"/>
        <v>N</v>
      </c>
      <c r="X17" s="56"/>
      <c r="Y17" s="56"/>
      <c r="Z17" s="56"/>
      <c r="AA17" s="56"/>
      <c r="AC17" s="56"/>
    </row>
    <row r="18" spans="1:29" x14ac:dyDescent="0.25">
      <c r="A18" s="35"/>
      <c r="B18" s="5" t="e">
        <f>VLOOKUP(A18,Relay!$A$1:$B$50,2,FALSE)</f>
        <v>#N/A</v>
      </c>
      <c r="C18" s="5" t="e">
        <f>VLOOKUP(A18,Relay!$A$2:$C$51,3,FALSE)</f>
        <v>#N/A</v>
      </c>
      <c r="D18" s="39"/>
      <c r="E18" s="35"/>
      <c r="F18" s="35" t="str">
        <f t="shared" si="0"/>
        <v>INS</v>
      </c>
      <c r="G18" s="5" t="e">
        <f>IF(OR(E18="Jeopardy",E18="APP Moonlighting",E18="Differential Pay"),"",May[[#This Row],[SysID]])</f>
        <v>#N/A</v>
      </c>
      <c r="H18" s="5" t="e">
        <f>IF(E18="Jeopardy",IF(C18="MD",Relay!$E$7,Relay!$E$8),IF(C18="MD",IF(COUNTIF(G:G,B18)&gt;1,Relay!$E$2,Relay!$E$1),IF(AND(COUNTIF(G:G,B18)&gt;1,COUNTA(A18)&gt;0),Relay!$E$5,Relay!$E$4)))</f>
        <v>#N/A</v>
      </c>
      <c r="I18" s="8">
        <f t="shared" si="1"/>
        <v>0</v>
      </c>
      <c r="J18" s="35"/>
      <c r="K18" s="35"/>
      <c r="L18" s="35"/>
      <c r="M18" s="35"/>
      <c r="N18" s="10" t="e">
        <f>IF(H18=May!$E$2,"N",IF(AND(COUNTIF(B:B,B18)=1,D18&gt;14),"Y","N"))</f>
        <v>#N/A</v>
      </c>
      <c r="O18" s="55" t="str">
        <f>IF(COUNT(May[[#This Row],[Date]])&gt;0,IF(May[[#This Row],[Date]]&gt;14,"Yes","No"),"N/A")</f>
        <v>N/A</v>
      </c>
      <c r="P18" s="55"/>
      <c r="Q18" s="5">
        <f>Relay!A17</f>
        <v>0</v>
      </c>
      <c r="R18" s="5">
        <f>Relay!B17</f>
        <v>16</v>
      </c>
      <c r="S18" s="8">
        <f>IF(May[After the 14th?]="No",SUMIF(May[SysID],R18,May[Pay Amount]),0)+IF(April[After the 14th?]="Yes",SUMIF(April[SysID],R18,April[Pay Amount]),0)</f>
        <v>0</v>
      </c>
      <c r="T18" s="8"/>
      <c r="U18" s="5" t="str">
        <f t="shared" si="2"/>
        <v>N</v>
      </c>
      <c r="X18" s="56"/>
      <c r="Y18" s="56"/>
      <c r="Z18" s="56"/>
      <c r="AA18" s="56"/>
      <c r="AC18" s="56"/>
    </row>
    <row r="19" spans="1:29" x14ac:dyDescent="0.25">
      <c r="A19" s="35"/>
      <c r="B19" s="5" t="e">
        <f>VLOOKUP(A19,Relay!$A$1:$B$50,2,FALSE)</f>
        <v>#N/A</v>
      </c>
      <c r="C19" s="5" t="e">
        <f>VLOOKUP(A19,Relay!$A$2:$C$51,3,FALSE)</f>
        <v>#N/A</v>
      </c>
      <c r="D19" s="39"/>
      <c r="E19" s="35"/>
      <c r="F19" s="35" t="str">
        <f t="shared" si="0"/>
        <v>INS</v>
      </c>
      <c r="G19" s="5" t="e">
        <f>IF(OR(E19="Jeopardy",E19="APP Moonlighting",E19="Differential Pay"),"",May[[#This Row],[SysID]])</f>
        <v>#N/A</v>
      </c>
      <c r="H19" s="5" t="e">
        <f>IF(E19="Jeopardy",IF(C19="MD",Relay!$E$7,Relay!$E$8),IF(C19="MD",IF(COUNTIF(G:G,B19)&gt;1,Relay!$E$2,Relay!$E$1),IF(AND(COUNTIF(G:G,B19)&gt;1,COUNTA(A19)&gt;0),Relay!$E$5,Relay!$E$4)))</f>
        <v>#N/A</v>
      </c>
      <c r="I19" s="8">
        <f t="shared" si="1"/>
        <v>0</v>
      </c>
      <c r="J19" s="35"/>
      <c r="K19" s="35"/>
      <c r="L19" s="35"/>
      <c r="M19" s="35"/>
      <c r="N19" s="10" t="e">
        <f>IF(H19=May!$E$2,"N",IF(AND(COUNTIF(B:B,B19)=1,D19&gt;14),"Y","N"))</f>
        <v>#N/A</v>
      </c>
      <c r="O19" s="55" t="str">
        <f>IF(COUNT(May[[#This Row],[Date]])&gt;0,IF(May[[#This Row],[Date]]&gt;14,"Yes","No"),"N/A")</f>
        <v>N/A</v>
      </c>
      <c r="P19" s="55"/>
      <c r="Q19" s="5">
        <f>Relay!A18</f>
        <v>0</v>
      </c>
      <c r="R19" s="5">
        <f>Relay!B18</f>
        <v>17</v>
      </c>
      <c r="S19" s="8">
        <f>IF(May[After the 14th?]="No",SUMIF(May[SysID],R19,May[Pay Amount]),0)+IF(April[After the 14th?]="Yes",SUMIF(April[SysID],R19,April[Pay Amount]),0)</f>
        <v>0</v>
      </c>
      <c r="T19" s="8"/>
      <c r="U19" s="5" t="str">
        <f t="shared" si="2"/>
        <v>N</v>
      </c>
      <c r="X19" s="56"/>
      <c r="Y19" s="56"/>
      <c r="Z19" s="56"/>
      <c r="AA19" s="56"/>
      <c r="AC19" s="56"/>
    </row>
    <row r="20" spans="1:29" x14ac:dyDescent="0.25">
      <c r="A20" s="35"/>
      <c r="B20" s="5" t="e">
        <f>VLOOKUP(A20,Relay!$A$1:$B$50,2,FALSE)</f>
        <v>#N/A</v>
      </c>
      <c r="C20" s="5" t="e">
        <f>VLOOKUP(A20,Relay!$A$2:$C$51,3,FALSE)</f>
        <v>#N/A</v>
      </c>
      <c r="D20" s="39"/>
      <c r="E20" s="35"/>
      <c r="F20" s="35" t="str">
        <f t="shared" si="0"/>
        <v>INS</v>
      </c>
      <c r="G20" s="5" t="e">
        <f>IF(OR(E20="Jeopardy",E20="APP Moonlighting",E20="Differential Pay"),"",May[[#This Row],[SysID]])</f>
        <v>#N/A</v>
      </c>
      <c r="H20" s="5" t="e">
        <f>IF(E20="Jeopardy",IF(C20="MD",Relay!$E$7,Relay!$E$8),IF(C20="MD",IF(COUNTIF(G:G,B20)&gt;1,Relay!$E$2,Relay!$E$1),IF(AND(COUNTIF(G:G,B20)&gt;1,COUNTA(A20)&gt;0),Relay!$E$5,Relay!$E$4)))</f>
        <v>#N/A</v>
      </c>
      <c r="I20" s="8">
        <f t="shared" si="1"/>
        <v>0</v>
      </c>
      <c r="J20" s="35"/>
      <c r="K20" s="35"/>
      <c r="L20" s="35"/>
      <c r="M20" s="35"/>
      <c r="N20" s="10" t="e">
        <f>IF(H20=May!$E$2,"N",IF(AND(COUNTIF(B:B,B20)=1,D20&gt;14),"Y","N"))</f>
        <v>#N/A</v>
      </c>
      <c r="O20" s="55" t="str">
        <f>IF(COUNT(May[[#This Row],[Date]])&gt;0,IF(May[[#This Row],[Date]]&gt;14,"Yes","No"),"N/A")</f>
        <v>N/A</v>
      </c>
      <c r="P20" s="55"/>
      <c r="Q20" s="5">
        <f>Relay!A19</f>
        <v>0</v>
      </c>
      <c r="R20" s="5">
        <f>Relay!B19</f>
        <v>18</v>
      </c>
      <c r="S20" s="8">
        <f>IF(May[After the 14th?]="No",SUMIF(May[SysID],R20,May[Pay Amount]),0)+IF(April[After the 14th?]="Yes",SUMIF(April[SysID],R20,April[Pay Amount]),0)</f>
        <v>0</v>
      </c>
      <c r="T20" s="8"/>
      <c r="U20" s="5" t="str">
        <f t="shared" si="2"/>
        <v>N</v>
      </c>
      <c r="X20" s="56"/>
      <c r="Y20" s="56"/>
      <c r="Z20" s="56"/>
      <c r="AA20" s="56"/>
      <c r="AC20" s="56"/>
    </row>
    <row r="21" spans="1:29" x14ac:dyDescent="0.25">
      <c r="A21" s="35"/>
      <c r="B21" s="5" t="e">
        <f>VLOOKUP(A21,Relay!$A$1:$B$50,2,FALSE)</f>
        <v>#N/A</v>
      </c>
      <c r="C21" s="5" t="e">
        <f>VLOOKUP(A21,Relay!$A$2:$C$51,3,FALSE)</f>
        <v>#N/A</v>
      </c>
      <c r="D21" s="39"/>
      <c r="E21" s="35"/>
      <c r="F21" s="35" t="str">
        <f t="shared" si="0"/>
        <v>INS</v>
      </c>
      <c r="G21" s="5" t="e">
        <f>IF(OR(E21="Jeopardy",E21="APP Moonlighting",E21="Differential Pay"),"",May[[#This Row],[SysID]])</f>
        <v>#N/A</v>
      </c>
      <c r="H21" s="5" t="e">
        <f>IF(E21="Jeopardy",IF(C21="MD",Relay!$E$7,Relay!$E$8),IF(C21="MD",IF(COUNTIF(G:G,B21)&gt;1,Relay!$E$2,Relay!$E$1),IF(AND(COUNTIF(G:G,B21)&gt;1,COUNTA(A21)&gt;0),Relay!$E$5,Relay!$E$4)))</f>
        <v>#N/A</v>
      </c>
      <c r="I21" s="8">
        <f t="shared" si="1"/>
        <v>0</v>
      </c>
      <c r="J21" s="35"/>
      <c r="K21" s="35"/>
      <c r="L21" s="35"/>
      <c r="M21" s="35"/>
      <c r="N21" s="10" t="e">
        <f>IF(H21=May!$E$2,"N",IF(AND(COUNTIF(B:B,B21)=1,D21&gt;14),"Y","N"))</f>
        <v>#N/A</v>
      </c>
      <c r="O21" s="55" t="str">
        <f>IF(COUNT(May[[#This Row],[Date]])&gt;0,IF(May[[#This Row],[Date]]&gt;14,"Yes","No"),"N/A")</f>
        <v>N/A</v>
      </c>
      <c r="P21" s="55"/>
      <c r="Q21" s="5">
        <f>Relay!A20</f>
        <v>0</v>
      </c>
      <c r="R21" s="5">
        <f>Relay!B20</f>
        <v>19</v>
      </c>
      <c r="S21" s="8">
        <f>IF(May[After the 14th?]="No",SUMIF(May[SysID],R21,May[Pay Amount]),0)+IF(April[After the 14th?]="Yes",SUMIF(April[SysID],R21,April[Pay Amount]),0)</f>
        <v>0</v>
      </c>
      <c r="T21" s="8"/>
      <c r="U21" s="5" t="str">
        <f t="shared" si="2"/>
        <v>N</v>
      </c>
      <c r="X21" s="56"/>
      <c r="Y21" s="56"/>
      <c r="Z21" s="56"/>
      <c r="AA21" s="56"/>
      <c r="AC21" s="56"/>
    </row>
    <row r="22" spans="1:29" x14ac:dyDescent="0.25">
      <c r="A22" s="35"/>
      <c r="B22" s="5" t="e">
        <f>VLOOKUP(A22,Relay!$A$1:$B$50,2,FALSE)</f>
        <v>#N/A</v>
      </c>
      <c r="C22" s="5" t="e">
        <f>VLOOKUP(A22,Relay!$A$2:$C$51,3,FALSE)</f>
        <v>#N/A</v>
      </c>
      <c r="D22" s="39"/>
      <c r="E22" s="35"/>
      <c r="F22" s="35" t="str">
        <f t="shared" si="0"/>
        <v>INS</v>
      </c>
      <c r="G22" s="5" t="e">
        <f>IF(OR(E22="Jeopardy",E22="APP Moonlighting",E22="Differential Pay"),"",May[[#This Row],[SysID]])</f>
        <v>#N/A</v>
      </c>
      <c r="H22" s="5" t="e">
        <f>IF(E22="Jeopardy",IF(C22="MD",Relay!$E$7,Relay!$E$8),IF(C22="MD",IF(COUNTIF(G:G,B22)&gt;1,Relay!$E$2,Relay!$E$1),IF(AND(COUNTIF(G:G,B22)&gt;1,COUNTA(A22)&gt;0),Relay!$E$5,Relay!$E$4)))</f>
        <v>#N/A</v>
      </c>
      <c r="I22" s="8">
        <f t="shared" si="1"/>
        <v>0</v>
      </c>
      <c r="J22" s="35"/>
      <c r="K22" s="35"/>
      <c r="L22" s="35"/>
      <c r="M22" s="35"/>
      <c r="N22" s="10" t="e">
        <f>IF(H22=May!$E$2,"N",IF(AND(COUNTIF(B:B,B22)=1,D22&gt;14),"Y","N"))</f>
        <v>#N/A</v>
      </c>
      <c r="O22" s="55" t="str">
        <f>IF(COUNT(May[[#This Row],[Date]])&gt;0,IF(May[[#This Row],[Date]]&gt;14,"Yes","No"),"N/A")</f>
        <v>N/A</v>
      </c>
      <c r="P22" s="55"/>
      <c r="Q22" s="5">
        <f>Relay!A21</f>
        <v>0</v>
      </c>
      <c r="R22" s="5">
        <f>Relay!B21</f>
        <v>20</v>
      </c>
      <c r="S22" s="8">
        <f>IF(May[After the 14th?]="No",SUMIF(May[SysID],R22,May[Pay Amount]),0)+IF(April[After the 14th?]="Yes",SUMIF(April[SysID],R22,April[Pay Amount]),0)</f>
        <v>0</v>
      </c>
      <c r="T22" s="8"/>
      <c r="U22" s="5" t="str">
        <f t="shared" si="2"/>
        <v>N</v>
      </c>
      <c r="X22" s="56"/>
      <c r="Y22" s="56"/>
      <c r="Z22" s="56"/>
      <c r="AA22" s="56"/>
      <c r="AC22" s="56"/>
    </row>
    <row r="23" spans="1:29" x14ac:dyDescent="0.25">
      <c r="A23" s="35"/>
      <c r="B23" s="5" t="e">
        <f>VLOOKUP(A23,Relay!$A$1:$B$50,2,FALSE)</f>
        <v>#N/A</v>
      </c>
      <c r="C23" s="5" t="e">
        <f>VLOOKUP(A23,Relay!$A$2:$C$51,3,FALSE)</f>
        <v>#N/A</v>
      </c>
      <c r="D23" s="39"/>
      <c r="E23" s="35"/>
      <c r="F23" s="35" t="str">
        <f t="shared" si="0"/>
        <v>INS</v>
      </c>
      <c r="G23" s="5" t="e">
        <f>IF(OR(E23="Jeopardy",E23="APP Moonlighting",E23="Differential Pay"),"",May[[#This Row],[SysID]])</f>
        <v>#N/A</v>
      </c>
      <c r="H23" s="5" t="e">
        <f>IF(E23="Jeopardy",IF(C23="MD",Relay!$E$7,Relay!$E$8),IF(C23="MD",IF(COUNTIF(G:G,B23)&gt;1,Relay!$E$2,Relay!$E$1),IF(AND(COUNTIF(G:G,B23)&gt;1,COUNTA(A23)&gt;0),Relay!$E$5,Relay!$E$4)))</f>
        <v>#N/A</v>
      </c>
      <c r="I23" s="8">
        <f t="shared" si="1"/>
        <v>0</v>
      </c>
      <c r="J23" s="35"/>
      <c r="K23" s="35"/>
      <c r="L23" s="35"/>
      <c r="M23" s="35"/>
      <c r="N23" s="10" t="e">
        <f>IF(H23=May!$E$2,"N",IF(AND(COUNTIF(B:B,B23)=1,D23&gt;14),"Y","N"))</f>
        <v>#N/A</v>
      </c>
      <c r="O23" s="55" t="str">
        <f>IF(COUNT(May[[#This Row],[Date]])&gt;0,IF(May[[#This Row],[Date]]&gt;14,"Yes","No"),"N/A")</f>
        <v>N/A</v>
      </c>
      <c r="P23" s="55"/>
      <c r="Q23" s="5">
        <f>Relay!A22</f>
        <v>0</v>
      </c>
      <c r="R23" s="5">
        <f>Relay!B22</f>
        <v>21</v>
      </c>
      <c r="S23" s="8">
        <f>IF(May[After the 14th?]="No",SUMIF(May[SysID],R23,May[Pay Amount]),0)+IF(April[After the 14th?]="Yes",SUMIF(April[SysID],R23,April[Pay Amount]),0)</f>
        <v>0</v>
      </c>
      <c r="T23" s="8"/>
      <c r="U23" s="5" t="str">
        <f t="shared" si="2"/>
        <v>N</v>
      </c>
      <c r="X23" s="56"/>
      <c r="Y23" s="56"/>
      <c r="Z23" s="56"/>
      <c r="AA23" s="56"/>
      <c r="AC23" s="56"/>
    </row>
    <row r="24" spans="1:29" x14ac:dyDescent="0.25">
      <c r="A24" s="35"/>
      <c r="B24" s="5" t="e">
        <f>VLOOKUP(A24,Relay!$A$1:$B$50,2,FALSE)</f>
        <v>#N/A</v>
      </c>
      <c r="C24" s="5" t="e">
        <f>VLOOKUP(A24,Relay!$A$2:$C$51,3,FALSE)</f>
        <v>#N/A</v>
      </c>
      <c r="D24" s="39"/>
      <c r="E24" s="35"/>
      <c r="F24" s="35" t="str">
        <f t="shared" si="0"/>
        <v>INS</v>
      </c>
      <c r="G24" s="5" t="e">
        <f>IF(OR(E24="Jeopardy",E24="APP Moonlighting",E24="Differential Pay"),"",May[[#This Row],[SysID]])</f>
        <v>#N/A</v>
      </c>
      <c r="H24" s="5" t="e">
        <f>IF(E24="Jeopardy",IF(C24="MD",Relay!$E$7,Relay!$E$8),IF(C24="MD",IF(COUNTIF(G:G,B24)&gt;1,Relay!$E$2,Relay!$E$1),IF(AND(COUNTIF(G:G,B24)&gt;1,COUNTA(A24)&gt;0),Relay!$E$5,Relay!$E$4)))</f>
        <v>#N/A</v>
      </c>
      <c r="I24" s="8">
        <f t="shared" si="1"/>
        <v>0</v>
      </c>
      <c r="J24" s="35"/>
      <c r="K24" s="35"/>
      <c r="L24" s="35"/>
      <c r="M24" s="35"/>
      <c r="N24" s="10" t="e">
        <f>IF(H24=May!$E$2,"N",IF(AND(COUNTIF(B:B,B24)=1,D24&gt;14),"Y","N"))</f>
        <v>#N/A</v>
      </c>
      <c r="O24" s="55" t="str">
        <f>IF(COUNT(May[[#This Row],[Date]])&gt;0,IF(May[[#This Row],[Date]]&gt;14,"Yes","No"),"N/A")</f>
        <v>N/A</v>
      </c>
      <c r="P24" s="55"/>
      <c r="Q24" s="5">
        <f>Relay!A23</f>
        <v>0</v>
      </c>
      <c r="R24" s="5">
        <f>Relay!B23</f>
        <v>22</v>
      </c>
      <c r="S24" s="8">
        <f>IF(May[After the 14th?]="No",SUMIF(May[SysID],R24,May[Pay Amount]),0)+IF(April[After the 14th?]="Yes",SUMIF(April[SysID],R24,April[Pay Amount]),0)</f>
        <v>0</v>
      </c>
      <c r="T24" s="8"/>
      <c r="U24" s="5" t="str">
        <f t="shared" si="2"/>
        <v>N</v>
      </c>
      <c r="X24" s="56"/>
      <c r="Y24" s="56"/>
      <c r="Z24" s="56"/>
      <c r="AA24" s="56"/>
      <c r="AC24" s="56"/>
    </row>
    <row r="25" spans="1:29" x14ac:dyDescent="0.25">
      <c r="A25" s="35"/>
      <c r="B25" s="5" t="e">
        <f>VLOOKUP(A25,Relay!$A$1:$B$50,2,FALSE)</f>
        <v>#N/A</v>
      </c>
      <c r="C25" s="5" t="e">
        <f>VLOOKUP(A25,Relay!$A$2:$C$51,3,FALSE)</f>
        <v>#N/A</v>
      </c>
      <c r="D25" s="39"/>
      <c r="E25" s="35"/>
      <c r="F25" s="35" t="str">
        <f t="shared" si="0"/>
        <v>INS</v>
      </c>
      <c r="G25" s="5" t="e">
        <f>IF(OR(E25="Jeopardy",E25="APP Moonlighting",E25="Differential Pay"),"",May[[#This Row],[SysID]])</f>
        <v>#N/A</v>
      </c>
      <c r="H25" s="5" t="e">
        <f>IF(E25="Jeopardy",IF(C25="MD",Relay!$E$7,Relay!$E$8),IF(C25="MD",IF(COUNTIF(G:G,B25)&gt;1,Relay!$E$2,Relay!$E$1),IF(AND(COUNTIF(G:G,B25)&gt;1,COUNTA(A25)&gt;0),Relay!$E$5,Relay!$E$4)))</f>
        <v>#N/A</v>
      </c>
      <c r="I25" s="8">
        <f t="shared" si="1"/>
        <v>0</v>
      </c>
      <c r="J25" s="35"/>
      <c r="K25" s="35"/>
      <c r="L25" s="35"/>
      <c r="M25" s="35"/>
      <c r="N25" s="10" t="e">
        <f>IF(H25=May!$E$2,"N",IF(AND(COUNTIF(B:B,B25)=1,D25&gt;14),"Y","N"))</f>
        <v>#N/A</v>
      </c>
      <c r="O25" s="55" t="str">
        <f>IF(COUNT(May[[#This Row],[Date]])&gt;0,IF(May[[#This Row],[Date]]&gt;14,"Yes","No"),"N/A")</f>
        <v>N/A</v>
      </c>
      <c r="P25" s="55"/>
      <c r="Q25" s="5">
        <f>Relay!A24</f>
        <v>0</v>
      </c>
      <c r="R25" s="5">
        <f>Relay!B24</f>
        <v>23</v>
      </c>
      <c r="S25" s="8">
        <f>IF(May[After the 14th?]="No",SUMIF(May[SysID],R25,May[Pay Amount]),0)+IF(April[After the 14th?]="Yes",SUMIF(April[SysID],R25,April[Pay Amount]),0)</f>
        <v>0</v>
      </c>
      <c r="T25" s="8"/>
      <c r="U25" s="5" t="str">
        <f t="shared" si="2"/>
        <v>N</v>
      </c>
      <c r="X25" s="56"/>
      <c r="Y25" s="56"/>
      <c r="Z25" s="56"/>
      <c r="AA25" s="56"/>
      <c r="AC25" s="56"/>
    </row>
    <row r="26" spans="1:29" x14ac:dyDescent="0.25">
      <c r="A26" s="35"/>
      <c r="B26" s="5" t="e">
        <f>VLOOKUP(A26,Relay!$A$1:$B$50,2,FALSE)</f>
        <v>#N/A</v>
      </c>
      <c r="C26" s="5" t="e">
        <f>VLOOKUP(A26,Relay!$A$2:$C$51,3,FALSE)</f>
        <v>#N/A</v>
      </c>
      <c r="D26" s="39"/>
      <c r="E26" s="35"/>
      <c r="F26" s="35" t="str">
        <f t="shared" si="0"/>
        <v>INS</v>
      </c>
      <c r="G26" s="5" t="e">
        <f>IF(OR(E26="Jeopardy",E26="APP Moonlighting",E26="Differential Pay"),"",May[[#This Row],[SysID]])</f>
        <v>#N/A</v>
      </c>
      <c r="H26" s="5" t="e">
        <f>IF(E26="Jeopardy",IF(C26="MD",Relay!$E$7,Relay!$E$8),IF(C26="MD",IF(COUNTIF(G:G,B26)&gt;1,Relay!$E$2,Relay!$E$1),IF(AND(COUNTIF(G:G,B26)&gt;1,COUNTA(A26)&gt;0),Relay!$E$5,Relay!$E$4)))</f>
        <v>#N/A</v>
      </c>
      <c r="I26" s="8">
        <f t="shared" si="1"/>
        <v>0</v>
      </c>
      <c r="J26" s="35"/>
      <c r="K26" s="35"/>
      <c r="L26" s="35"/>
      <c r="M26" s="35"/>
      <c r="N26" s="10" t="e">
        <f>IF(H26=May!$E$2,"N",IF(AND(COUNTIF(B:B,B26)=1,D26&gt;14),"Y","N"))</f>
        <v>#N/A</v>
      </c>
      <c r="O26" s="55" t="str">
        <f>IF(COUNT(May[[#This Row],[Date]])&gt;0,IF(May[[#This Row],[Date]]&gt;14,"Yes","No"),"N/A")</f>
        <v>N/A</v>
      </c>
      <c r="P26" s="55"/>
      <c r="Q26" s="5">
        <f>Relay!A25</f>
        <v>0</v>
      </c>
      <c r="R26" s="5">
        <f>Relay!B25</f>
        <v>24</v>
      </c>
      <c r="S26" s="8">
        <f>IF(May[After the 14th?]="No",SUMIF(May[SysID],R26,May[Pay Amount]),0)+IF(April[After the 14th?]="Yes",SUMIF(April[SysID],R26,April[Pay Amount]),0)</f>
        <v>0</v>
      </c>
      <c r="T26" s="8"/>
      <c r="U26" s="5" t="str">
        <f t="shared" si="2"/>
        <v>N</v>
      </c>
      <c r="X26" s="56"/>
      <c r="Y26" s="56"/>
      <c r="Z26" s="56"/>
      <c r="AA26" s="56"/>
      <c r="AC26" s="56"/>
    </row>
    <row r="27" spans="1:29" x14ac:dyDescent="0.25">
      <c r="A27" s="35"/>
      <c r="B27" s="5" t="e">
        <f>VLOOKUP(A27,Relay!$A$1:$B$50,2,FALSE)</f>
        <v>#N/A</v>
      </c>
      <c r="C27" s="5" t="e">
        <f>VLOOKUP(A27,Relay!$A$2:$C$51,3,FALSE)</f>
        <v>#N/A</v>
      </c>
      <c r="D27" s="39"/>
      <c r="E27" s="35"/>
      <c r="F27" s="35" t="str">
        <f t="shared" si="0"/>
        <v>INS</v>
      </c>
      <c r="G27" s="5" t="e">
        <f>IF(OR(E27="Jeopardy",E27="APP Moonlighting",E27="Differential Pay"),"",May[[#This Row],[SysID]])</f>
        <v>#N/A</v>
      </c>
      <c r="H27" s="5" t="e">
        <f>IF(E27="Jeopardy",IF(C27="MD",Relay!$E$7,Relay!$E$8),IF(C27="MD",IF(COUNTIF(G:G,B27)&gt;1,Relay!$E$2,Relay!$E$1),IF(AND(COUNTIF(G:G,B27)&gt;1,COUNTA(A27)&gt;0),Relay!$E$5,Relay!$E$4)))</f>
        <v>#N/A</v>
      </c>
      <c r="I27" s="8">
        <f t="shared" si="1"/>
        <v>0</v>
      </c>
      <c r="J27" s="35"/>
      <c r="K27" s="35"/>
      <c r="L27" s="35"/>
      <c r="M27" s="35"/>
      <c r="N27" s="10" t="e">
        <f>IF(H27=May!$E$2,"N",IF(AND(COUNTIF(B:B,B27)=1,D27&gt;14),"Y","N"))</f>
        <v>#N/A</v>
      </c>
      <c r="O27" s="55" t="str">
        <f>IF(COUNT(May[[#This Row],[Date]])&gt;0,IF(May[[#This Row],[Date]]&gt;14,"Yes","No"),"N/A")</f>
        <v>N/A</v>
      </c>
      <c r="P27" s="55"/>
      <c r="Q27" s="5">
        <f>Relay!A26</f>
        <v>0</v>
      </c>
      <c r="R27" s="5">
        <f>Relay!B26</f>
        <v>25</v>
      </c>
      <c r="S27" s="8">
        <f>IF(May[After the 14th?]="No",SUMIF(May[SysID],R27,May[Pay Amount]),0)+IF(April[After the 14th?]="Yes",SUMIF(April[SysID],R27,April[Pay Amount]),0)</f>
        <v>0</v>
      </c>
      <c r="T27" s="8"/>
      <c r="U27" s="5" t="str">
        <f t="shared" si="2"/>
        <v>N</v>
      </c>
      <c r="X27" s="56"/>
      <c r="Y27" s="56"/>
      <c r="Z27" s="56"/>
      <c r="AA27" s="56"/>
      <c r="AC27" s="56"/>
    </row>
    <row r="28" spans="1:29" x14ac:dyDescent="0.25">
      <c r="A28" s="35"/>
      <c r="B28" s="5" t="e">
        <f>VLOOKUP(A28,Relay!$A$1:$B$50,2,FALSE)</f>
        <v>#N/A</v>
      </c>
      <c r="C28" s="5" t="e">
        <f>VLOOKUP(A28,Relay!$A$2:$C$51,3,FALSE)</f>
        <v>#N/A</v>
      </c>
      <c r="D28" s="39"/>
      <c r="E28" s="35"/>
      <c r="F28" s="35" t="str">
        <f t="shared" si="0"/>
        <v>INS</v>
      </c>
      <c r="G28" s="5" t="e">
        <f>IF(OR(E28="Jeopardy",E28="APP Moonlighting",E28="Differential Pay"),"",May[[#This Row],[SysID]])</f>
        <v>#N/A</v>
      </c>
      <c r="H28" s="5" t="e">
        <f>IF(E28="Jeopardy",IF(C28="MD",Relay!$E$7,Relay!$E$8),IF(C28="MD",IF(COUNTIF(G:G,B28)&gt;1,Relay!$E$2,Relay!$E$1),IF(AND(COUNTIF(G:G,B28)&gt;1,COUNTA(A28)&gt;0),Relay!$E$5,Relay!$E$4)))</f>
        <v>#N/A</v>
      </c>
      <c r="I28" s="8">
        <f t="shared" si="1"/>
        <v>0</v>
      </c>
      <c r="J28" s="35"/>
      <c r="K28" s="35"/>
      <c r="L28" s="35"/>
      <c r="M28" s="35"/>
      <c r="N28" s="10" t="e">
        <f>IF(H28=May!$E$2,"N",IF(AND(COUNTIF(B:B,B28)=1,D28&gt;14),"Y","N"))</f>
        <v>#N/A</v>
      </c>
      <c r="O28" s="55" t="str">
        <f>IF(COUNT(May[[#This Row],[Date]])&gt;0,IF(May[[#This Row],[Date]]&gt;14,"Yes","No"),"N/A")</f>
        <v>N/A</v>
      </c>
      <c r="P28" s="55"/>
      <c r="Q28" s="5">
        <f>Relay!A27</f>
        <v>0</v>
      </c>
      <c r="R28" s="5">
        <f>Relay!B27</f>
        <v>26</v>
      </c>
      <c r="S28" s="8">
        <f>IF(May[After the 14th?]="No",SUMIF(May[SysID],R28,May[Pay Amount]),0)+IF(April[After the 14th?]="Yes",SUMIF(April[SysID],R28,April[Pay Amount]),0)</f>
        <v>0</v>
      </c>
      <c r="T28" s="8"/>
      <c r="U28" s="5" t="str">
        <f t="shared" si="2"/>
        <v>N</v>
      </c>
      <c r="X28" s="56"/>
      <c r="Y28" s="56"/>
      <c r="Z28" s="56"/>
      <c r="AA28" s="56"/>
      <c r="AC28" s="56"/>
    </row>
    <row r="29" spans="1:29" x14ac:dyDescent="0.25">
      <c r="A29" s="35"/>
      <c r="B29" s="5" t="e">
        <f>VLOOKUP(A29,Relay!$A$1:$B$50,2,FALSE)</f>
        <v>#N/A</v>
      </c>
      <c r="C29" s="5" t="e">
        <f>VLOOKUP(A29,Relay!$A$2:$C$51,3,FALSE)</f>
        <v>#N/A</v>
      </c>
      <c r="D29" s="39"/>
      <c r="E29" s="35"/>
      <c r="F29" s="35" t="str">
        <f t="shared" si="0"/>
        <v>INS</v>
      </c>
      <c r="G29" s="5" t="e">
        <f>IF(OR(E29="Jeopardy",E29="APP Moonlighting",E29="Differential Pay"),"",May[[#This Row],[SysID]])</f>
        <v>#N/A</v>
      </c>
      <c r="H29" s="5" t="e">
        <f>IF(E29="Jeopardy",IF(C29="MD",Relay!$E$7,Relay!$E$8),IF(C29="MD",IF(COUNTIF(G:G,B29)&gt;1,Relay!$E$2,Relay!$E$1),IF(AND(COUNTIF(G:G,B29)&gt;1,COUNTA(A29)&gt;0),Relay!$E$5,Relay!$E$4)))</f>
        <v>#N/A</v>
      </c>
      <c r="I29" s="8">
        <f t="shared" si="1"/>
        <v>0</v>
      </c>
      <c r="J29" s="35"/>
      <c r="K29" s="35"/>
      <c r="L29" s="35"/>
      <c r="M29" s="35"/>
      <c r="N29" s="10" t="e">
        <f>IF(H29=May!$E$2,"N",IF(AND(COUNTIF(B:B,B29)=1,D29&gt;14),"Y","N"))</f>
        <v>#N/A</v>
      </c>
      <c r="O29" s="55" t="str">
        <f>IF(COUNT(May[[#This Row],[Date]])&gt;0,IF(May[[#This Row],[Date]]&gt;14,"Yes","No"),"N/A")</f>
        <v>N/A</v>
      </c>
      <c r="P29" s="55"/>
      <c r="Q29" s="5">
        <f>Relay!A28</f>
        <v>0</v>
      </c>
      <c r="R29" s="5">
        <f>Relay!B28</f>
        <v>27</v>
      </c>
      <c r="S29" s="8">
        <f>IF(May[After the 14th?]="No",SUMIF(May[SysID],R29,May[Pay Amount]),0)+IF(April[After the 14th?]="Yes",SUMIF(April[SysID],R29,April[Pay Amount]),0)</f>
        <v>0</v>
      </c>
      <c r="T29" s="8"/>
      <c r="U29" s="5" t="str">
        <f t="shared" si="2"/>
        <v>N</v>
      </c>
      <c r="X29" s="56"/>
      <c r="Y29" s="56"/>
      <c r="Z29" s="56"/>
      <c r="AA29" s="56"/>
      <c r="AC29" s="56"/>
    </row>
    <row r="30" spans="1:29" x14ac:dyDescent="0.25">
      <c r="A30" s="35"/>
      <c r="B30" s="5" t="e">
        <f>VLOOKUP(A30,Relay!$A$1:$B$50,2,FALSE)</f>
        <v>#N/A</v>
      </c>
      <c r="C30" s="5" t="e">
        <f>VLOOKUP(A30,Relay!$A$2:$C$51,3,FALSE)</f>
        <v>#N/A</v>
      </c>
      <c r="D30" s="39"/>
      <c r="E30" s="35"/>
      <c r="F30" s="35" t="str">
        <f t="shared" si="0"/>
        <v>INS</v>
      </c>
      <c r="G30" s="5" t="e">
        <f>IF(OR(E30="Jeopardy",E30="APP Moonlighting",E30="Differential Pay"),"",May[[#This Row],[SysID]])</f>
        <v>#N/A</v>
      </c>
      <c r="H30" s="5" t="e">
        <f>IF(E30="Jeopardy",IF(C30="MD",Relay!$E$7,Relay!$E$8),IF(C30="MD",IF(COUNTIF(G:G,B30)&gt;1,Relay!$E$2,Relay!$E$1),IF(AND(COUNTIF(G:G,B30)&gt;1,COUNTA(A30)&gt;0),Relay!$E$5,Relay!$E$4)))</f>
        <v>#N/A</v>
      </c>
      <c r="I30" s="8">
        <f t="shared" si="1"/>
        <v>0</v>
      </c>
      <c r="J30" s="35"/>
      <c r="K30" s="35"/>
      <c r="L30" s="35"/>
      <c r="M30" s="35"/>
      <c r="N30" s="10" t="e">
        <f>IF(H30=May!$E$2,"N",IF(AND(COUNTIF(B:B,B30)=1,D30&gt;14),"Y","N"))</f>
        <v>#N/A</v>
      </c>
      <c r="O30" s="55" t="str">
        <f>IF(COUNT(May[[#This Row],[Date]])&gt;0,IF(May[[#This Row],[Date]]&gt;14,"Yes","No"),"N/A")</f>
        <v>N/A</v>
      </c>
      <c r="P30" s="55"/>
      <c r="Q30" s="5">
        <f>Relay!A29</f>
        <v>0</v>
      </c>
      <c r="R30" s="5">
        <f>Relay!B29</f>
        <v>28</v>
      </c>
      <c r="S30" s="8">
        <f>IF(May[After the 14th?]="No",SUMIF(May[SysID],R30,May[Pay Amount]),0)+IF(April[After the 14th?]="Yes",SUMIF(April[SysID],R30,April[Pay Amount]),0)</f>
        <v>0</v>
      </c>
      <c r="T30" s="8"/>
      <c r="U30" s="5" t="str">
        <f t="shared" si="2"/>
        <v>N</v>
      </c>
      <c r="X30" s="56"/>
      <c r="Y30" s="56"/>
      <c r="Z30" s="56"/>
      <c r="AA30" s="56"/>
      <c r="AC30" s="56"/>
    </row>
    <row r="31" spans="1:29" x14ac:dyDescent="0.25">
      <c r="A31" s="35"/>
      <c r="B31" s="5" t="e">
        <f>VLOOKUP(A31,Relay!$A$1:$B$50,2,FALSE)</f>
        <v>#N/A</v>
      </c>
      <c r="C31" s="5" t="e">
        <f>VLOOKUP(A31,Relay!$A$2:$C$51,3,FALSE)</f>
        <v>#N/A</v>
      </c>
      <c r="D31" s="39"/>
      <c r="E31" s="35"/>
      <c r="F31" s="35" t="str">
        <f t="shared" si="0"/>
        <v>INS</v>
      </c>
      <c r="G31" s="5" t="e">
        <f>IF(OR(E31="Jeopardy",E31="APP Moonlighting",E31="Differential Pay"),"",May[[#This Row],[SysID]])</f>
        <v>#N/A</v>
      </c>
      <c r="H31" s="5" t="e">
        <f>IF(E31="Jeopardy",IF(C31="MD",Relay!$E$7,Relay!$E$8),IF(C31="MD",IF(COUNTIF(G:G,B31)&gt;1,Relay!$E$2,Relay!$E$1),IF(AND(COUNTIF(G:G,B31)&gt;1,COUNTA(A31)&gt;0),Relay!$E$5,Relay!$E$4)))</f>
        <v>#N/A</v>
      </c>
      <c r="I31" s="8">
        <f t="shared" si="1"/>
        <v>0</v>
      </c>
      <c r="J31" s="35"/>
      <c r="K31" s="35"/>
      <c r="L31" s="35"/>
      <c r="M31" s="35"/>
      <c r="N31" s="10" t="e">
        <f>IF(H31=May!$E$2,"N",IF(AND(COUNTIF(B:B,B31)=1,D31&gt;14),"Y","N"))</f>
        <v>#N/A</v>
      </c>
      <c r="O31" s="55" t="str">
        <f>IF(COUNT(May[[#This Row],[Date]])&gt;0,IF(May[[#This Row],[Date]]&gt;14,"Yes","No"),"N/A")</f>
        <v>N/A</v>
      </c>
      <c r="P31" s="55"/>
      <c r="Q31" s="5">
        <f>Relay!A30</f>
        <v>0</v>
      </c>
      <c r="R31" s="5">
        <f>Relay!B30</f>
        <v>29</v>
      </c>
      <c r="S31" s="8">
        <f>IF(May[After the 14th?]="No",SUMIF(May[SysID],R31,May[Pay Amount]),0)+IF(April[After the 14th?]="Yes",SUMIF(April[SysID],R31,April[Pay Amount]),0)</f>
        <v>0</v>
      </c>
      <c r="T31" s="8"/>
      <c r="U31" s="5" t="str">
        <f t="shared" si="2"/>
        <v>N</v>
      </c>
      <c r="X31" s="56"/>
      <c r="Y31" s="56"/>
      <c r="Z31" s="56"/>
      <c r="AA31" s="56"/>
      <c r="AC31" s="56"/>
    </row>
    <row r="32" spans="1:29" x14ac:dyDescent="0.25">
      <c r="A32" s="35"/>
      <c r="B32" s="5" t="e">
        <f>VLOOKUP(A32,Relay!$A$1:$B$50,2,FALSE)</f>
        <v>#N/A</v>
      </c>
      <c r="C32" s="5" t="e">
        <f>VLOOKUP(A32,Relay!$A$2:$C$51,3,FALSE)</f>
        <v>#N/A</v>
      </c>
      <c r="D32" s="39"/>
      <c r="E32" s="35"/>
      <c r="F32" s="35" t="str">
        <f t="shared" si="0"/>
        <v>INS</v>
      </c>
      <c r="G32" s="5" t="e">
        <f>IF(OR(E32="Jeopardy",E32="APP Moonlighting",E32="Differential Pay"),"",May[[#This Row],[SysID]])</f>
        <v>#N/A</v>
      </c>
      <c r="H32" s="5" t="e">
        <f>IF(E32="Jeopardy",IF(C32="MD",Relay!$E$7,Relay!$E$8),IF(C32="MD",IF(COUNTIF(G:G,B32)&gt;1,Relay!$E$2,Relay!$E$1),IF(AND(COUNTIF(G:G,B32)&gt;1,COUNTA(A32)&gt;0),Relay!$E$5,Relay!$E$4)))</f>
        <v>#N/A</v>
      </c>
      <c r="I32" s="8">
        <f t="shared" si="1"/>
        <v>0</v>
      </c>
      <c r="J32" s="35"/>
      <c r="K32" s="35"/>
      <c r="L32" s="35"/>
      <c r="M32" s="35"/>
      <c r="N32" s="10" t="e">
        <f>IF(H32=May!$E$2,"N",IF(AND(COUNTIF(B:B,B32)=1,D32&gt;14),"Y","N"))</f>
        <v>#N/A</v>
      </c>
      <c r="O32" s="55" t="str">
        <f>IF(COUNT(May[[#This Row],[Date]])&gt;0,IF(May[[#This Row],[Date]]&gt;14,"Yes","No"),"N/A")</f>
        <v>N/A</v>
      </c>
      <c r="P32" s="55"/>
      <c r="Q32" s="5">
        <f>Relay!A31</f>
        <v>0</v>
      </c>
      <c r="R32" s="5">
        <f>Relay!B31</f>
        <v>30</v>
      </c>
      <c r="S32" s="8">
        <f>IF(May[After the 14th?]="No",SUMIF(May[SysID],R32,May[Pay Amount]),0)+IF(April[After the 14th?]="Yes",SUMIF(April[SysID],R32,April[Pay Amount]),0)</f>
        <v>0</v>
      </c>
      <c r="T32" s="8"/>
      <c r="U32" s="5" t="str">
        <f t="shared" si="2"/>
        <v>N</v>
      </c>
      <c r="X32" s="56"/>
      <c r="Y32" s="56"/>
      <c r="Z32" s="56"/>
      <c r="AA32" s="56"/>
      <c r="AC32" s="56"/>
    </row>
    <row r="33" spans="1:29" x14ac:dyDescent="0.25">
      <c r="A33" s="35"/>
      <c r="B33" s="5" t="e">
        <f>VLOOKUP(A33,Relay!$A$1:$B$50,2,FALSE)</f>
        <v>#N/A</v>
      </c>
      <c r="C33" s="5" t="e">
        <f>VLOOKUP(A33,Relay!$A$2:$C$51,3,FALSE)</f>
        <v>#N/A</v>
      </c>
      <c r="D33" s="39"/>
      <c r="E33" s="35"/>
      <c r="F33" s="35" t="str">
        <f t="shared" si="0"/>
        <v>INS</v>
      </c>
      <c r="G33" s="5" t="e">
        <f>IF(OR(E33="Jeopardy",E33="APP Moonlighting",E33="Differential Pay"),"",May[[#This Row],[SysID]])</f>
        <v>#N/A</v>
      </c>
      <c r="H33" s="5" t="e">
        <f>IF(E33="Jeopardy",IF(C33="MD",Relay!$E$7,Relay!$E$8),IF(C33="MD",IF(COUNTIF(G:G,B33)&gt;1,Relay!$E$2,Relay!$E$1),IF(AND(COUNTIF(G:G,B33)&gt;1,COUNTA(A33)&gt;0),Relay!$E$5,Relay!$E$4)))</f>
        <v>#N/A</v>
      </c>
      <c r="I33" s="8">
        <f t="shared" si="1"/>
        <v>0</v>
      </c>
      <c r="J33" s="35"/>
      <c r="K33" s="35"/>
      <c r="L33" s="35"/>
      <c r="M33" s="35"/>
      <c r="N33" s="10" t="e">
        <f>IF(H33=May!$E$2,"N",IF(AND(COUNTIF(B:B,B33)=1,D33&gt;14),"Y","N"))</f>
        <v>#N/A</v>
      </c>
      <c r="O33" s="55" t="str">
        <f>IF(COUNT(May[[#This Row],[Date]])&gt;0,IF(May[[#This Row],[Date]]&gt;14,"Yes","No"),"N/A")</f>
        <v>N/A</v>
      </c>
      <c r="P33" s="55"/>
      <c r="Q33" s="5">
        <f>Relay!A32</f>
        <v>0</v>
      </c>
      <c r="R33" s="5">
        <f>Relay!B32</f>
        <v>31</v>
      </c>
      <c r="S33" s="8">
        <f>IF(May[After the 14th?]="No",SUMIF(May[SysID],R33,May[Pay Amount]),0)+IF(April[After the 14th?]="Yes",SUMIF(April[SysID],R33,April[Pay Amount]),0)</f>
        <v>0</v>
      </c>
      <c r="T33" s="8"/>
      <c r="U33" s="5" t="str">
        <f t="shared" si="2"/>
        <v>N</v>
      </c>
      <c r="X33" s="56"/>
      <c r="Y33" s="56"/>
      <c r="Z33" s="56"/>
      <c r="AA33" s="56"/>
      <c r="AC33" s="56"/>
    </row>
    <row r="34" spans="1:29" x14ac:dyDescent="0.25">
      <c r="A34" s="35"/>
      <c r="B34" s="5" t="e">
        <f>VLOOKUP(A34,Relay!$A$1:$B$50,2,FALSE)</f>
        <v>#N/A</v>
      </c>
      <c r="C34" s="5" t="e">
        <f>VLOOKUP(A34,Relay!$A$2:$C$51,3,FALSE)</f>
        <v>#N/A</v>
      </c>
      <c r="D34" s="39"/>
      <c r="E34" s="35"/>
      <c r="F34" s="35" t="str">
        <f t="shared" si="0"/>
        <v>INS</v>
      </c>
      <c r="G34" s="5" t="e">
        <f>IF(OR(E34="Jeopardy",E34="APP Moonlighting",E34="Differential Pay"),"",May[[#This Row],[SysID]])</f>
        <v>#N/A</v>
      </c>
      <c r="H34" s="5" t="e">
        <f>IF(E34="Jeopardy",IF(C34="MD",Relay!$E$7,Relay!$E$8),IF(C34="MD",IF(COUNTIF(G:G,B34)&gt;1,Relay!$E$2,Relay!$E$1),IF(AND(COUNTIF(G:G,B34)&gt;1,COUNTA(A34)&gt;0),Relay!$E$5,Relay!$E$4)))</f>
        <v>#N/A</v>
      </c>
      <c r="I34" s="8">
        <f t="shared" si="1"/>
        <v>0</v>
      </c>
      <c r="J34" s="35"/>
      <c r="K34" s="35"/>
      <c r="L34" s="35"/>
      <c r="M34" s="35"/>
      <c r="N34" s="10" t="e">
        <f>IF(H34=May!$E$2,"N",IF(AND(COUNTIF(B:B,B34)=1,D34&gt;14),"Y","N"))</f>
        <v>#N/A</v>
      </c>
      <c r="O34" s="55" t="str">
        <f>IF(COUNT(May[[#This Row],[Date]])&gt;0,IF(May[[#This Row],[Date]]&gt;14,"Yes","No"),"N/A")</f>
        <v>N/A</v>
      </c>
      <c r="P34" s="55"/>
      <c r="Q34" s="5">
        <f>Relay!A33</f>
        <v>0</v>
      </c>
      <c r="R34" s="5">
        <f>Relay!B33</f>
        <v>32</v>
      </c>
      <c r="S34" s="8">
        <f>IF(May[After the 14th?]="No",SUMIF(May[SysID],R34,May[Pay Amount]),0)+IF(April[After the 14th?]="Yes",SUMIF(April[SysID],R34,April[Pay Amount]),0)</f>
        <v>0</v>
      </c>
      <c r="T34" s="8"/>
      <c r="U34" s="5" t="str">
        <f t="shared" si="2"/>
        <v>N</v>
      </c>
      <c r="X34" s="56"/>
      <c r="Y34" s="56"/>
      <c r="Z34" s="56"/>
      <c r="AA34" s="56"/>
      <c r="AC34" s="56"/>
    </row>
    <row r="35" spans="1:29" x14ac:dyDescent="0.25">
      <c r="A35" s="35"/>
      <c r="B35" s="5" t="e">
        <f>VLOOKUP(A35,Relay!$A$1:$B$50,2,FALSE)</f>
        <v>#N/A</v>
      </c>
      <c r="C35" s="5" t="e">
        <f>VLOOKUP(A35,Relay!$A$2:$C$51,3,FALSE)</f>
        <v>#N/A</v>
      </c>
      <c r="D35" s="39"/>
      <c r="E35" s="35"/>
      <c r="F35" s="35" t="str">
        <f t="shared" si="0"/>
        <v>INS</v>
      </c>
      <c r="G35" s="5" t="e">
        <f>IF(OR(E35="Jeopardy",E35="APP Moonlighting",E35="Differential Pay"),"",May[[#This Row],[SysID]])</f>
        <v>#N/A</v>
      </c>
      <c r="H35" s="5" t="e">
        <f>IF(E35="Jeopardy",IF(C35="MD",Relay!$E$7,Relay!$E$8),IF(C35="MD",IF(COUNTIF(G:G,B35)&gt;1,Relay!$E$2,Relay!$E$1),IF(AND(COUNTIF(G:G,B35)&gt;1,COUNTA(A35)&gt;0),Relay!$E$5,Relay!$E$4)))</f>
        <v>#N/A</v>
      </c>
      <c r="I35" s="8">
        <f t="shared" si="1"/>
        <v>0</v>
      </c>
      <c r="J35" s="35"/>
      <c r="K35" s="35"/>
      <c r="L35" s="35"/>
      <c r="M35" s="35"/>
      <c r="N35" s="10" t="e">
        <f>IF(H35=May!$E$2,"N",IF(AND(COUNTIF(B:B,B35)=1,D35&gt;14),"Y","N"))</f>
        <v>#N/A</v>
      </c>
      <c r="O35" s="55" t="str">
        <f>IF(COUNT(May[[#This Row],[Date]])&gt;0,IF(May[[#This Row],[Date]]&gt;14,"Yes","No"),"N/A")</f>
        <v>N/A</v>
      </c>
      <c r="P35" s="55"/>
      <c r="Q35" s="5">
        <f>Relay!A34</f>
        <v>0</v>
      </c>
      <c r="R35" s="5">
        <f>Relay!B34</f>
        <v>33</v>
      </c>
      <c r="S35" s="8">
        <f>IF(May[After the 14th?]="No",SUMIF(May[SysID],R35,May[Pay Amount]),0)+IF(April[After the 14th?]="Yes",SUMIF(April[SysID],R35,April[Pay Amount]),0)</f>
        <v>0</v>
      </c>
      <c r="T35" s="8"/>
      <c r="U35" s="5" t="str">
        <f t="shared" si="2"/>
        <v>N</v>
      </c>
      <c r="X35" s="56"/>
      <c r="Y35" s="56"/>
      <c r="Z35" s="56"/>
      <c r="AA35" s="56"/>
      <c r="AC35" s="56"/>
    </row>
    <row r="36" spans="1:29" x14ac:dyDescent="0.25">
      <c r="A36" s="35"/>
      <c r="B36" s="5" t="e">
        <f>VLOOKUP(A36,Relay!$A$1:$B$50,2,FALSE)</f>
        <v>#N/A</v>
      </c>
      <c r="C36" s="5" t="e">
        <f>VLOOKUP(A36,Relay!$A$2:$C$51,3,FALSE)</f>
        <v>#N/A</v>
      </c>
      <c r="D36" s="39"/>
      <c r="E36" s="35"/>
      <c r="F36" s="35" t="str">
        <f t="shared" si="0"/>
        <v>INS</v>
      </c>
      <c r="G36" s="5" t="e">
        <f>IF(OR(E36="Jeopardy",E36="APP Moonlighting",E36="Differential Pay"),"",May[[#This Row],[SysID]])</f>
        <v>#N/A</v>
      </c>
      <c r="H36" s="5" t="e">
        <f>IF(E36="Jeopardy",IF(C36="MD",Relay!$E$7,Relay!$E$8),IF(C36="MD",IF(COUNTIF(G:G,B36)&gt;1,Relay!$E$2,Relay!$E$1),IF(AND(COUNTIF(G:G,B36)&gt;1,COUNTA(A36)&gt;0),Relay!$E$5,Relay!$E$4)))</f>
        <v>#N/A</v>
      </c>
      <c r="I36" s="8">
        <f t="shared" si="1"/>
        <v>0</v>
      </c>
      <c r="J36" s="35"/>
      <c r="K36" s="35"/>
      <c r="L36" s="35"/>
      <c r="M36" s="35"/>
      <c r="N36" s="10" t="e">
        <f>IF(H36=May!$E$2,"N",IF(AND(COUNTIF(B:B,B36)=1,D36&gt;14),"Y","N"))</f>
        <v>#N/A</v>
      </c>
      <c r="O36" s="55" t="str">
        <f>IF(COUNT(May[[#This Row],[Date]])&gt;0,IF(May[[#This Row],[Date]]&gt;14,"Yes","No"),"N/A")</f>
        <v>N/A</v>
      </c>
      <c r="P36" s="55"/>
      <c r="Q36" s="5">
        <f>Relay!A35</f>
        <v>0</v>
      </c>
      <c r="R36" s="5">
        <f>Relay!B35</f>
        <v>34</v>
      </c>
      <c r="S36" s="8">
        <f>IF(May[After the 14th?]="No",SUMIF(May[SysID],R36,May[Pay Amount]),0)+IF(April[After the 14th?]="Yes",SUMIF(April[SysID],R36,April[Pay Amount]),0)</f>
        <v>0</v>
      </c>
      <c r="T36" s="8"/>
      <c r="U36" s="5" t="str">
        <f t="shared" si="2"/>
        <v>N</v>
      </c>
      <c r="X36" s="56"/>
      <c r="Y36" s="56"/>
      <c r="Z36" s="56"/>
      <c r="AA36" s="56"/>
      <c r="AC36" s="56"/>
    </row>
    <row r="37" spans="1:29" x14ac:dyDescent="0.25">
      <c r="A37" s="35"/>
      <c r="B37" s="5" t="e">
        <f>VLOOKUP(A37,Relay!$A$1:$B$50,2,FALSE)</f>
        <v>#N/A</v>
      </c>
      <c r="C37" s="5" t="e">
        <f>VLOOKUP(A37,Relay!$A$2:$C$51,3,FALSE)</f>
        <v>#N/A</v>
      </c>
      <c r="D37" s="39"/>
      <c r="E37" s="35"/>
      <c r="F37" s="35" t="str">
        <f t="shared" si="0"/>
        <v>INS</v>
      </c>
      <c r="G37" s="5" t="e">
        <f>IF(OR(E37="Jeopardy",E37="APP Moonlighting",E37="Differential Pay"),"",May[[#This Row],[SysID]])</f>
        <v>#N/A</v>
      </c>
      <c r="H37" s="5" t="e">
        <f>IF(E37="Jeopardy",IF(C37="MD",Relay!$E$7,Relay!$E$8),IF(C37="MD",IF(COUNTIF(G:G,B37)&gt;1,Relay!$E$2,Relay!$E$1),IF(AND(COUNTIF(G:G,B37)&gt;1,COUNTA(A37)&gt;0),Relay!$E$5,Relay!$E$4)))</f>
        <v>#N/A</v>
      </c>
      <c r="I37" s="8">
        <f t="shared" si="1"/>
        <v>0</v>
      </c>
      <c r="J37" s="35"/>
      <c r="K37" s="35"/>
      <c r="L37" s="35"/>
      <c r="M37" s="35"/>
      <c r="N37" s="10" t="e">
        <f>IF(H37=May!$E$2,"N",IF(AND(COUNTIF(B:B,B37)=1,D37&gt;14),"Y","N"))</f>
        <v>#N/A</v>
      </c>
      <c r="O37" s="55" t="str">
        <f>IF(COUNT(May[[#This Row],[Date]])&gt;0,IF(May[[#This Row],[Date]]&gt;14,"Yes","No"),"N/A")</f>
        <v>N/A</v>
      </c>
      <c r="P37" s="55"/>
      <c r="Q37" s="5">
        <f>Relay!A36</f>
        <v>0</v>
      </c>
      <c r="R37" s="5">
        <f>Relay!B36</f>
        <v>35</v>
      </c>
      <c r="S37" s="8">
        <f>IF(May[After the 14th?]="No",SUMIF(May[SysID],R37,May[Pay Amount]),0)+IF(April[After the 14th?]="Yes",SUMIF(April[SysID],R37,April[Pay Amount]),0)</f>
        <v>0</v>
      </c>
      <c r="T37" s="8"/>
      <c r="U37" s="5" t="str">
        <f t="shared" si="2"/>
        <v>N</v>
      </c>
      <c r="X37" s="56"/>
      <c r="Y37" s="56"/>
      <c r="Z37" s="56"/>
      <c r="AA37" s="56"/>
      <c r="AC37" s="56"/>
    </row>
    <row r="38" spans="1:29" x14ac:dyDescent="0.25">
      <c r="A38" s="35"/>
      <c r="B38" s="5" t="e">
        <f>VLOOKUP(A38,Relay!$A$1:$B$50,2,FALSE)</f>
        <v>#N/A</v>
      </c>
      <c r="C38" s="5" t="e">
        <f>VLOOKUP(A38,Relay!$A$2:$C$51,3,FALSE)</f>
        <v>#N/A</v>
      </c>
      <c r="D38" s="39"/>
      <c r="E38" s="35"/>
      <c r="F38" s="35" t="str">
        <f t="shared" si="0"/>
        <v>INS</v>
      </c>
      <c r="G38" s="5" t="e">
        <f>IF(OR(E38="Jeopardy",E38="APP Moonlighting",E38="Differential Pay"),"",May[[#This Row],[SysID]])</f>
        <v>#N/A</v>
      </c>
      <c r="H38" s="5" t="e">
        <f>IF(E38="Jeopardy",IF(C38="MD",Relay!$E$7,Relay!$E$8),IF(C38="MD",IF(COUNTIF(G:G,B38)&gt;1,Relay!$E$2,Relay!$E$1),IF(AND(COUNTIF(G:G,B38)&gt;1,COUNTA(A38)&gt;0),Relay!$E$5,Relay!$E$4)))</f>
        <v>#N/A</v>
      </c>
      <c r="I38" s="8">
        <f t="shared" si="1"/>
        <v>0</v>
      </c>
      <c r="J38" s="35"/>
      <c r="K38" s="35"/>
      <c r="L38" s="35"/>
      <c r="M38" s="35"/>
      <c r="N38" s="10" t="e">
        <f>IF(H38=May!$E$2,"N",IF(AND(COUNTIF(B:B,B38)=1,D38&gt;14),"Y","N"))</f>
        <v>#N/A</v>
      </c>
      <c r="O38" s="55" t="str">
        <f>IF(COUNT(May[[#This Row],[Date]])&gt;0,IF(May[[#This Row],[Date]]&gt;14,"Yes","No"),"N/A")</f>
        <v>N/A</v>
      </c>
      <c r="P38" s="55"/>
      <c r="Q38" s="5">
        <f>Relay!A37</f>
        <v>0</v>
      </c>
      <c r="R38" s="5">
        <f>Relay!B37</f>
        <v>36</v>
      </c>
      <c r="S38" s="8">
        <f>IF(May[After the 14th?]="No",SUMIF(May[SysID],R38,May[Pay Amount]),0)+IF(April[After the 14th?]="Yes",SUMIF(April[SysID],R38,April[Pay Amount]),0)</f>
        <v>0</v>
      </c>
      <c r="T38" s="8"/>
      <c r="U38" s="5" t="str">
        <f t="shared" si="2"/>
        <v>N</v>
      </c>
      <c r="X38" s="56"/>
      <c r="Y38" s="56"/>
      <c r="Z38" s="56"/>
      <c r="AA38" s="56"/>
      <c r="AC38" s="56"/>
    </row>
    <row r="39" spans="1:29" x14ac:dyDescent="0.25">
      <c r="A39" s="35"/>
      <c r="B39" s="5" t="e">
        <f>VLOOKUP(A39,Relay!$A$1:$B$50,2,FALSE)</f>
        <v>#N/A</v>
      </c>
      <c r="C39" s="5" t="e">
        <f>VLOOKUP(A39,Relay!$A$2:$C$51,3,FALSE)</f>
        <v>#N/A</v>
      </c>
      <c r="D39" s="39"/>
      <c r="E39" s="35"/>
      <c r="F39" s="35" t="str">
        <f t="shared" si="0"/>
        <v>INS</v>
      </c>
      <c r="G39" s="5" t="e">
        <f>IF(OR(E39="Jeopardy",E39="APP Moonlighting",E39="Differential Pay"),"",May[[#This Row],[SysID]])</f>
        <v>#N/A</v>
      </c>
      <c r="H39" s="5" t="e">
        <f>IF(E39="Jeopardy",IF(C39="MD",Relay!$E$7,Relay!$E$8),IF(C39="MD",IF(COUNTIF(G:G,B39)&gt;1,Relay!$E$2,Relay!$E$1),IF(AND(COUNTIF(G:G,B39)&gt;1,COUNTA(A39)&gt;0),Relay!$E$5,Relay!$E$4)))</f>
        <v>#N/A</v>
      </c>
      <c r="I39" s="8">
        <f t="shared" si="1"/>
        <v>0</v>
      </c>
      <c r="J39" s="35"/>
      <c r="K39" s="35"/>
      <c r="L39" s="35"/>
      <c r="M39" s="35"/>
      <c r="N39" s="10" t="e">
        <f>IF(H39=May!$E$2,"N",IF(AND(COUNTIF(B:B,B39)=1,D39&gt;14),"Y","N"))</f>
        <v>#N/A</v>
      </c>
      <c r="O39" s="55" t="str">
        <f>IF(COUNT(May[[#This Row],[Date]])&gt;0,IF(May[[#This Row],[Date]]&gt;14,"Yes","No"),"N/A")</f>
        <v>N/A</v>
      </c>
      <c r="P39" s="55"/>
      <c r="Q39" s="5">
        <f>Relay!A38</f>
        <v>0</v>
      </c>
      <c r="R39" s="5">
        <f>Relay!B38</f>
        <v>37</v>
      </c>
      <c r="S39" s="8">
        <f>IF(May[After the 14th?]="No",SUMIF(May[SysID],R39,May[Pay Amount]),0)+IF(April[After the 14th?]="Yes",SUMIF(April[SysID],R39,April[Pay Amount]),0)</f>
        <v>0</v>
      </c>
      <c r="T39" s="8"/>
      <c r="U39" s="5" t="str">
        <f t="shared" si="2"/>
        <v>N</v>
      </c>
      <c r="X39" s="56"/>
      <c r="Y39" s="56"/>
      <c r="Z39" s="56"/>
      <c r="AA39" s="56"/>
      <c r="AC39" s="56"/>
    </row>
    <row r="40" spans="1:29" x14ac:dyDescent="0.25">
      <c r="A40" s="35"/>
      <c r="B40" s="5" t="e">
        <f>VLOOKUP(A40,Relay!$A$1:$B$50,2,FALSE)</f>
        <v>#N/A</v>
      </c>
      <c r="C40" s="5" t="e">
        <f>VLOOKUP(A40,Relay!$A$2:$C$51,3,FALSE)</f>
        <v>#N/A</v>
      </c>
      <c r="D40" s="39"/>
      <c r="E40" s="35"/>
      <c r="F40" s="35" t="str">
        <f t="shared" si="0"/>
        <v>INS</v>
      </c>
      <c r="G40" s="5" t="e">
        <f>IF(OR(E40="Jeopardy",E40="APP Moonlighting",E40="Differential Pay"),"",May[[#This Row],[SysID]])</f>
        <v>#N/A</v>
      </c>
      <c r="H40" s="5" t="e">
        <f>IF(E40="Jeopardy",IF(C40="MD",Relay!$E$7,Relay!$E$8),IF(C40="MD",IF(COUNTIF(G:G,B40)&gt;1,Relay!$E$2,Relay!$E$1),IF(AND(COUNTIF(G:G,B40)&gt;1,COUNTA(A40)&gt;0),Relay!$E$5,Relay!$E$4)))</f>
        <v>#N/A</v>
      </c>
      <c r="I40" s="8">
        <f t="shared" si="1"/>
        <v>0</v>
      </c>
      <c r="J40" s="35"/>
      <c r="K40" s="35"/>
      <c r="L40" s="35"/>
      <c r="M40" s="35"/>
      <c r="N40" s="10" t="e">
        <f>IF(H40=May!$E$2,"N",IF(AND(COUNTIF(B:B,B40)=1,D40&gt;14),"Y","N"))</f>
        <v>#N/A</v>
      </c>
      <c r="O40" s="55" t="str">
        <f>IF(COUNT(May[[#This Row],[Date]])&gt;0,IF(May[[#This Row],[Date]]&gt;14,"Yes","No"),"N/A")</f>
        <v>N/A</v>
      </c>
      <c r="P40" s="55"/>
      <c r="Q40" s="5">
        <f>Relay!A39</f>
        <v>0</v>
      </c>
      <c r="R40" s="5">
        <f>Relay!B39</f>
        <v>38</v>
      </c>
      <c r="S40" s="8">
        <f>IF(May[After the 14th?]="No",SUMIF(May[SysID],R40,May[Pay Amount]),0)+IF(April[After the 14th?]="Yes",SUMIF(April[SysID],R40,April[Pay Amount]),0)</f>
        <v>0</v>
      </c>
      <c r="T40" s="8"/>
      <c r="U40" s="5" t="str">
        <f t="shared" si="2"/>
        <v>N</v>
      </c>
      <c r="X40" s="56"/>
      <c r="Y40" s="56"/>
      <c r="Z40" s="56"/>
      <c r="AA40" s="56"/>
      <c r="AC40" s="56"/>
    </row>
    <row r="41" spans="1:29" x14ac:dyDescent="0.25">
      <c r="A41" s="35"/>
      <c r="B41" s="5" t="e">
        <f>VLOOKUP(A41,Relay!$A$1:$B$50,2,FALSE)</f>
        <v>#N/A</v>
      </c>
      <c r="C41" s="5" t="e">
        <f>VLOOKUP(A41,Relay!$A$2:$C$51,3,FALSE)</f>
        <v>#N/A</v>
      </c>
      <c r="D41" s="39"/>
      <c r="E41" s="35"/>
      <c r="F41" s="35" t="str">
        <f t="shared" si="0"/>
        <v>INS</v>
      </c>
      <c r="G41" s="5" t="e">
        <f>IF(OR(E41="Jeopardy",E41="APP Moonlighting",E41="Differential Pay"),"",May[[#This Row],[SysID]])</f>
        <v>#N/A</v>
      </c>
      <c r="H41" s="5" t="e">
        <f>IF(E41="Jeopardy",IF(C41="MD",Relay!$E$7,Relay!$E$8),IF(C41="MD",IF(COUNTIF(G:G,B41)&gt;1,Relay!$E$2,Relay!$E$1),IF(AND(COUNTIF(G:G,B41)&gt;1,COUNTA(A41)&gt;0),Relay!$E$5,Relay!$E$4)))</f>
        <v>#N/A</v>
      </c>
      <c r="I41" s="8">
        <f t="shared" si="1"/>
        <v>0</v>
      </c>
      <c r="J41" s="35"/>
      <c r="K41" s="35"/>
      <c r="L41" s="35"/>
      <c r="M41" s="35"/>
      <c r="N41" s="10" t="e">
        <f>IF(H41=May!$E$2,"N",IF(AND(COUNTIF(B:B,B41)=1,D41&gt;14),"Y","N"))</f>
        <v>#N/A</v>
      </c>
      <c r="O41" s="55" t="str">
        <f>IF(COUNT(May[[#This Row],[Date]])&gt;0,IF(May[[#This Row],[Date]]&gt;14,"Yes","No"),"N/A")</f>
        <v>N/A</v>
      </c>
      <c r="P41" s="55"/>
      <c r="Q41" s="5">
        <f>Relay!A40</f>
        <v>0</v>
      </c>
      <c r="R41" s="5">
        <f>Relay!B40</f>
        <v>39</v>
      </c>
      <c r="S41" s="8">
        <f>IF(May[After the 14th?]="No",SUMIF(May[SysID],R41,May[Pay Amount]),0)+IF(April[After the 14th?]="Yes",SUMIF(April[SysID],R41,April[Pay Amount]),0)</f>
        <v>0</v>
      </c>
      <c r="T41" s="8"/>
      <c r="U41" s="5" t="str">
        <f t="shared" si="2"/>
        <v>N</v>
      </c>
      <c r="X41" s="56"/>
      <c r="Y41" s="56"/>
      <c r="Z41" s="56"/>
      <c r="AA41" s="56"/>
      <c r="AC41" s="56"/>
    </row>
    <row r="42" spans="1:29" x14ac:dyDescent="0.25">
      <c r="A42" s="35"/>
      <c r="B42" s="5" t="e">
        <f>VLOOKUP(A42,Relay!$A$1:$B$50,2,FALSE)</f>
        <v>#N/A</v>
      </c>
      <c r="C42" s="5" t="e">
        <f>VLOOKUP(A42,Relay!$A$2:$C$51,3,FALSE)</f>
        <v>#N/A</v>
      </c>
      <c r="D42" s="39"/>
      <c r="E42" s="35"/>
      <c r="F42" s="35" t="str">
        <f t="shared" si="0"/>
        <v>INS</v>
      </c>
      <c r="G42" s="5" t="e">
        <f>IF(OR(E42="Jeopardy",E42="APP Moonlighting",E42="Differential Pay"),"",May[[#This Row],[SysID]])</f>
        <v>#N/A</v>
      </c>
      <c r="H42" s="5" t="e">
        <f>IF(E42="Jeopardy",IF(C42="MD",Relay!$E$7,Relay!$E$8),IF(C42="MD",IF(COUNTIF(G:G,B42)&gt;1,Relay!$E$2,Relay!$E$1),IF(AND(COUNTIF(G:G,B42)&gt;1,COUNTA(A42)&gt;0),Relay!$E$5,Relay!$E$4)))</f>
        <v>#N/A</v>
      </c>
      <c r="I42" s="8">
        <f t="shared" si="1"/>
        <v>0</v>
      </c>
      <c r="J42" s="35"/>
      <c r="K42" s="35"/>
      <c r="L42" s="35"/>
      <c r="M42" s="35"/>
      <c r="N42" s="10" t="e">
        <f>IF(H42=May!$E$2,"N",IF(AND(COUNTIF(B:B,B42)=1,D42&gt;14),"Y","N"))</f>
        <v>#N/A</v>
      </c>
      <c r="O42" s="55" t="str">
        <f>IF(COUNT(May[[#This Row],[Date]])&gt;0,IF(May[[#This Row],[Date]]&gt;14,"Yes","No"),"N/A")</f>
        <v>N/A</v>
      </c>
      <c r="P42" s="55"/>
      <c r="Q42" s="5">
        <f>Relay!A41</f>
        <v>0</v>
      </c>
      <c r="R42" s="5">
        <f>Relay!B41</f>
        <v>40</v>
      </c>
      <c r="S42" s="8">
        <f>IF(May[After the 14th?]="No",SUMIF(May[SysID],R42,May[Pay Amount]),0)+IF(April[After the 14th?]="Yes",SUMIF(April[SysID],R42,April[Pay Amount]),0)</f>
        <v>0</v>
      </c>
      <c r="T42" s="8"/>
      <c r="U42" s="5" t="str">
        <f t="shared" si="2"/>
        <v>N</v>
      </c>
      <c r="X42" s="56"/>
      <c r="Y42" s="56"/>
      <c r="Z42" s="56"/>
      <c r="AA42" s="56"/>
      <c r="AC42" s="56"/>
    </row>
    <row r="43" spans="1:29" x14ac:dyDescent="0.25">
      <c r="A43" s="35"/>
      <c r="B43" s="5" t="e">
        <f>VLOOKUP(A43,Relay!$A$1:$B$50,2,FALSE)</f>
        <v>#N/A</v>
      </c>
      <c r="C43" s="5" t="e">
        <f>VLOOKUP(A43,Relay!$A$2:$C$51,3,FALSE)</f>
        <v>#N/A</v>
      </c>
      <c r="D43" s="39"/>
      <c r="E43" s="35"/>
      <c r="F43" s="35" t="str">
        <f t="shared" si="0"/>
        <v>INS</v>
      </c>
      <c r="G43" s="5" t="e">
        <f>IF(OR(E43="Jeopardy",E43="APP Moonlighting",E43="Differential Pay"),"",May[[#This Row],[SysID]])</f>
        <v>#N/A</v>
      </c>
      <c r="H43" s="5" t="e">
        <f>IF(E43="Jeopardy",IF(C43="MD",Relay!$E$7,Relay!$E$8),IF(C43="MD",IF(COUNTIF(G:G,B43)&gt;1,Relay!$E$2,Relay!$E$1),IF(AND(COUNTIF(G:G,B43)&gt;1,COUNTA(A43)&gt;0),Relay!$E$5,Relay!$E$4)))</f>
        <v>#N/A</v>
      </c>
      <c r="I43" s="8">
        <f t="shared" si="1"/>
        <v>0</v>
      </c>
      <c r="J43" s="35"/>
      <c r="K43" s="35"/>
      <c r="L43" s="35"/>
      <c r="M43" s="35"/>
      <c r="N43" s="10" t="e">
        <f>IF(H43=May!$E$2,"N",IF(AND(COUNTIF(B:B,B43)=1,D43&gt;14),"Y","N"))</f>
        <v>#N/A</v>
      </c>
      <c r="O43" s="55" t="str">
        <f>IF(COUNT(May[[#This Row],[Date]])&gt;0,IF(May[[#This Row],[Date]]&gt;14,"Yes","No"),"N/A")</f>
        <v>N/A</v>
      </c>
      <c r="P43" s="55"/>
      <c r="Q43" s="5">
        <f>Relay!A42</f>
        <v>0</v>
      </c>
      <c r="R43" s="5">
        <f>Relay!B42</f>
        <v>41</v>
      </c>
      <c r="S43" s="8">
        <f>IF(May[After the 14th?]="No",SUMIF(May[SysID],R43,May[Pay Amount]),0)+IF(April[After the 14th?]="Yes",SUMIF(April[SysID],R43,April[Pay Amount]),0)</f>
        <v>0</v>
      </c>
      <c r="T43" s="8"/>
      <c r="U43" s="5" t="str">
        <f t="shared" si="2"/>
        <v>N</v>
      </c>
      <c r="X43" s="56"/>
      <c r="Y43" s="56"/>
      <c r="Z43" s="56"/>
      <c r="AA43" s="56"/>
      <c r="AC43" s="56"/>
    </row>
    <row r="44" spans="1:29" x14ac:dyDescent="0.25">
      <c r="A44" s="35"/>
      <c r="B44" s="5" t="e">
        <f>VLOOKUP(A44,Relay!$A$1:$B$50,2,FALSE)</f>
        <v>#N/A</v>
      </c>
      <c r="C44" s="5" t="e">
        <f>VLOOKUP(A44,Relay!$A$2:$C$51,3,FALSE)</f>
        <v>#N/A</v>
      </c>
      <c r="D44" s="39"/>
      <c r="E44" s="35"/>
      <c r="F44" s="35" t="str">
        <f t="shared" si="0"/>
        <v>INS</v>
      </c>
      <c r="G44" s="5" t="e">
        <f>IF(OR(E44="Jeopardy",E44="APP Moonlighting",E44="Differential Pay"),"",May[[#This Row],[SysID]])</f>
        <v>#N/A</v>
      </c>
      <c r="H44" s="5" t="e">
        <f>IF(E44="Jeopardy",IF(C44="MD",Relay!$E$7,Relay!$E$8),IF(C44="MD",IF(COUNTIF(G:G,B44)&gt;1,Relay!$E$2,Relay!$E$1),IF(AND(COUNTIF(G:G,B44)&gt;1,COUNTA(A44)&gt;0),Relay!$E$5,Relay!$E$4)))</f>
        <v>#N/A</v>
      </c>
      <c r="I44" s="8">
        <f t="shared" si="1"/>
        <v>0</v>
      </c>
      <c r="J44" s="35"/>
      <c r="K44" s="35"/>
      <c r="L44" s="35"/>
      <c r="M44" s="35"/>
      <c r="N44" s="10" t="e">
        <f>IF(H44=May!$E$2,"N",IF(AND(COUNTIF(B:B,B44)=1,D44&gt;14),"Y","N"))</f>
        <v>#N/A</v>
      </c>
      <c r="O44" s="55" t="str">
        <f>IF(COUNT(May[[#This Row],[Date]])&gt;0,IF(May[[#This Row],[Date]]&gt;14,"Yes","No"),"N/A")</f>
        <v>N/A</v>
      </c>
      <c r="P44" s="55"/>
      <c r="Q44" s="5">
        <f>Relay!A43</f>
        <v>0</v>
      </c>
      <c r="R44" s="5">
        <f>Relay!B43</f>
        <v>42</v>
      </c>
      <c r="S44" s="8">
        <f>IF(May[After the 14th?]="No",SUMIF(May[SysID],R44,May[Pay Amount]),0)+IF(April[After the 14th?]="Yes",SUMIF(April[SysID],R44,April[Pay Amount]),0)</f>
        <v>0</v>
      </c>
      <c r="T44" s="8"/>
      <c r="U44" s="5" t="str">
        <f t="shared" si="2"/>
        <v>N</v>
      </c>
      <c r="X44" s="56"/>
      <c r="Y44" s="56"/>
      <c r="Z44" s="56"/>
      <c r="AA44" s="56"/>
      <c r="AC44" s="56"/>
    </row>
    <row r="45" spans="1:29" x14ac:dyDescent="0.25">
      <c r="A45" s="35"/>
      <c r="B45" s="5" t="e">
        <f>VLOOKUP(A45,Relay!$A$1:$B$50,2,FALSE)</f>
        <v>#N/A</v>
      </c>
      <c r="C45" s="5" t="e">
        <f>VLOOKUP(A45,Relay!$A$2:$C$51,3,FALSE)</f>
        <v>#N/A</v>
      </c>
      <c r="D45" s="39"/>
      <c r="E45" s="35"/>
      <c r="F45" s="35" t="str">
        <f t="shared" si="0"/>
        <v>INS</v>
      </c>
      <c r="G45" s="5" t="e">
        <f>IF(OR(E45="Jeopardy",E45="APP Moonlighting",E45="Differential Pay"),"",May[[#This Row],[SysID]])</f>
        <v>#N/A</v>
      </c>
      <c r="H45" s="5" t="e">
        <f>IF(E45="Jeopardy",IF(C45="MD",Relay!$E$7,Relay!$E$8),IF(C45="MD",IF(COUNTIF(G:G,B45)&gt;1,Relay!$E$2,Relay!$E$1),IF(AND(COUNTIF(G:G,B45)&gt;1,COUNTA(A45)&gt;0),Relay!$E$5,Relay!$E$4)))</f>
        <v>#N/A</v>
      </c>
      <c r="I45" s="8">
        <f t="shared" si="1"/>
        <v>0</v>
      </c>
      <c r="J45" s="35"/>
      <c r="K45" s="35"/>
      <c r="L45" s="35"/>
      <c r="M45" s="35"/>
      <c r="N45" s="10" t="e">
        <f>IF(H45=May!$E$2,"N",IF(AND(COUNTIF(B:B,B45)=1,D45&gt;14),"Y","N"))</f>
        <v>#N/A</v>
      </c>
      <c r="O45" s="55" t="str">
        <f>IF(COUNT(May[[#This Row],[Date]])&gt;0,IF(May[[#This Row],[Date]]&gt;14,"Yes","No"),"N/A")</f>
        <v>N/A</v>
      </c>
      <c r="P45" s="55"/>
      <c r="Q45" s="5">
        <f>Relay!A44</f>
        <v>0</v>
      </c>
      <c r="R45" s="5">
        <f>Relay!B44</f>
        <v>43</v>
      </c>
      <c r="S45" s="8">
        <f>IF(May[After the 14th?]="No",SUMIF(May[SysID],R45,May[Pay Amount]),0)+IF(April[After the 14th?]="Yes",SUMIF(April[SysID],R45,April[Pay Amount]),0)</f>
        <v>0</v>
      </c>
      <c r="T45" s="8"/>
      <c r="U45" s="5" t="str">
        <f t="shared" si="2"/>
        <v>N</v>
      </c>
      <c r="X45" s="56"/>
      <c r="Y45" s="56"/>
      <c r="Z45" s="56"/>
      <c r="AA45" s="56"/>
      <c r="AC45" s="56"/>
    </row>
    <row r="46" spans="1:29" x14ac:dyDescent="0.25">
      <c r="A46" s="35"/>
      <c r="B46" s="5" t="e">
        <f>VLOOKUP(A46,Relay!$A$1:$B$50,2,FALSE)</f>
        <v>#N/A</v>
      </c>
      <c r="C46" s="5" t="e">
        <f>VLOOKUP(A46,Relay!$A$2:$C$51,3,FALSE)</f>
        <v>#N/A</v>
      </c>
      <c r="D46" s="39"/>
      <c r="E46" s="35"/>
      <c r="F46" s="35" t="str">
        <f t="shared" si="0"/>
        <v>INS</v>
      </c>
      <c r="G46" s="5" t="e">
        <f>IF(OR(E46="Jeopardy",E46="APP Moonlighting",E46="Differential Pay"),"",May[[#This Row],[SysID]])</f>
        <v>#N/A</v>
      </c>
      <c r="H46" s="5" t="e">
        <f>IF(E46="Jeopardy",IF(C46="MD",Relay!$E$7,Relay!$E$8),IF(C46="MD",IF(COUNTIF(G:G,B46)&gt;1,Relay!$E$2,Relay!$E$1),IF(AND(COUNTIF(G:G,B46)&gt;1,COUNTA(A46)&gt;0),Relay!$E$5,Relay!$E$4)))</f>
        <v>#N/A</v>
      </c>
      <c r="I46" s="8">
        <f t="shared" si="1"/>
        <v>0</v>
      </c>
      <c r="J46" s="35"/>
      <c r="K46" s="35"/>
      <c r="L46" s="35"/>
      <c r="M46" s="35"/>
      <c r="N46" s="10" t="e">
        <f>IF(H46=May!$E$2,"N",IF(AND(COUNTIF(B:B,B46)=1,D46&gt;14),"Y","N"))</f>
        <v>#N/A</v>
      </c>
      <c r="O46" s="55" t="str">
        <f>IF(COUNT(May[[#This Row],[Date]])&gt;0,IF(May[[#This Row],[Date]]&gt;14,"Yes","No"),"N/A")</f>
        <v>N/A</v>
      </c>
      <c r="P46" s="55"/>
      <c r="Q46" s="5">
        <f>Relay!A45</f>
        <v>0</v>
      </c>
      <c r="R46" s="5">
        <f>Relay!B45</f>
        <v>44</v>
      </c>
      <c r="S46" s="8">
        <f>IF(May[After the 14th?]="No",SUMIF(May[SysID],R46,May[Pay Amount]),0)+IF(April[After the 14th?]="Yes",SUMIF(April[SysID],R46,April[Pay Amount]),0)</f>
        <v>0</v>
      </c>
      <c r="T46" s="8"/>
      <c r="U46" s="5" t="str">
        <f t="shared" si="2"/>
        <v>N</v>
      </c>
      <c r="X46" s="56"/>
      <c r="Y46" s="56"/>
      <c r="Z46" s="56"/>
      <c r="AA46" s="56"/>
      <c r="AC46" s="56"/>
    </row>
    <row r="47" spans="1:29" x14ac:dyDescent="0.25">
      <c r="A47" s="35"/>
      <c r="B47" s="5" t="e">
        <f>VLOOKUP(A47,Relay!$A$1:$B$50,2,FALSE)</f>
        <v>#N/A</v>
      </c>
      <c r="C47" s="5" t="e">
        <f>VLOOKUP(A47,Relay!$A$2:$C$51,3,FALSE)</f>
        <v>#N/A</v>
      </c>
      <c r="D47" s="39"/>
      <c r="E47" s="35"/>
      <c r="F47" s="35" t="str">
        <f t="shared" si="0"/>
        <v>INS</v>
      </c>
      <c r="G47" s="5" t="e">
        <f>IF(OR(E47="Jeopardy",E47="APP Moonlighting",E47="Differential Pay"),"",May[[#This Row],[SysID]])</f>
        <v>#N/A</v>
      </c>
      <c r="H47" s="5" t="e">
        <f>IF(E47="Jeopardy",IF(C47="MD",Relay!$E$7,Relay!$E$8),IF(C47="MD",IF(COUNTIF(G:G,B47)&gt;1,Relay!$E$2,Relay!$E$1),IF(AND(COUNTIF(G:G,B47)&gt;1,COUNTA(A47)&gt;0),Relay!$E$5,Relay!$E$4)))</f>
        <v>#N/A</v>
      </c>
      <c r="I47" s="8">
        <f t="shared" si="1"/>
        <v>0</v>
      </c>
      <c r="J47" s="35"/>
      <c r="K47" s="35"/>
      <c r="L47" s="35"/>
      <c r="M47" s="35"/>
      <c r="N47" s="10" t="e">
        <f>IF(H47=May!$E$2,"N",IF(AND(COUNTIF(B:B,B47)=1,D47&gt;14),"Y","N"))</f>
        <v>#N/A</v>
      </c>
      <c r="O47" s="55" t="str">
        <f>IF(COUNT(May[[#This Row],[Date]])&gt;0,IF(May[[#This Row],[Date]]&gt;14,"Yes","No"),"N/A")</f>
        <v>N/A</v>
      </c>
      <c r="P47" s="55"/>
      <c r="Q47" s="5">
        <f>Relay!A46</f>
        <v>0</v>
      </c>
      <c r="R47" s="5">
        <f>Relay!B46</f>
        <v>45</v>
      </c>
      <c r="S47" s="8">
        <f>IF(May[After the 14th?]="No",SUMIF(May[SysID],R47,May[Pay Amount]),0)+IF(April[After the 14th?]="Yes",SUMIF(April[SysID],R47,April[Pay Amount]),0)</f>
        <v>0</v>
      </c>
      <c r="T47" s="8"/>
      <c r="U47" s="5" t="str">
        <f t="shared" si="2"/>
        <v>N</v>
      </c>
      <c r="X47" s="56"/>
      <c r="Y47" s="56"/>
      <c r="Z47" s="56"/>
      <c r="AA47" s="56"/>
      <c r="AC47" s="56"/>
    </row>
    <row r="48" spans="1:29" x14ac:dyDescent="0.25">
      <c r="A48" s="35"/>
      <c r="B48" s="5" t="e">
        <f>VLOOKUP(A48,Relay!$A$1:$B$50,2,FALSE)</f>
        <v>#N/A</v>
      </c>
      <c r="C48" s="5" t="e">
        <f>VLOOKUP(A48,Relay!$A$2:$C$51,3,FALSE)</f>
        <v>#N/A</v>
      </c>
      <c r="D48" s="39"/>
      <c r="E48" s="35"/>
      <c r="F48" s="35" t="str">
        <f t="shared" si="0"/>
        <v>INS</v>
      </c>
      <c r="G48" s="5" t="e">
        <f>IF(OR(E48="Jeopardy",E48="APP Moonlighting",E48="Differential Pay"),"",May[[#This Row],[SysID]])</f>
        <v>#N/A</v>
      </c>
      <c r="H48" s="5" t="e">
        <f>IF(E48="Jeopardy",IF(C48="MD",Relay!$E$7,Relay!$E$8),IF(C48="MD",IF(COUNTIF(G:G,B48)&gt;1,Relay!$E$2,Relay!$E$1),IF(AND(COUNTIF(G:G,B48)&gt;1,COUNTA(A48)&gt;0),Relay!$E$5,Relay!$E$4)))</f>
        <v>#N/A</v>
      </c>
      <c r="I48" s="8">
        <f t="shared" si="1"/>
        <v>0</v>
      </c>
      <c r="J48" s="35"/>
      <c r="K48" s="35"/>
      <c r="L48" s="35"/>
      <c r="M48" s="35"/>
      <c r="N48" s="10" t="e">
        <f>IF(H48=May!$E$2,"N",IF(AND(COUNTIF(B:B,B48)=1,D48&gt;14),"Y","N"))</f>
        <v>#N/A</v>
      </c>
      <c r="O48" s="55" t="str">
        <f>IF(COUNT(May[[#This Row],[Date]])&gt;0,IF(May[[#This Row],[Date]]&gt;14,"Yes","No"),"N/A")</f>
        <v>N/A</v>
      </c>
      <c r="P48" s="55"/>
      <c r="Q48" s="5">
        <f>Relay!A47</f>
        <v>0</v>
      </c>
      <c r="R48" s="5">
        <f>Relay!B47</f>
        <v>46</v>
      </c>
      <c r="S48" s="8">
        <f>IF(May[After the 14th?]="No",SUMIF(May[SysID],R48,May[Pay Amount]),0)+IF(April[After the 14th?]="Yes",SUMIF(April[SysID],R48,April[Pay Amount]),0)</f>
        <v>0</v>
      </c>
      <c r="T48" s="8"/>
      <c r="U48" s="5" t="str">
        <f t="shared" si="2"/>
        <v>N</v>
      </c>
      <c r="X48" s="56"/>
      <c r="Y48" s="56"/>
      <c r="Z48" s="56"/>
      <c r="AA48" s="56"/>
      <c r="AC48" s="56"/>
    </row>
    <row r="49" spans="1:29" x14ac:dyDescent="0.25">
      <c r="A49" s="35"/>
      <c r="B49" s="5" t="e">
        <f>VLOOKUP(A49,Relay!$A$1:$B$50,2,FALSE)</f>
        <v>#N/A</v>
      </c>
      <c r="C49" s="5" t="e">
        <f>VLOOKUP(A49,Relay!$A$2:$C$51,3,FALSE)</f>
        <v>#N/A</v>
      </c>
      <c r="D49" s="39"/>
      <c r="E49" s="35"/>
      <c r="F49" s="35" t="str">
        <f t="shared" si="0"/>
        <v>INS</v>
      </c>
      <c r="G49" s="5" t="e">
        <f>IF(OR(E49="Jeopardy",E49="APP Moonlighting",E49="Differential Pay"),"",May[[#This Row],[SysID]])</f>
        <v>#N/A</v>
      </c>
      <c r="H49" s="5" t="e">
        <f>IF(E49="Jeopardy",IF(C49="MD",Relay!$E$7,Relay!$E$8),IF(C49="MD",IF(COUNTIF(G:G,B49)&gt;1,Relay!$E$2,Relay!$E$1),IF(AND(COUNTIF(G:G,B49)&gt;1,COUNTA(A49)&gt;0),Relay!$E$5,Relay!$E$4)))</f>
        <v>#N/A</v>
      </c>
      <c r="I49" s="8">
        <f t="shared" si="1"/>
        <v>0</v>
      </c>
      <c r="J49" s="35"/>
      <c r="K49" s="35"/>
      <c r="L49" s="35"/>
      <c r="M49" s="35"/>
      <c r="N49" s="10" t="e">
        <f>IF(H49=May!$E$2,"N",IF(AND(COUNTIF(B:B,B49)=1,D49&gt;14),"Y","N"))</f>
        <v>#N/A</v>
      </c>
      <c r="O49" s="55" t="str">
        <f>IF(COUNT(May[[#This Row],[Date]])&gt;0,IF(May[[#This Row],[Date]]&gt;14,"Yes","No"),"N/A")</f>
        <v>N/A</v>
      </c>
      <c r="P49" s="55"/>
      <c r="Q49" s="5">
        <f>Relay!A48</f>
        <v>0</v>
      </c>
      <c r="R49" s="5">
        <f>Relay!B48</f>
        <v>47</v>
      </c>
      <c r="S49" s="8">
        <f>IF(May[After the 14th?]="No",SUMIF(May[SysID],R49,May[Pay Amount]),0)+IF(April[After the 14th?]="Yes",SUMIF(April[SysID],R49,April[Pay Amount]),0)</f>
        <v>0</v>
      </c>
      <c r="T49" s="8"/>
      <c r="U49" s="5" t="str">
        <f t="shared" si="2"/>
        <v>N</v>
      </c>
      <c r="X49" s="56"/>
      <c r="Y49" s="56"/>
      <c r="Z49" s="56"/>
      <c r="AA49" s="56"/>
      <c r="AC49" s="56"/>
    </row>
    <row r="50" spans="1:29" x14ac:dyDescent="0.25">
      <c r="A50" s="35"/>
      <c r="B50" s="5" t="e">
        <f>VLOOKUP(A50,Relay!$A$1:$B$50,2,FALSE)</f>
        <v>#N/A</v>
      </c>
      <c r="C50" s="5" t="e">
        <f>VLOOKUP(A50,Relay!$A$2:$C$51,3,FALSE)</f>
        <v>#N/A</v>
      </c>
      <c r="D50" s="39"/>
      <c r="E50" s="35"/>
      <c r="F50" s="35" t="str">
        <f t="shared" si="0"/>
        <v>INS</v>
      </c>
      <c r="G50" s="5" t="e">
        <f>IF(OR(E50="Jeopardy",E50="APP Moonlighting",E50="Differential Pay"),"",May[[#This Row],[SysID]])</f>
        <v>#N/A</v>
      </c>
      <c r="H50" s="5" t="e">
        <f>IF(E50="Jeopardy",IF(C50="MD",Relay!$E$7,Relay!$E$8),IF(C50="MD",IF(COUNTIF(G:G,B50)&gt;1,Relay!$E$2,Relay!$E$1),IF(AND(COUNTIF(G:G,B50)&gt;1,COUNTA(A50)&gt;0),Relay!$E$5,Relay!$E$4)))</f>
        <v>#N/A</v>
      </c>
      <c r="I50" s="8">
        <f t="shared" si="1"/>
        <v>0</v>
      </c>
      <c r="J50" s="35"/>
      <c r="K50" s="35"/>
      <c r="L50" s="35"/>
      <c r="M50" s="35"/>
      <c r="N50" s="10" t="e">
        <f>IF(H50=May!$E$2,"N",IF(AND(COUNTIF(B:B,B50)=1,D50&gt;14),"Y","N"))</f>
        <v>#N/A</v>
      </c>
      <c r="O50" s="55" t="str">
        <f>IF(COUNT(May[[#This Row],[Date]])&gt;0,IF(May[[#This Row],[Date]]&gt;14,"Yes","No"),"N/A")</f>
        <v>N/A</v>
      </c>
      <c r="P50" s="55"/>
      <c r="Q50" s="5">
        <f>Relay!A49</f>
        <v>0</v>
      </c>
      <c r="R50" s="5">
        <f>Relay!B49</f>
        <v>48</v>
      </c>
      <c r="S50" s="8">
        <f>IF(May[After the 14th?]="No",SUMIF(May[SysID],R50,May[Pay Amount]),0)+IF(April[After the 14th?]="Yes",SUMIF(April[SysID],R50,April[Pay Amount]),0)</f>
        <v>0</v>
      </c>
      <c r="T50" s="8"/>
      <c r="U50" s="5" t="str">
        <f t="shared" si="2"/>
        <v>N</v>
      </c>
      <c r="X50" s="56"/>
      <c r="Y50" s="56"/>
      <c r="Z50" s="56"/>
      <c r="AA50" s="56"/>
      <c r="AC50" s="56"/>
    </row>
    <row r="51" spans="1:29" x14ac:dyDescent="0.25">
      <c r="A51" s="35"/>
      <c r="B51" s="32" t="e">
        <f>VLOOKUP(A51,Relay!$A$1:$B$50,2,FALSE)</f>
        <v>#N/A</v>
      </c>
      <c r="C51" s="32" t="e">
        <f>VLOOKUP(A51,Relay!$A$2:$C$101,3,FALSE)</f>
        <v>#N/A</v>
      </c>
      <c r="D51" s="39"/>
      <c r="E51" s="35"/>
      <c r="F51" s="58" t="str">
        <f t="shared" si="0"/>
        <v>INS</v>
      </c>
      <c r="G51" s="32" t="e">
        <f>IF(OR(E51="Jeopardy",E51="APP Moonlighting",E51="Differential Pay"),"",May[[#This Row],[SysID]])</f>
        <v>#N/A</v>
      </c>
      <c r="H51" s="32" t="e">
        <f>IF(E51="Jeopardy",IF(C51="MD",Relay!$E$7,Relay!$E$8),IF(C51="MD",IF(COUNTIF(G:G,B51)&gt;1,Relay!$E$2,Relay!$E$1),IF(AND(COUNTIF(G:G,B51)&gt;1,COUNTA(A51)&gt;0),Relay!$E$5,Relay!$E$4)))</f>
        <v>#N/A</v>
      </c>
      <c r="I51" s="8">
        <f t="shared" si="1"/>
        <v>0</v>
      </c>
      <c r="J51" s="35"/>
      <c r="K51" s="35"/>
      <c r="L51" s="35"/>
      <c r="M51" s="35"/>
      <c r="N51" s="32" t="e">
        <f>IF(H51=May!$E$2,"N",IF(AND(COUNTIF(B:B,B51)=1,D51&gt;14),"Y","N"))</f>
        <v>#N/A</v>
      </c>
      <c r="O51" s="55" t="str">
        <f>IF(COUNT(May[[#This Row],[Date]])&gt;0,IF(May[[#This Row],[Date]]&gt;14,"Yes","No"),"N/A")</f>
        <v>N/A</v>
      </c>
      <c r="P51" s="55"/>
      <c r="Q51" s="5">
        <f>Relay!A50</f>
        <v>0</v>
      </c>
      <c r="R51" s="5">
        <f>Relay!B50</f>
        <v>49</v>
      </c>
      <c r="S51" s="8">
        <f>IF(May[After the 14th?]="No",SUMIF(May[SysID],R51,May[Pay Amount]),0)+IF(April[After the 14th?]="Yes",SUMIF(April[SysID],R51,April[Pay Amount]),0)</f>
        <v>0</v>
      </c>
      <c r="T51" s="8"/>
      <c r="U51" s="5" t="str">
        <f t="shared" si="2"/>
        <v>N</v>
      </c>
      <c r="X51" s="56"/>
      <c r="Y51" s="56"/>
      <c r="Z51" s="56"/>
      <c r="AA51" s="56"/>
      <c r="AC51" s="56"/>
    </row>
    <row r="52" spans="1:29" x14ac:dyDescent="0.25">
      <c r="A52" s="35"/>
      <c r="B52" s="32" t="e">
        <f>VLOOKUP(A52,Relay!$A$1:$B$50,2,FALSE)</f>
        <v>#N/A</v>
      </c>
      <c r="C52" s="32" t="e">
        <f>VLOOKUP(A52,Relay!$A$2:$C$101,3,FALSE)</f>
        <v>#N/A</v>
      </c>
      <c r="D52" s="39"/>
      <c r="E52" s="35"/>
      <c r="F52" s="58" t="str">
        <f t="shared" si="0"/>
        <v>INS</v>
      </c>
      <c r="G52" s="32" t="e">
        <f>IF(OR(E52="Jeopardy",E52="APP Moonlighting",E52="Differential Pay"),"",May[[#This Row],[SysID]])</f>
        <v>#N/A</v>
      </c>
      <c r="H52" s="32" t="e">
        <f>IF(E52="Jeopardy",IF(C52="MD",Relay!$E$7,Relay!$E$8),IF(C52="MD",IF(COUNTIF(G:G,B52)&gt;1,Relay!$E$2,Relay!$E$1),IF(AND(COUNTIF(G:G,B52)&gt;1,COUNTA(A52)&gt;0),Relay!$E$5,Relay!$E$4)))</f>
        <v>#N/A</v>
      </c>
      <c r="I52" s="8">
        <f t="shared" si="1"/>
        <v>0</v>
      </c>
      <c r="J52" s="35"/>
      <c r="K52" s="35"/>
      <c r="L52" s="35"/>
      <c r="M52" s="35"/>
      <c r="N52" s="32" t="e">
        <f>IF(H52=May!$E$2,"N",IF(AND(COUNTIF(B:B,B52)=1,D52&gt;14),"Y","N"))</f>
        <v>#N/A</v>
      </c>
      <c r="O52" s="55" t="str">
        <f>IF(COUNT(May[[#This Row],[Date]])&gt;0,IF(May[[#This Row],[Date]]&gt;14,"Yes","No"),"N/A")</f>
        <v>N/A</v>
      </c>
      <c r="P52" s="55"/>
      <c r="Q52" s="5">
        <f>Relay!A51</f>
        <v>0</v>
      </c>
      <c r="R52" s="5">
        <f>Relay!B51</f>
        <v>50</v>
      </c>
      <c r="S52" s="8">
        <f>IF(May[After the 14th?]="No",SUMIF(May[SysID],R52,May[Pay Amount]),0)+IF(April[After the 14th?]="Yes",SUMIF(April[SysID],R52,April[Pay Amount]),0)</f>
        <v>0</v>
      </c>
      <c r="T52" s="8"/>
      <c r="U52" s="5" t="str">
        <f t="shared" si="2"/>
        <v>N</v>
      </c>
      <c r="X52" s="56"/>
      <c r="Y52" s="56"/>
      <c r="Z52" s="56"/>
      <c r="AA52" s="56"/>
      <c r="AC52" s="56"/>
    </row>
    <row r="53" spans="1:29" x14ac:dyDescent="0.25">
      <c r="A53" s="35"/>
      <c r="B53" s="32" t="e">
        <f>VLOOKUP(A53,Relay!$A$1:$B$50,2,FALSE)</f>
        <v>#N/A</v>
      </c>
      <c r="C53" s="32" t="e">
        <f>VLOOKUP(A53,Relay!$A$2:$C$101,3,FALSE)</f>
        <v>#N/A</v>
      </c>
      <c r="D53" s="39"/>
      <c r="E53" s="35"/>
      <c r="F53" s="58" t="str">
        <f t="shared" si="0"/>
        <v>INS</v>
      </c>
      <c r="G53" s="32" t="e">
        <f>IF(OR(E53="Jeopardy",E53="APP Moonlighting",E53="Differential Pay"),"",May[[#This Row],[SysID]])</f>
        <v>#N/A</v>
      </c>
      <c r="H53" s="32" t="e">
        <f>IF(E53="Jeopardy",IF(C53="MD",Relay!$E$7,Relay!$E$8),IF(C53="MD",IF(COUNTIF(G:G,B53)&gt;1,Relay!$E$2,Relay!$E$1),IF(AND(COUNTIF(G:G,B53)&gt;1,COUNTA(A53)&gt;0),Relay!$E$5,Relay!$E$4)))</f>
        <v>#N/A</v>
      </c>
      <c r="I53" s="8">
        <f t="shared" si="1"/>
        <v>0</v>
      </c>
      <c r="J53" s="35"/>
      <c r="K53" s="35"/>
      <c r="L53" s="35"/>
      <c r="M53" s="35"/>
      <c r="N53" s="32" t="e">
        <f>IF(H53=May!$E$2,"N",IF(AND(COUNTIF(B:B,B53)=1,D53&gt;14),"Y","N"))</f>
        <v>#N/A</v>
      </c>
      <c r="O53" s="55" t="str">
        <f>IF(COUNT(May[[#This Row],[Date]])&gt;0,IF(May[[#This Row],[Date]]&gt;14,"Yes","No"),"N/A")</f>
        <v>N/A</v>
      </c>
      <c r="P53" s="55"/>
      <c r="Q53" s="5">
        <f>Relay!A52</f>
        <v>0</v>
      </c>
      <c r="R53" s="5">
        <f>Relay!B52</f>
        <v>51</v>
      </c>
      <c r="S53" s="8">
        <f>IF(May[After the 14th?]="No",SUMIF(May[SysID],R53,May[Pay Amount]),0)+IF(April[After the 14th?]="Yes",SUMIF(April[SysID],R53,April[Pay Amount]),0)</f>
        <v>0</v>
      </c>
      <c r="T53" s="8"/>
      <c r="U53" s="5" t="str">
        <f t="shared" si="2"/>
        <v>N</v>
      </c>
      <c r="X53" s="56"/>
      <c r="Y53" s="56"/>
      <c r="Z53" s="56"/>
      <c r="AA53" s="56"/>
      <c r="AC53" s="56"/>
    </row>
    <row r="54" spans="1:29" x14ac:dyDescent="0.25">
      <c r="A54" s="35"/>
      <c r="B54" s="32" t="e">
        <f>VLOOKUP(A54,Relay!$A$1:$B$50,2,FALSE)</f>
        <v>#N/A</v>
      </c>
      <c r="C54" s="32" t="e">
        <f>VLOOKUP(A54,Relay!$A$2:$C$101,3,FALSE)</f>
        <v>#N/A</v>
      </c>
      <c r="D54" s="39"/>
      <c r="E54" s="35"/>
      <c r="F54" s="58" t="str">
        <f t="shared" si="0"/>
        <v>INS</v>
      </c>
      <c r="G54" s="32" t="e">
        <f>IF(OR(E54="Jeopardy",E54="APP Moonlighting",E54="Differential Pay"),"",May[[#This Row],[SysID]])</f>
        <v>#N/A</v>
      </c>
      <c r="H54" s="32" t="e">
        <f>IF(E54="Jeopardy",IF(C54="MD",Relay!$E$7,Relay!$E$8),IF(C54="MD",IF(COUNTIF(G:G,B54)&gt;1,Relay!$E$2,Relay!$E$1),IF(AND(COUNTIF(G:G,B54)&gt;1,COUNTA(A54)&gt;0),Relay!$E$5,Relay!$E$4)))</f>
        <v>#N/A</v>
      </c>
      <c r="I54" s="8">
        <f t="shared" si="1"/>
        <v>0</v>
      </c>
      <c r="J54" s="35"/>
      <c r="K54" s="35"/>
      <c r="L54" s="35"/>
      <c r="M54" s="35"/>
      <c r="N54" s="32" t="e">
        <f>IF(H54=May!$E$2,"N",IF(AND(COUNTIF(B:B,B54)=1,D54&gt;14),"Y","N"))</f>
        <v>#N/A</v>
      </c>
      <c r="O54" s="55" t="str">
        <f>IF(COUNT(May[[#This Row],[Date]])&gt;0,IF(May[[#This Row],[Date]]&gt;14,"Yes","No"),"N/A")</f>
        <v>N/A</v>
      </c>
      <c r="P54" s="55"/>
      <c r="Q54" s="5">
        <f>Relay!A53</f>
        <v>0</v>
      </c>
      <c r="R54" s="5">
        <f>Relay!B53</f>
        <v>52</v>
      </c>
      <c r="S54" s="8">
        <f>IF(May[After the 14th?]="No",SUMIF(May[SysID],R54,May[Pay Amount]),0)+IF(April[After the 14th?]="Yes",SUMIF(April[SysID],R54,April[Pay Amount]),0)</f>
        <v>0</v>
      </c>
      <c r="T54" s="8"/>
      <c r="U54" s="5" t="str">
        <f t="shared" si="2"/>
        <v>N</v>
      </c>
      <c r="X54" s="56"/>
      <c r="Y54" s="56"/>
      <c r="Z54" s="56"/>
      <c r="AA54" s="56"/>
      <c r="AC54" s="56"/>
    </row>
    <row r="55" spans="1:29" x14ac:dyDescent="0.25">
      <c r="A55" s="35"/>
      <c r="B55" s="32" t="e">
        <f>VLOOKUP(A55,Relay!$A$1:$B$50,2,FALSE)</f>
        <v>#N/A</v>
      </c>
      <c r="C55" s="32" t="e">
        <f>VLOOKUP(A55,Relay!$A$2:$C$101,3,FALSE)</f>
        <v>#N/A</v>
      </c>
      <c r="D55" s="39"/>
      <c r="E55" s="35"/>
      <c r="F55" s="58" t="str">
        <f t="shared" si="0"/>
        <v>INS</v>
      </c>
      <c r="G55" s="32" t="e">
        <f>IF(OR(E55="Jeopardy",E55="APP Moonlighting",E55="Differential Pay"),"",May[[#This Row],[SysID]])</f>
        <v>#N/A</v>
      </c>
      <c r="H55" s="32" t="e">
        <f>IF(E55="Jeopardy",IF(C55="MD",Relay!$E$7,Relay!$E$8),IF(C55="MD",IF(COUNTIF(G:G,B55)&gt;1,Relay!$E$2,Relay!$E$1),IF(AND(COUNTIF(G:G,B55)&gt;1,COUNTA(A55)&gt;0),Relay!$E$5,Relay!$E$4)))</f>
        <v>#N/A</v>
      </c>
      <c r="I55" s="8">
        <f t="shared" si="1"/>
        <v>0</v>
      </c>
      <c r="J55" s="35"/>
      <c r="K55" s="35"/>
      <c r="L55" s="35"/>
      <c r="M55" s="35"/>
      <c r="N55" s="32" t="e">
        <f>IF(H55=May!$E$2,"N",IF(AND(COUNTIF(B:B,B55)=1,D55&gt;14),"Y","N"))</f>
        <v>#N/A</v>
      </c>
      <c r="O55" s="55" t="str">
        <f>IF(COUNT(May[[#This Row],[Date]])&gt;0,IF(May[[#This Row],[Date]]&gt;14,"Yes","No"),"N/A")</f>
        <v>N/A</v>
      </c>
      <c r="P55" s="55"/>
      <c r="Q55" s="5">
        <f>Relay!A54</f>
        <v>0</v>
      </c>
      <c r="R55" s="5">
        <f>Relay!B54</f>
        <v>53</v>
      </c>
      <c r="S55" s="8">
        <f>IF(May[After the 14th?]="No",SUMIF(May[SysID],R55,May[Pay Amount]),0)+IF(April[After the 14th?]="Yes",SUMIF(April[SysID],R55,April[Pay Amount]),0)</f>
        <v>0</v>
      </c>
      <c r="T55" s="8"/>
      <c r="U55" s="5" t="str">
        <f t="shared" si="2"/>
        <v>N</v>
      </c>
      <c r="X55" s="56"/>
      <c r="Y55" s="56"/>
      <c r="Z55" s="56"/>
      <c r="AA55" s="56"/>
      <c r="AC55" s="56"/>
    </row>
    <row r="56" spans="1:29" x14ac:dyDescent="0.25">
      <c r="A56" s="35"/>
      <c r="B56" s="32" t="e">
        <f>VLOOKUP(A56,Relay!$A$1:$B$50,2,FALSE)</f>
        <v>#N/A</v>
      </c>
      <c r="C56" s="32" t="e">
        <f>VLOOKUP(A56,Relay!$A$2:$C$101,3,FALSE)</f>
        <v>#N/A</v>
      </c>
      <c r="D56" s="39"/>
      <c r="E56" s="35"/>
      <c r="F56" s="58" t="str">
        <f t="shared" si="0"/>
        <v>INS</v>
      </c>
      <c r="G56" s="32" t="e">
        <f>IF(OR(E56="Jeopardy",E56="APP Moonlighting",E56="Differential Pay"),"",May[[#This Row],[SysID]])</f>
        <v>#N/A</v>
      </c>
      <c r="H56" s="32" t="e">
        <f>IF(E56="Jeopardy",IF(C56="MD",Relay!$E$7,Relay!$E$8),IF(C56="MD",IF(COUNTIF(G:G,B56)&gt;1,Relay!$E$2,Relay!$E$1),IF(AND(COUNTIF(G:G,B56)&gt;1,COUNTA(A56)&gt;0),Relay!$E$5,Relay!$E$4)))</f>
        <v>#N/A</v>
      </c>
      <c r="I56" s="8">
        <f t="shared" si="1"/>
        <v>0</v>
      </c>
      <c r="J56" s="35"/>
      <c r="K56" s="35"/>
      <c r="L56" s="35"/>
      <c r="M56" s="35"/>
      <c r="N56" s="32" t="e">
        <f>IF(H56=May!$E$2,"N",IF(AND(COUNTIF(B:B,B56)=1,D56&gt;14),"Y","N"))</f>
        <v>#N/A</v>
      </c>
      <c r="O56" s="55" t="str">
        <f>IF(COUNT(May[[#This Row],[Date]])&gt;0,IF(May[[#This Row],[Date]]&gt;14,"Yes","No"),"N/A")</f>
        <v>N/A</v>
      </c>
      <c r="P56" s="55"/>
      <c r="Q56" s="5">
        <f>Relay!A55</f>
        <v>0</v>
      </c>
      <c r="R56" s="5">
        <f>Relay!B55</f>
        <v>54</v>
      </c>
      <c r="S56" s="8">
        <f>IF(May[After the 14th?]="No",SUMIF(May[SysID],R56,May[Pay Amount]),0)+IF(April[After the 14th?]="Yes",SUMIF(April[SysID],R56,April[Pay Amount]),0)</f>
        <v>0</v>
      </c>
      <c r="T56" s="8"/>
      <c r="U56" s="5" t="str">
        <f t="shared" si="2"/>
        <v>N</v>
      </c>
      <c r="X56" s="56"/>
      <c r="Y56" s="56"/>
      <c r="Z56" s="56"/>
      <c r="AA56" s="56"/>
      <c r="AC56" s="56"/>
    </row>
    <row r="57" spans="1:29" x14ac:dyDescent="0.25">
      <c r="A57" s="35"/>
      <c r="B57" s="32" t="e">
        <f>VLOOKUP(A57,Relay!$A$1:$B$50,2,FALSE)</f>
        <v>#N/A</v>
      </c>
      <c r="C57" s="32" t="e">
        <f>VLOOKUP(A57,Relay!$A$2:$C$101,3,FALSE)</f>
        <v>#N/A</v>
      </c>
      <c r="D57" s="39"/>
      <c r="E57" s="35"/>
      <c r="F57" s="58" t="str">
        <f t="shared" si="0"/>
        <v>INS</v>
      </c>
      <c r="G57" s="32" t="e">
        <f>IF(OR(E57="Jeopardy",E57="APP Moonlighting",E57="Differential Pay"),"",May[[#This Row],[SysID]])</f>
        <v>#N/A</v>
      </c>
      <c r="H57" s="32" t="e">
        <f>IF(E57="Jeopardy",IF(C57="MD",Relay!$E$7,Relay!$E$8),IF(C57="MD",IF(COUNTIF(G:G,B57)&gt;1,Relay!$E$2,Relay!$E$1),IF(AND(COUNTIF(G:G,B57)&gt;1,COUNTA(A57)&gt;0),Relay!$E$5,Relay!$E$4)))</f>
        <v>#N/A</v>
      </c>
      <c r="I57" s="8">
        <f t="shared" si="1"/>
        <v>0</v>
      </c>
      <c r="J57" s="35"/>
      <c r="K57" s="35"/>
      <c r="L57" s="35"/>
      <c r="M57" s="35"/>
      <c r="N57" s="32" t="e">
        <f>IF(H57=May!$E$2,"N",IF(AND(COUNTIF(B:B,B57)=1,D57&gt;14),"Y","N"))</f>
        <v>#N/A</v>
      </c>
      <c r="O57" s="55" t="str">
        <f>IF(COUNT(May[[#This Row],[Date]])&gt;0,IF(May[[#This Row],[Date]]&gt;14,"Yes","No"),"N/A")</f>
        <v>N/A</v>
      </c>
      <c r="P57" s="55"/>
      <c r="Q57" s="5">
        <f>Relay!A56</f>
        <v>0</v>
      </c>
      <c r="R57" s="5">
        <f>Relay!B56</f>
        <v>55</v>
      </c>
      <c r="S57" s="8">
        <f>IF(May[After the 14th?]="No",SUMIF(May[SysID],R57,May[Pay Amount]),0)+IF(April[After the 14th?]="Yes",SUMIF(April[SysID],R57,April[Pay Amount]),0)</f>
        <v>0</v>
      </c>
      <c r="T57" s="8"/>
      <c r="U57" s="5" t="str">
        <f t="shared" si="2"/>
        <v>N</v>
      </c>
      <c r="X57" s="56"/>
      <c r="Y57" s="56"/>
      <c r="Z57" s="56"/>
      <c r="AA57" s="56"/>
      <c r="AC57" s="56"/>
    </row>
    <row r="58" spans="1:29" x14ac:dyDescent="0.25">
      <c r="A58" s="35"/>
      <c r="B58" s="32" t="e">
        <f>VLOOKUP(A58,Relay!$A$1:$B$50,2,FALSE)</f>
        <v>#N/A</v>
      </c>
      <c r="C58" s="32" t="e">
        <f>VLOOKUP(A58,Relay!$A$2:$C$101,3,FALSE)</f>
        <v>#N/A</v>
      </c>
      <c r="D58" s="39"/>
      <c r="E58" s="35"/>
      <c r="F58" s="58" t="str">
        <f t="shared" si="0"/>
        <v>INS</v>
      </c>
      <c r="G58" s="32" t="e">
        <f>IF(OR(E58="Jeopardy",E58="APP Moonlighting",E58="Differential Pay"),"",May[[#This Row],[SysID]])</f>
        <v>#N/A</v>
      </c>
      <c r="H58" s="32" t="e">
        <f>IF(E58="Jeopardy",IF(C58="MD",Relay!$E$7,Relay!$E$8),IF(C58="MD",IF(COUNTIF(G:G,B58)&gt;1,Relay!$E$2,Relay!$E$1),IF(AND(COUNTIF(G:G,B58)&gt;1,COUNTA(A58)&gt;0),Relay!$E$5,Relay!$E$4)))</f>
        <v>#N/A</v>
      </c>
      <c r="I58" s="8">
        <f t="shared" si="1"/>
        <v>0</v>
      </c>
      <c r="J58" s="35"/>
      <c r="K58" s="35"/>
      <c r="L58" s="35"/>
      <c r="M58" s="35"/>
      <c r="N58" s="32" t="e">
        <f>IF(H58=May!$E$2,"N",IF(AND(COUNTIF(B:B,B58)=1,D58&gt;14),"Y","N"))</f>
        <v>#N/A</v>
      </c>
      <c r="O58" s="55" t="str">
        <f>IF(COUNT(May[[#This Row],[Date]])&gt;0,IF(May[[#This Row],[Date]]&gt;14,"Yes","No"),"N/A")</f>
        <v>N/A</v>
      </c>
      <c r="P58" s="55"/>
      <c r="Q58" s="5">
        <f>Relay!A57</f>
        <v>0</v>
      </c>
      <c r="R58" s="5">
        <f>Relay!B57</f>
        <v>56</v>
      </c>
      <c r="S58" s="8">
        <f>IF(May[After the 14th?]="No",SUMIF(May[SysID],R58,May[Pay Amount]),0)+IF(April[After the 14th?]="Yes",SUMIF(April[SysID],R58,April[Pay Amount]),0)</f>
        <v>0</v>
      </c>
      <c r="T58" s="8"/>
      <c r="U58" s="5" t="str">
        <f t="shared" si="2"/>
        <v>N</v>
      </c>
      <c r="X58" s="56"/>
      <c r="Y58" s="56"/>
      <c r="Z58" s="56"/>
      <c r="AA58" s="56"/>
      <c r="AC58" s="56"/>
    </row>
    <row r="59" spans="1:29" x14ac:dyDescent="0.25">
      <c r="A59" s="35"/>
      <c r="B59" s="32" t="e">
        <f>VLOOKUP(A59,Relay!$A$1:$B$50,2,FALSE)</f>
        <v>#N/A</v>
      </c>
      <c r="C59" s="32" t="e">
        <f>VLOOKUP(A59,Relay!$A$2:$C$101,3,FALSE)</f>
        <v>#N/A</v>
      </c>
      <c r="D59" s="39"/>
      <c r="E59" s="35"/>
      <c r="F59" s="58" t="str">
        <f t="shared" si="0"/>
        <v>INS</v>
      </c>
      <c r="G59" s="32" t="e">
        <f>IF(OR(E59="Jeopardy",E59="APP Moonlighting",E59="Differential Pay"),"",May[[#This Row],[SysID]])</f>
        <v>#N/A</v>
      </c>
      <c r="H59" s="32" t="e">
        <f>IF(E59="Jeopardy",IF(C59="MD",Relay!$E$7,Relay!$E$8),IF(C59="MD",IF(COUNTIF(G:G,B59)&gt;1,Relay!$E$2,Relay!$E$1),IF(AND(COUNTIF(G:G,B59)&gt;1,COUNTA(A59)&gt;0),Relay!$E$5,Relay!$E$4)))</f>
        <v>#N/A</v>
      </c>
      <c r="I59" s="8">
        <f t="shared" si="1"/>
        <v>0</v>
      </c>
      <c r="J59" s="35"/>
      <c r="K59" s="35"/>
      <c r="L59" s="35"/>
      <c r="M59" s="35"/>
      <c r="N59" s="32" t="e">
        <f>IF(H59=May!$E$2,"N",IF(AND(COUNTIF(B:B,B59)=1,D59&gt;14),"Y","N"))</f>
        <v>#N/A</v>
      </c>
      <c r="O59" s="55" t="str">
        <f>IF(COUNT(May[[#This Row],[Date]])&gt;0,IF(May[[#This Row],[Date]]&gt;14,"Yes","No"),"N/A")</f>
        <v>N/A</v>
      </c>
      <c r="P59" s="55"/>
      <c r="Q59" s="5">
        <f>Relay!A58</f>
        <v>0</v>
      </c>
      <c r="R59" s="5">
        <f>Relay!B58</f>
        <v>57</v>
      </c>
      <c r="S59" s="8">
        <f>IF(May[After the 14th?]="No",SUMIF(May[SysID],R59,May[Pay Amount]),0)+IF(April[After the 14th?]="Yes",SUMIF(April[SysID],R59,April[Pay Amount]),0)</f>
        <v>0</v>
      </c>
      <c r="T59" s="8"/>
      <c r="U59" s="5" t="str">
        <f t="shared" si="2"/>
        <v>N</v>
      </c>
      <c r="X59" s="56"/>
      <c r="Y59" s="56"/>
      <c r="Z59" s="56"/>
      <c r="AA59" s="56"/>
      <c r="AC59" s="56"/>
    </row>
    <row r="60" spans="1:29" x14ac:dyDescent="0.25">
      <c r="A60" s="35"/>
      <c r="B60" s="32" t="e">
        <f>VLOOKUP(A60,Relay!$A$1:$B$50,2,FALSE)</f>
        <v>#N/A</v>
      </c>
      <c r="C60" s="32" t="e">
        <f>VLOOKUP(A60,Relay!$A$2:$C$101,3,FALSE)</f>
        <v>#N/A</v>
      </c>
      <c r="D60" s="39"/>
      <c r="E60" s="35"/>
      <c r="F60" s="58" t="str">
        <f t="shared" si="0"/>
        <v>INS</v>
      </c>
      <c r="G60" s="32" t="e">
        <f>IF(OR(E60="Jeopardy",E60="APP Moonlighting",E60="Differential Pay"),"",May[[#This Row],[SysID]])</f>
        <v>#N/A</v>
      </c>
      <c r="H60" s="32" t="e">
        <f>IF(E60="Jeopardy",IF(C60="MD",Relay!$E$7,Relay!$E$8),IF(C60="MD",IF(COUNTIF(G:G,B60)&gt;1,Relay!$E$2,Relay!$E$1),IF(AND(COUNTIF(G:G,B60)&gt;1,COUNTA(A60)&gt;0),Relay!$E$5,Relay!$E$4)))</f>
        <v>#N/A</v>
      </c>
      <c r="I60" s="8">
        <f t="shared" si="1"/>
        <v>0</v>
      </c>
      <c r="J60" s="35"/>
      <c r="K60" s="35"/>
      <c r="L60" s="35"/>
      <c r="M60" s="35"/>
      <c r="N60" s="32" t="e">
        <f>IF(H60=May!$E$2,"N",IF(AND(COUNTIF(B:B,B60)=1,D60&gt;14),"Y","N"))</f>
        <v>#N/A</v>
      </c>
      <c r="O60" s="55" t="str">
        <f>IF(COUNT(May[[#This Row],[Date]])&gt;0,IF(May[[#This Row],[Date]]&gt;14,"Yes","No"),"N/A")</f>
        <v>N/A</v>
      </c>
      <c r="P60" s="55"/>
      <c r="Q60" s="5">
        <f>Relay!A59</f>
        <v>0</v>
      </c>
      <c r="R60" s="5">
        <f>Relay!B59</f>
        <v>58</v>
      </c>
      <c r="S60" s="8">
        <f>IF(May[After the 14th?]="No",SUMIF(May[SysID],R60,May[Pay Amount]),0)+IF(April[After the 14th?]="Yes",SUMIF(April[SysID],R60,April[Pay Amount]),0)</f>
        <v>0</v>
      </c>
      <c r="T60" s="8"/>
      <c r="U60" s="5" t="str">
        <f t="shared" si="2"/>
        <v>N</v>
      </c>
      <c r="X60" s="56"/>
      <c r="Y60" s="56"/>
      <c r="Z60" s="56"/>
      <c r="AA60" s="56"/>
      <c r="AC60" s="56"/>
    </row>
    <row r="61" spans="1:29" x14ac:dyDescent="0.25">
      <c r="A61" s="35"/>
      <c r="B61" s="32" t="e">
        <f>VLOOKUP(A61,Relay!$A$1:$B$50,2,FALSE)</f>
        <v>#N/A</v>
      </c>
      <c r="C61" s="32" t="e">
        <f>VLOOKUP(A61,Relay!$A$2:$C$101,3,FALSE)</f>
        <v>#N/A</v>
      </c>
      <c r="D61" s="39"/>
      <c r="E61" s="35"/>
      <c r="F61" s="58" t="str">
        <f t="shared" si="0"/>
        <v>INS</v>
      </c>
      <c r="G61" s="32" t="e">
        <f>IF(OR(E61="Jeopardy",E61="APP Moonlighting",E61="Differential Pay"),"",May[[#This Row],[SysID]])</f>
        <v>#N/A</v>
      </c>
      <c r="H61" s="32" t="e">
        <f>IF(E61="Jeopardy",IF(C61="MD",Relay!$E$7,Relay!$E$8),IF(C61="MD",IF(COUNTIF(G:G,B61)&gt;1,Relay!$E$2,Relay!$E$1),IF(AND(COUNTIF(G:G,B61)&gt;1,COUNTA(A61)&gt;0),Relay!$E$5,Relay!$E$4)))</f>
        <v>#N/A</v>
      </c>
      <c r="I61" s="8">
        <f t="shared" si="1"/>
        <v>0</v>
      </c>
      <c r="J61" s="35"/>
      <c r="K61" s="35"/>
      <c r="L61" s="35"/>
      <c r="M61" s="35"/>
      <c r="N61" s="32" t="e">
        <f>IF(H61=May!$E$2,"N",IF(AND(COUNTIF(B:B,B61)=1,D61&gt;14),"Y","N"))</f>
        <v>#N/A</v>
      </c>
      <c r="O61" s="55" t="str">
        <f>IF(COUNT(May[[#This Row],[Date]])&gt;0,IF(May[[#This Row],[Date]]&gt;14,"Yes","No"),"N/A")</f>
        <v>N/A</v>
      </c>
      <c r="P61" s="55"/>
      <c r="Q61" s="5">
        <f>Relay!A60</f>
        <v>0</v>
      </c>
      <c r="R61" s="5">
        <f>Relay!B60</f>
        <v>59</v>
      </c>
      <c r="S61" s="8">
        <f>IF(May[After the 14th?]="No",SUMIF(May[SysID],R61,May[Pay Amount]),0)+IF(April[After the 14th?]="Yes",SUMIF(April[SysID],R61,April[Pay Amount]),0)</f>
        <v>0</v>
      </c>
      <c r="T61" s="8"/>
      <c r="U61" s="5" t="str">
        <f t="shared" si="2"/>
        <v>N</v>
      </c>
      <c r="X61" s="56"/>
      <c r="Y61" s="56"/>
      <c r="Z61" s="56"/>
      <c r="AA61" s="56"/>
      <c r="AC61" s="56"/>
    </row>
    <row r="62" spans="1:29" x14ac:dyDescent="0.25">
      <c r="A62" s="35"/>
      <c r="B62" s="32" t="e">
        <f>VLOOKUP(A62,Relay!$A$1:$B$50,2,FALSE)</f>
        <v>#N/A</v>
      </c>
      <c r="C62" s="32" t="e">
        <f>VLOOKUP(A62,Relay!$A$2:$C$101,3,FALSE)</f>
        <v>#N/A</v>
      </c>
      <c r="D62" s="39"/>
      <c r="E62" s="35"/>
      <c r="F62" s="58" t="str">
        <f t="shared" si="0"/>
        <v>INS</v>
      </c>
      <c r="G62" s="32" t="e">
        <f>IF(OR(E62="Jeopardy",E62="APP Moonlighting",E62="Differential Pay"),"",May[[#This Row],[SysID]])</f>
        <v>#N/A</v>
      </c>
      <c r="H62" s="32" t="e">
        <f>IF(E62="Jeopardy",IF(C62="MD",Relay!$E$7,Relay!$E$8),IF(C62="MD",IF(COUNTIF(G:G,B62)&gt;1,Relay!$E$2,Relay!$E$1),IF(AND(COUNTIF(G:G,B62)&gt;1,COUNTA(A62)&gt;0),Relay!$E$5,Relay!$E$4)))</f>
        <v>#N/A</v>
      </c>
      <c r="I62" s="8">
        <f t="shared" si="1"/>
        <v>0</v>
      </c>
      <c r="J62" s="35"/>
      <c r="K62" s="35"/>
      <c r="L62" s="35"/>
      <c r="M62" s="35"/>
      <c r="N62" s="32" t="e">
        <f>IF(H62=May!$E$2,"N",IF(AND(COUNTIF(B:B,B62)=1,D62&gt;14),"Y","N"))</f>
        <v>#N/A</v>
      </c>
      <c r="O62" s="55" t="str">
        <f>IF(COUNT(May[[#This Row],[Date]])&gt;0,IF(May[[#This Row],[Date]]&gt;14,"Yes","No"),"N/A")</f>
        <v>N/A</v>
      </c>
      <c r="P62" s="55"/>
      <c r="Q62" s="5">
        <f>Relay!A61</f>
        <v>0</v>
      </c>
      <c r="R62" s="5">
        <f>Relay!B61</f>
        <v>60</v>
      </c>
      <c r="S62" s="8">
        <f>IF(May[After the 14th?]="No",SUMIF(May[SysID],R62,May[Pay Amount]),0)+IF(April[After the 14th?]="Yes",SUMIF(April[SysID],R62,April[Pay Amount]),0)</f>
        <v>0</v>
      </c>
      <c r="T62" s="8"/>
      <c r="U62" s="5" t="str">
        <f t="shared" si="2"/>
        <v>N</v>
      </c>
      <c r="X62" s="56"/>
      <c r="Y62" s="56"/>
      <c r="Z62" s="56"/>
      <c r="AA62" s="56"/>
      <c r="AC62" s="56"/>
    </row>
    <row r="63" spans="1:29" x14ac:dyDescent="0.25">
      <c r="A63" s="35"/>
      <c r="B63" s="32" t="e">
        <f>VLOOKUP(A63,Relay!$A$1:$B$50,2,FALSE)</f>
        <v>#N/A</v>
      </c>
      <c r="C63" s="32" t="e">
        <f>VLOOKUP(A63,Relay!$A$2:$C$101,3,FALSE)</f>
        <v>#N/A</v>
      </c>
      <c r="D63" s="39"/>
      <c r="E63" s="35"/>
      <c r="F63" s="58" t="str">
        <f t="shared" si="0"/>
        <v>INS</v>
      </c>
      <c r="G63" s="32" t="e">
        <f>IF(OR(E63="Jeopardy",E63="APP Moonlighting",E63="Differential Pay"),"",May[[#This Row],[SysID]])</f>
        <v>#N/A</v>
      </c>
      <c r="H63" s="32" t="e">
        <f>IF(E63="Jeopardy",IF(C63="MD",Relay!$E$7,Relay!$E$8),IF(C63="MD",IF(COUNTIF(G:G,B63)&gt;1,Relay!$E$2,Relay!$E$1),IF(AND(COUNTIF(G:G,B63)&gt;1,COUNTA(A63)&gt;0),Relay!$E$5,Relay!$E$4)))</f>
        <v>#N/A</v>
      </c>
      <c r="I63" s="8">
        <f t="shared" si="1"/>
        <v>0</v>
      </c>
      <c r="J63" s="35"/>
      <c r="K63" s="35"/>
      <c r="L63" s="35"/>
      <c r="M63" s="35"/>
      <c r="N63" s="32" t="e">
        <f>IF(H63=May!$E$2,"N",IF(AND(COUNTIF(B:B,B63)=1,D63&gt;14),"Y","N"))</f>
        <v>#N/A</v>
      </c>
      <c r="O63" s="55" t="str">
        <f>IF(COUNT(May[[#This Row],[Date]])&gt;0,IF(May[[#This Row],[Date]]&gt;14,"Yes","No"),"N/A")</f>
        <v>N/A</v>
      </c>
      <c r="P63" s="55"/>
      <c r="Q63" s="5">
        <f>Relay!A62</f>
        <v>0</v>
      </c>
      <c r="R63" s="5">
        <f>Relay!B62</f>
        <v>61</v>
      </c>
      <c r="S63" s="8">
        <f>IF(May[After the 14th?]="No",SUMIF(May[SysID],R63,May[Pay Amount]),0)+IF(April[After the 14th?]="Yes",SUMIF(April[SysID],R63,April[Pay Amount]),0)</f>
        <v>0</v>
      </c>
      <c r="T63" s="8"/>
      <c r="U63" s="5" t="str">
        <f t="shared" si="2"/>
        <v>N</v>
      </c>
      <c r="X63" s="56"/>
      <c r="Y63" s="56"/>
      <c r="Z63" s="56"/>
      <c r="AA63" s="56"/>
      <c r="AC63" s="56"/>
    </row>
    <row r="64" spans="1:29" x14ac:dyDescent="0.25">
      <c r="A64" s="35"/>
      <c r="B64" s="32" t="e">
        <f>VLOOKUP(A64,Relay!$A$1:$B$50,2,FALSE)</f>
        <v>#N/A</v>
      </c>
      <c r="C64" s="32" t="e">
        <f>VLOOKUP(A64,Relay!$A$2:$C$101,3,FALSE)</f>
        <v>#N/A</v>
      </c>
      <c r="D64" s="39"/>
      <c r="E64" s="35"/>
      <c r="F64" s="58" t="str">
        <f t="shared" si="0"/>
        <v>INS</v>
      </c>
      <c r="G64" s="32" t="e">
        <f>IF(OR(E64="Jeopardy",E64="APP Moonlighting",E64="Differential Pay"),"",May[[#This Row],[SysID]])</f>
        <v>#N/A</v>
      </c>
      <c r="H64" s="32" t="e">
        <f>IF(E64="Jeopardy",IF(C64="MD",Relay!$E$7,Relay!$E$8),IF(C64="MD",IF(COUNTIF(G:G,B64)&gt;1,Relay!$E$2,Relay!$E$1),IF(AND(COUNTIF(G:G,B64)&gt;1,COUNTA(A64)&gt;0),Relay!$E$5,Relay!$E$4)))</f>
        <v>#N/A</v>
      </c>
      <c r="I64" s="8">
        <f t="shared" si="1"/>
        <v>0</v>
      </c>
      <c r="J64" s="35"/>
      <c r="K64" s="35"/>
      <c r="L64" s="35"/>
      <c r="M64" s="35"/>
      <c r="N64" s="32" t="e">
        <f>IF(H64=May!$E$2,"N",IF(AND(COUNTIF(B:B,B64)=1,D64&gt;14),"Y","N"))</f>
        <v>#N/A</v>
      </c>
      <c r="O64" s="55" t="str">
        <f>IF(COUNT(May[[#This Row],[Date]])&gt;0,IF(May[[#This Row],[Date]]&gt;14,"Yes","No"),"N/A")</f>
        <v>N/A</v>
      </c>
      <c r="P64" s="55"/>
      <c r="Q64" s="5">
        <f>Relay!A63</f>
        <v>0</v>
      </c>
      <c r="R64" s="5">
        <f>Relay!B63</f>
        <v>62</v>
      </c>
      <c r="S64" s="8">
        <f>IF(May[After the 14th?]="No",SUMIF(May[SysID],R64,May[Pay Amount]),0)+IF(April[After the 14th?]="Yes",SUMIF(April[SysID],R64,April[Pay Amount]),0)</f>
        <v>0</v>
      </c>
      <c r="T64" s="8"/>
      <c r="U64" s="5" t="str">
        <f t="shared" si="2"/>
        <v>N</v>
      </c>
      <c r="X64" s="56"/>
      <c r="Y64" s="56"/>
      <c r="Z64" s="56"/>
      <c r="AA64" s="56"/>
      <c r="AC64" s="56"/>
    </row>
    <row r="65" spans="1:29" x14ac:dyDescent="0.25">
      <c r="A65" s="35"/>
      <c r="B65" s="32" t="e">
        <f>VLOOKUP(A65,Relay!$A$1:$B$50,2,FALSE)</f>
        <v>#N/A</v>
      </c>
      <c r="C65" s="32" t="e">
        <f>VLOOKUP(A65,Relay!$A$2:$C$101,3,FALSE)</f>
        <v>#N/A</v>
      </c>
      <c r="D65" s="39"/>
      <c r="E65" s="35"/>
      <c r="F65" s="58" t="str">
        <f t="shared" si="0"/>
        <v>INS</v>
      </c>
      <c r="G65" s="32" t="e">
        <f>IF(OR(E65="Jeopardy",E65="APP Moonlighting",E65="Differential Pay"),"",May[[#This Row],[SysID]])</f>
        <v>#N/A</v>
      </c>
      <c r="H65" s="32" t="e">
        <f>IF(E65="Jeopardy",IF(C65="MD",Relay!$E$7,Relay!$E$8),IF(C65="MD",IF(COUNTIF(G:G,B65)&gt;1,Relay!$E$2,Relay!$E$1),IF(AND(COUNTIF(G:G,B65)&gt;1,COUNTA(A65)&gt;0),Relay!$E$5,Relay!$E$4)))</f>
        <v>#N/A</v>
      </c>
      <c r="I65" s="8">
        <f t="shared" si="1"/>
        <v>0</v>
      </c>
      <c r="J65" s="35"/>
      <c r="K65" s="35"/>
      <c r="L65" s="35"/>
      <c r="M65" s="35"/>
      <c r="N65" s="32" t="e">
        <f>IF(H65=May!$E$2,"N",IF(AND(COUNTIF(B:B,B65)=1,D65&gt;14),"Y","N"))</f>
        <v>#N/A</v>
      </c>
      <c r="O65" s="55" t="str">
        <f>IF(COUNT(May[[#This Row],[Date]])&gt;0,IF(May[[#This Row],[Date]]&gt;14,"Yes","No"),"N/A")</f>
        <v>N/A</v>
      </c>
      <c r="P65" s="55"/>
      <c r="Q65" s="5">
        <f>Relay!A64</f>
        <v>0</v>
      </c>
      <c r="R65" s="5">
        <f>Relay!B64</f>
        <v>63</v>
      </c>
      <c r="S65" s="8">
        <f>IF(May[After the 14th?]="No",SUMIF(May[SysID],R65,May[Pay Amount]),0)+IF(April[After the 14th?]="Yes",SUMIF(April[SysID],R65,April[Pay Amount]),0)</f>
        <v>0</v>
      </c>
      <c r="T65" s="8"/>
      <c r="U65" s="5" t="str">
        <f t="shared" si="2"/>
        <v>N</v>
      </c>
      <c r="X65" s="56"/>
      <c r="Y65" s="56"/>
      <c r="Z65" s="56"/>
      <c r="AA65" s="56"/>
      <c r="AC65" s="56"/>
    </row>
    <row r="66" spans="1:29" x14ac:dyDescent="0.25">
      <c r="A66" s="35"/>
      <c r="B66" s="32" t="e">
        <f>VLOOKUP(A66,Relay!$A$1:$B$50,2,FALSE)</f>
        <v>#N/A</v>
      </c>
      <c r="C66" s="32" t="e">
        <f>VLOOKUP(A66,Relay!$A$2:$C$101,3,FALSE)</f>
        <v>#N/A</v>
      </c>
      <c r="D66" s="39"/>
      <c r="E66" s="35"/>
      <c r="F66" s="58" t="str">
        <f t="shared" si="0"/>
        <v>INS</v>
      </c>
      <c r="G66" s="32" t="e">
        <f>IF(OR(E66="Jeopardy",E66="APP Moonlighting",E66="Differential Pay"),"",May[[#This Row],[SysID]])</f>
        <v>#N/A</v>
      </c>
      <c r="H66" s="32" t="e">
        <f>IF(E66="Jeopardy",IF(C66="MD",Relay!$E$7,Relay!$E$8),IF(C66="MD",IF(COUNTIF(G:G,B66)&gt;1,Relay!$E$2,Relay!$E$1),IF(AND(COUNTIF(G:G,B66)&gt;1,COUNTA(A66)&gt;0),Relay!$E$5,Relay!$E$4)))</f>
        <v>#N/A</v>
      </c>
      <c r="I66" s="8">
        <f t="shared" si="1"/>
        <v>0</v>
      </c>
      <c r="J66" s="35"/>
      <c r="K66" s="35"/>
      <c r="L66" s="35"/>
      <c r="M66" s="35"/>
      <c r="N66" s="32" t="e">
        <f>IF(H66=May!$E$2,"N",IF(AND(COUNTIF(B:B,B66)=1,D66&gt;14),"Y","N"))</f>
        <v>#N/A</v>
      </c>
      <c r="O66" s="55" t="str">
        <f>IF(COUNT(May[[#This Row],[Date]])&gt;0,IF(May[[#This Row],[Date]]&gt;14,"Yes","No"),"N/A")</f>
        <v>N/A</v>
      </c>
      <c r="P66" s="55"/>
      <c r="Q66" s="5">
        <f>Relay!A65</f>
        <v>0</v>
      </c>
      <c r="R66" s="5">
        <f>Relay!B65</f>
        <v>64</v>
      </c>
      <c r="S66" s="8">
        <f>IF(May[After the 14th?]="No",SUMIF(May[SysID],R66,May[Pay Amount]),0)+IF(April[After the 14th?]="Yes",SUMIF(April[SysID],R66,April[Pay Amount]),0)</f>
        <v>0</v>
      </c>
      <c r="T66" s="8"/>
      <c r="U66" s="5" t="str">
        <f t="shared" si="2"/>
        <v>N</v>
      </c>
      <c r="X66" s="56"/>
      <c r="Y66" s="56"/>
      <c r="Z66" s="56"/>
      <c r="AA66" s="56"/>
      <c r="AC66" s="56"/>
    </row>
    <row r="67" spans="1:29" x14ac:dyDescent="0.25">
      <c r="A67" s="35"/>
      <c r="B67" s="32" t="e">
        <f>VLOOKUP(A67,Relay!$A$1:$B$50,2,FALSE)</f>
        <v>#N/A</v>
      </c>
      <c r="C67" s="32" t="e">
        <f>VLOOKUP(A67,Relay!$A$2:$C$101,3,FALSE)</f>
        <v>#N/A</v>
      </c>
      <c r="D67" s="39"/>
      <c r="E67" s="35"/>
      <c r="F67" s="58" t="str">
        <f t="shared" ref="F67:F103" si="3">IF(E67="Moonlighting", 12, "INS")</f>
        <v>INS</v>
      </c>
      <c r="G67" s="32" t="e">
        <f>IF(OR(E67="Jeopardy",E67="APP Moonlighting",E67="Differential Pay"),"",May[[#This Row],[SysID]])</f>
        <v>#N/A</v>
      </c>
      <c r="H67" s="32" t="e">
        <f>IF(E67="Jeopardy",IF(C67="MD",Relay!$E$7,Relay!$E$8),IF(C67="MD",IF(COUNTIF(G:G,B67)&gt;1,Relay!$E$2,Relay!$E$1),IF(AND(COUNTIF(G:G,B67)&gt;1,COUNTA(A67)&gt;0),Relay!$E$5,Relay!$E$4)))</f>
        <v>#N/A</v>
      </c>
      <c r="I67" s="8">
        <f t="shared" ref="I67:I103" si="4">IF(COUNTA(A67)&gt;0,H67*F67,0)</f>
        <v>0</v>
      </c>
      <c r="J67" s="35"/>
      <c r="K67" s="35"/>
      <c r="L67" s="35"/>
      <c r="M67" s="35"/>
      <c r="N67" s="32" t="e">
        <f>IF(H67=May!$E$2,"N",IF(AND(COUNTIF(B:B,B67)=1,D67&gt;14),"Y","N"))</f>
        <v>#N/A</v>
      </c>
      <c r="O67" s="55" t="str">
        <f>IF(COUNT(May[[#This Row],[Date]])&gt;0,IF(May[[#This Row],[Date]]&gt;14,"Yes","No"),"N/A")</f>
        <v>N/A</v>
      </c>
      <c r="P67" s="55"/>
      <c r="Q67" s="5">
        <f>Relay!A66</f>
        <v>0</v>
      </c>
      <c r="R67" s="5">
        <f>Relay!B66</f>
        <v>65</v>
      </c>
      <c r="S67" s="8">
        <f>IF(May[After the 14th?]="No",SUMIF(May[SysID],R67,May[Pay Amount]),0)+IF(April[After the 14th?]="Yes",SUMIF(April[SysID],R67,April[Pay Amount]),0)</f>
        <v>0</v>
      </c>
      <c r="T67" s="8"/>
      <c r="U67" s="5" t="str">
        <f t="shared" ref="U67:U103" si="5">IF(S67=T67,"N","Y")</f>
        <v>N</v>
      </c>
      <c r="X67" s="56"/>
      <c r="Y67" s="56"/>
      <c r="Z67" s="56"/>
      <c r="AA67" s="56"/>
      <c r="AC67" s="56"/>
    </row>
    <row r="68" spans="1:29" x14ac:dyDescent="0.25">
      <c r="A68" s="35"/>
      <c r="B68" s="32" t="e">
        <f>VLOOKUP(A68,Relay!$A$1:$B$50,2,FALSE)</f>
        <v>#N/A</v>
      </c>
      <c r="C68" s="32" t="e">
        <f>VLOOKUP(A68,Relay!$A$2:$C$101,3,FALSE)</f>
        <v>#N/A</v>
      </c>
      <c r="D68" s="39"/>
      <c r="E68" s="35"/>
      <c r="F68" s="58" t="str">
        <f t="shared" si="3"/>
        <v>INS</v>
      </c>
      <c r="G68" s="32" t="e">
        <f>IF(OR(E68="Jeopardy",E68="APP Moonlighting",E68="Differential Pay"),"",May[[#This Row],[SysID]])</f>
        <v>#N/A</v>
      </c>
      <c r="H68" s="32" t="e">
        <f>IF(E68="Jeopardy",IF(C68="MD",Relay!$E$7,Relay!$E$8),IF(C68="MD",IF(COUNTIF(G:G,B68)&gt;1,Relay!$E$2,Relay!$E$1),IF(AND(COUNTIF(G:G,B68)&gt;1,COUNTA(A68)&gt;0),Relay!$E$5,Relay!$E$4)))</f>
        <v>#N/A</v>
      </c>
      <c r="I68" s="8">
        <f t="shared" si="4"/>
        <v>0</v>
      </c>
      <c r="J68" s="35"/>
      <c r="K68" s="35"/>
      <c r="L68" s="35"/>
      <c r="M68" s="35"/>
      <c r="N68" s="32" t="e">
        <f>IF(H68=May!$E$2,"N",IF(AND(COUNTIF(B:B,B68)=1,D68&gt;14),"Y","N"))</f>
        <v>#N/A</v>
      </c>
      <c r="O68" s="55" t="str">
        <f>IF(COUNT(May[[#This Row],[Date]])&gt;0,IF(May[[#This Row],[Date]]&gt;14,"Yes","No"),"N/A")</f>
        <v>N/A</v>
      </c>
      <c r="P68" s="55"/>
      <c r="Q68" s="5">
        <f>Relay!A67</f>
        <v>0</v>
      </c>
      <c r="R68" s="5">
        <f>Relay!B67</f>
        <v>66</v>
      </c>
      <c r="S68" s="8">
        <f>IF(May[After the 14th?]="No",SUMIF(May[SysID],R68,May[Pay Amount]),0)+IF(April[After the 14th?]="Yes",SUMIF(April[SysID],R68,April[Pay Amount]),0)</f>
        <v>0</v>
      </c>
      <c r="T68" s="8"/>
      <c r="U68" s="5" t="str">
        <f t="shared" si="5"/>
        <v>N</v>
      </c>
      <c r="X68" s="56"/>
      <c r="Y68" s="56"/>
      <c r="Z68" s="56"/>
      <c r="AA68" s="56"/>
      <c r="AC68" s="56"/>
    </row>
    <row r="69" spans="1:29" x14ac:dyDescent="0.25">
      <c r="A69" s="35"/>
      <c r="B69" s="32" t="e">
        <f>VLOOKUP(A69,Relay!$A$1:$B$50,2,FALSE)</f>
        <v>#N/A</v>
      </c>
      <c r="C69" s="32" t="e">
        <f>VLOOKUP(A69,Relay!$A$2:$C$101,3,FALSE)</f>
        <v>#N/A</v>
      </c>
      <c r="D69" s="39"/>
      <c r="E69" s="35"/>
      <c r="F69" s="58" t="str">
        <f t="shared" si="3"/>
        <v>INS</v>
      </c>
      <c r="G69" s="32" t="e">
        <f>IF(OR(E69="Jeopardy",E69="APP Moonlighting",E69="Differential Pay"),"",May[[#This Row],[SysID]])</f>
        <v>#N/A</v>
      </c>
      <c r="H69" s="32" t="e">
        <f>IF(E69="Jeopardy",IF(C69="MD",Relay!$E$7,Relay!$E$8),IF(C69="MD",IF(COUNTIF(G:G,B69)&gt;1,Relay!$E$2,Relay!$E$1),IF(AND(COUNTIF(G:G,B69)&gt;1,COUNTA(A69)&gt;0),Relay!$E$5,Relay!$E$4)))</f>
        <v>#N/A</v>
      </c>
      <c r="I69" s="8">
        <f t="shared" si="4"/>
        <v>0</v>
      </c>
      <c r="J69" s="35"/>
      <c r="K69" s="35"/>
      <c r="L69" s="35"/>
      <c r="M69" s="35"/>
      <c r="N69" s="32" t="e">
        <f>IF(H69=May!$E$2,"N",IF(AND(COUNTIF(B:B,B69)=1,D69&gt;14),"Y","N"))</f>
        <v>#N/A</v>
      </c>
      <c r="O69" s="55" t="str">
        <f>IF(COUNT(May[[#This Row],[Date]])&gt;0,IF(May[[#This Row],[Date]]&gt;14,"Yes","No"),"N/A")</f>
        <v>N/A</v>
      </c>
      <c r="P69" s="55"/>
      <c r="Q69" s="5">
        <f>Relay!A68</f>
        <v>0</v>
      </c>
      <c r="R69" s="5">
        <f>Relay!B68</f>
        <v>67</v>
      </c>
      <c r="S69" s="8">
        <f>IF(May[After the 14th?]="No",SUMIF(May[SysID],R69,May[Pay Amount]),0)+IF(April[After the 14th?]="Yes",SUMIF(April[SysID],R69,April[Pay Amount]),0)</f>
        <v>0</v>
      </c>
      <c r="T69" s="8"/>
      <c r="U69" s="5" t="str">
        <f t="shared" si="5"/>
        <v>N</v>
      </c>
      <c r="X69" s="56"/>
      <c r="Y69" s="56"/>
      <c r="Z69" s="56"/>
      <c r="AA69" s="56"/>
      <c r="AC69" s="56"/>
    </row>
    <row r="70" spans="1:29" x14ac:dyDescent="0.25">
      <c r="A70" s="35"/>
      <c r="B70" s="32" t="e">
        <f>VLOOKUP(A70,Relay!$A$1:$B$50,2,FALSE)</f>
        <v>#N/A</v>
      </c>
      <c r="C70" s="32" t="e">
        <f>VLOOKUP(A70,Relay!$A$2:$C$101,3,FALSE)</f>
        <v>#N/A</v>
      </c>
      <c r="D70" s="39"/>
      <c r="E70" s="35"/>
      <c r="F70" s="58" t="str">
        <f t="shared" si="3"/>
        <v>INS</v>
      </c>
      <c r="G70" s="32" t="e">
        <f>IF(OR(E70="Jeopardy",E70="APP Moonlighting",E70="Differential Pay"),"",May[[#This Row],[SysID]])</f>
        <v>#N/A</v>
      </c>
      <c r="H70" s="32" t="e">
        <f>IF(E70="Jeopardy",IF(C70="MD",Relay!$E$7,Relay!$E$8),IF(C70="MD",IF(COUNTIF(G:G,B70)&gt;1,Relay!$E$2,Relay!$E$1),IF(AND(COUNTIF(G:G,B70)&gt;1,COUNTA(A70)&gt;0),Relay!$E$5,Relay!$E$4)))</f>
        <v>#N/A</v>
      </c>
      <c r="I70" s="8">
        <f t="shared" si="4"/>
        <v>0</v>
      </c>
      <c r="J70" s="35"/>
      <c r="K70" s="35"/>
      <c r="L70" s="35"/>
      <c r="M70" s="35"/>
      <c r="N70" s="32" t="e">
        <f>IF(H70=May!$E$2,"N",IF(AND(COUNTIF(B:B,B70)=1,D70&gt;14),"Y","N"))</f>
        <v>#N/A</v>
      </c>
      <c r="O70" s="55" t="str">
        <f>IF(COUNT(May[[#This Row],[Date]])&gt;0,IF(May[[#This Row],[Date]]&gt;14,"Yes","No"),"N/A")</f>
        <v>N/A</v>
      </c>
      <c r="P70" s="55"/>
      <c r="Q70" s="5">
        <f>Relay!A69</f>
        <v>0</v>
      </c>
      <c r="R70" s="5">
        <f>Relay!B69</f>
        <v>68</v>
      </c>
      <c r="S70" s="8">
        <f>IF(May[After the 14th?]="No",SUMIF(May[SysID],R70,May[Pay Amount]),0)+IF(April[After the 14th?]="Yes",SUMIF(April[SysID],R70,April[Pay Amount]),0)</f>
        <v>0</v>
      </c>
      <c r="T70" s="8"/>
      <c r="U70" s="5" t="str">
        <f t="shared" si="5"/>
        <v>N</v>
      </c>
      <c r="X70" s="56"/>
      <c r="Y70" s="56"/>
      <c r="Z70" s="56"/>
      <c r="AA70" s="56"/>
      <c r="AC70" s="56"/>
    </row>
    <row r="71" spans="1:29" x14ac:dyDescent="0.25">
      <c r="A71" s="35"/>
      <c r="B71" s="32" t="e">
        <f>VLOOKUP(A71,Relay!$A$1:$B$50,2,FALSE)</f>
        <v>#N/A</v>
      </c>
      <c r="C71" s="32" t="e">
        <f>VLOOKUP(A71,Relay!$A$2:$C$101,3,FALSE)</f>
        <v>#N/A</v>
      </c>
      <c r="D71" s="39"/>
      <c r="E71" s="35"/>
      <c r="F71" s="58" t="str">
        <f t="shared" si="3"/>
        <v>INS</v>
      </c>
      <c r="G71" s="32" t="e">
        <f>IF(OR(E71="Jeopardy",E71="APP Moonlighting",E71="Differential Pay"),"",May[[#This Row],[SysID]])</f>
        <v>#N/A</v>
      </c>
      <c r="H71" s="32" t="e">
        <f>IF(E71="Jeopardy",IF(C71="MD",Relay!$E$7,Relay!$E$8),IF(C71="MD",IF(COUNTIF(G:G,B71)&gt;1,Relay!$E$2,Relay!$E$1),IF(AND(COUNTIF(G:G,B71)&gt;1,COUNTA(A71)&gt;0),Relay!$E$5,Relay!$E$4)))</f>
        <v>#N/A</v>
      </c>
      <c r="I71" s="8">
        <f t="shared" si="4"/>
        <v>0</v>
      </c>
      <c r="J71" s="35"/>
      <c r="K71" s="35"/>
      <c r="L71" s="35"/>
      <c r="M71" s="35"/>
      <c r="N71" s="32" t="e">
        <f>IF(H71=May!$E$2,"N",IF(AND(COUNTIF(B:B,B71)=1,D71&gt;14),"Y","N"))</f>
        <v>#N/A</v>
      </c>
      <c r="O71" s="55" t="str">
        <f>IF(COUNT(May[[#This Row],[Date]])&gt;0,IF(May[[#This Row],[Date]]&gt;14,"Yes","No"),"N/A")</f>
        <v>N/A</v>
      </c>
      <c r="P71" s="55"/>
      <c r="Q71" s="5">
        <f>Relay!A70</f>
        <v>0</v>
      </c>
      <c r="R71" s="5">
        <f>Relay!B70</f>
        <v>69</v>
      </c>
      <c r="S71" s="8">
        <f>IF(May[After the 14th?]="No",SUMIF(May[SysID],R71,May[Pay Amount]),0)+IF(April[After the 14th?]="Yes",SUMIF(April[SysID],R71,April[Pay Amount]),0)</f>
        <v>0</v>
      </c>
      <c r="T71" s="8"/>
      <c r="U71" s="5" t="str">
        <f t="shared" si="5"/>
        <v>N</v>
      </c>
      <c r="X71" s="56"/>
      <c r="Y71" s="56"/>
      <c r="Z71" s="56"/>
      <c r="AA71" s="56"/>
      <c r="AC71" s="56"/>
    </row>
    <row r="72" spans="1:29" x14ac:dyDescent="0.25">
      <c r="A72" s="35"/>
      <c r="B72" s="32" t="e">
        <f>VLOOKUP(A72,Relay!$A$1:$B$50,2,FALSE)</f>
        <v>#N/A</v>
      </c>
      <c r="C72" s="32" t="e">
        <f>VLOOKUP(A72,Relay!$A$2:$C$101,3,FALSE)</f>
        <v>#N/A</v>
      </c>
      <c r="D72" s="39"/>
      <c r="E72" s="35"/>
      <c r="F72" s="58" t="str">
        <f t="shared" si="3"/>
        <v>INS</v>
      </c>
      <c r="G72" s="32" t="e">
        <f>IF(OR(E72="Jeopardy",E72="APP Moonlighting",E72="Differential Pay"),"",May[[#This Row],[SysID]])</f>
        <v>#N/A</v>
      </c>
      <c r="H72" s="32" t="e">
        <f>IF(E72="Jeopardy",IF(C72="MD",Relay!$E$7,Relay!$E$8),IF(C72="MD",IF(COUNTIF(G:G,B72)&gt;1,Relay!$E$2,Relay!$E$1),IF(AND(COUNTIF(G:G,B72)&gt;1,COUNTA(A72)&gt;0),Relay!$E$5,Relay!$E$4)))</f>
        <v>#N/A</v>
      </c>
      <c r="I72" s="8">
        <f t="shared" si="4"/>
        <v>0</v>
      </c>
      <c r="J72" s="35"/>
      <c r="K72" s="35"/>
      <c r="L72" s="35"/>
      <c r="M72" s="35"/>
      <c r="N72" s="32" t="e">
        <f>IF(H72=May!$E$2,"N",IF(AND(COUNTIF(B:B,B72)=1,D72&gt;14),"Y","N"))</f>
        <v>#N/A</v>
      </c>
      <c r="O72" s="55" t="str">
        <f>IF(COUNT(May[[#This Row],[Date]])&gt;0,IF(May[[#This Row],[Date]]&gt;14,"Yes","No"),"N/A")</f>
        <v>N/A</v>
      </c>
      <c r="P72" s="55"/>
      <c r="Q72" s="5">
        <f>Relay!A71</f>
        <v>0</v>
      </c>
      <c r="R72" s="5">
        <f>Relay!B71</f>
        <v>70</v>
      </c>
      <c r="S72" s="8">
        <f>IF(May[After the 14th?]="No",SUMIF(May[SysID],R72,May[Pay Amount]),0)+IF(April[After the 14th?]="Yes",SUMIF(April[SysID],R72,April[Pay Amount]),0)</f>
        <v>0</v>
      </c>
      <c r="T72" s="8"/>
      <c r="U72" s="5" t="str">
        <f t="shared" si="5"/>
        <v>N</v>
      </c>
      <c r="X72" s="56"/>
      <c r="Y72" s="56"/>
      <c r="Z72" s="56"/>
      <c r="AA72" s="56"/>
      <c r="AC72" s="56"/>
    </row>
    <row r="73" spans="1:29" x14ac:dyDescent="0.25">
      <c r="A73" s="35"/>
      <c r="B73" s="32" t="e">
        <f>VLOOKUP(A73,Relay!$A$1:$B$50,2,FALSE)</f>
        <v>#N/A</v>
      </c>
      <c r="C73" s="32" t="e">
        <f>VLOOKUP(A73,Relay!$A$2:$C$101,3,FALSE)</f>
        <v>#N/A</v>
      </c>
      <c r="D73" s="39"/>
      <c r="E73" s="35"/>
      <c r="F73" s="58" t="str">
        <f t="shared" si="3"/>
        <v>INS</v>
      </c>
      <c r="G73" s="32" t="e">
        <f>IF(OR(E73="Jeopardy",E73="APP Moonlighting",E73="Differential Pay"),"",May[[#This Row],[SysID]])</f>
        <v>#N/A</v>
      </c>
      <c r="H73" s="32" t="e">
        <f>IF(E73="Jeopardy",IF(C73="MD",Relay!$E$7,Relay!$E$8),IF(C73="MD",IF(COUNTIF(G:G,B73)&gt;1,Relay!$E$2,Relay!$E$1),IF(AND(COUNTIF(G:G,B73)&gt;1,COUNTA(A73)&gt;0),Relay!$E$5,Relay!$E$4)))</f>
        <v>#N/A</v>
      </c>
      <c r="I73" s="8">
        <f t="shared" si="4"/>
        <v>0</v>
      </c>
      <c r="J73" s="35"/>
      <c r="K73" s="35"/>
      <c r="L73" s="35"/>
      <c r="M73" s="35"/>
      <c r="N73" s="32" t="e">
        <f>IF(H73=May!$E$2,"N",IF(AND(COUNTIF(B:B,B73)=1,D73&gt;14),"Y","N"))</f>
        <v>#N/A</v>
      </c>
      <c r="O73" s="55" t="str">
        <f>IF(COUNT(May[[#This Row],[Date]])&gt;0,IF(May[[#This Row],[Date]]&gt;14,"Yes","No"),"N/A")</f>
        <v>N/A</v>
      </c>
      <c r="P73" s="55"/>
      <c r="Q73" s="5">
        <f>Relay!A72</f>
        <v>0</v>
      </c>
      <c r="R73" s="5">
        <f>Relay!B72</f>
        <v>71</v>
      </c>
      <c r="S73" s="8">
        <f>IF(May[After the 14th?]="No",SUMIF(May[SysID],R73,May[Pay Amount]),0)+IF(April[After the 14th?]="Yes",SUMIF(April[SysID],R73,April[Pay Amount]),0)</f>
        <v>0</v>
      </c>
      <c r="T73" s="8"/>
      <c r="U73" s="5" t="str">
        <f t="shared" si="5"/>
        <v>N</v>
      </c>
      <c r="X73" s="56"/>
      <c r="Y73" s="56"/>
      <c r="Z73" s="56"/>
      <c r="AA73" s="56"/>
      <c r="AC73" s="56"/>
    </row>
    <row r="74" spans="1:29" x14ac:dyDescent="0.25">
      <c r="A74" s="35"/>
      <c r="B74" s="32" t="e">
        <f>VLOOKUP(A74,Relay!$A$1:$B$50,2,FALSE)</f>
        <v>#N/A</v>
      </c>
      <c r="C74" s="32" t="e">
        <f>VLOOKUP(A74,Relay!$A$2:$C$101,3,FALSE)</f>
        <v>#N/A</v>
      </c>
      <c r="D74" s="39"/>
      <c r="E74" s="35"/>
      <c r="F74" s="58" t="str">
        <f t="shared" si="3"/>
        <v>INS</v>
      </c>
      <c r="G74" s="32" t="e">
        <f>IF(OR(E74="Jeopardy",E74="APP Moonlighting",E74="Differential Pay"),"",May[[#This Row],[SysID]])</f>
        <v>#N/A</v>
      </c>
      <c r="H74" s="32" t="e">
        <f>IF(E74="Jeopardy",IF(C74="MD",Relay!$E$7,Relay!$E$8),IF(C74="MD",IF(COUNTIF(G:G,B74)&gt;1,Relay!$E$2,Relay!$E$1),IF(AND(COUNTIF(G:G,B74)&gt;1,COUNTA(A74)&gt;0),Relay!$E$5,Relay!$E$4)))</f>
        <v>#N/A</v>
      </c>
      <c r="I74" s="8">
        <f t="shared" si="4"/>
        <v>0</v>
      </c>
      <c r="J74" s="35"/>
      <c r="K74" s="35"/>
      <c r="L74" s="35"/>
      <c r="M74" s="35"/>
      <c r="N74" s="32" t="e">
        <f>IF(H74=May!$E$2,"N",IF(AND(COUNTIF(B:B,B74)=1,D74&gt;14),"Y","N"))</f>
        <v>#N/A</v>
      </c>
      <c r="O74" s="55" t="str">
        <f>IF(COUNT(May[[#This Row],[Date]])&gt;0,IF(May[[#This Row],[Date]]&gt;14,"Yes","No"),"N/A")</f>
        <v>N/A</v>
      </c>
      <c r="P74" s="55"/>
      <c r="Q74" s="5">
        <f>Relay!A73</f>
        <v>0</v>
      </c>
      <c r="R74" s="5">
        <f>Relay!B73</f>
        <v>72</v>
      </c>
      <c r="S74" s="8">
        <f>IF(May[After the 14th?]="No",SUMIF(May[SysID],R74,May[Pay Amount]),0)+IF(April[After the 14th?]="Yes",SUMIF(April[SysID],R74,April[Pay Amount]),0)</f>
        <v>0</v>
      </c>
      <c r="T74" s="8"/>
      <c r="U74" s="5" t="str">
        <f t="shared" si="5"/>
        <v>N</v>
      </c>
      <c r="X74" s="56"/>
      <c r="Y74" s="56"/>
      <c r="Z74" s="56"/>
      <c r="AA74" s="56"/>
      <c r="AC74" s="56"/>
    </row>
    <row r="75" spans="1:29" x14ac:dyDescent="0.25">
      <c r="A75" s="35"/>
      <c r="B75" s="32" t="e">
        <f>VLOOKUP(A75,Relay!$A$1:$B$50,2,FALSE)</f>
        <v>#N/A</v>
      </c>
      <c r="C75" s="32" t="e">
        <f>VLOOKUP(A75,Relay!$A$2:$C$101,3,FALSE)</f>
        <v>#N/A</v>
      </c>
      <c r="D75" s="39"/>
      <c r="E75" s="35"/>
      <c r="F75" s="58" t="str">
        <f t="shared" si="3"/>
        <v>INS</v>
      </c>
      <c r="G75" s="32" t="e">
        <f>IF(OR(E75="Jeopardy",E75="APP Moonlighting",E75="Differential Pay"),"",May[[#This Row],[SysID]])</f>
        <v>#N/A</v>
      </c>
      <c r="H75" s="32" t="e">
        <f>IF(E75="Jeopardy",IF(C75="MD",Relay!$E$7,Relay!$E$8),IF(C75="MD",IF(COUNTIF(G:G,B75)&gt;1,Relay!$E$2,Relay!$E$1),IF(AND(COUNTIF(G:G,B75)&gt;1,COUNTA(A75)&gt;0),Relay!$E$5,Relay!$E$4)))</f>
        <v>#N/A</v>
      </c>
      <c r="I75" s="8">
        <f t="shared" si="4"/>
        <v>0</v>
      </c>
      <c r="J75" s="35"/>
      <c r="K75" s="35"/>
      <c r="L75" s="35"/>
      <c r="M75" s="35"/>
      <c r="N75" s="32" t="e">
        <f>IF(H75=May!$E$2,"N",IF(AND(COUNTIF(B:B,B75)=1,D75&gt;14),"Y","N"))</f>
        <v>#N/A</v>
      </c>
      <c r="O75" s="55" t="str">
        <f>IF(COUNT(May[[#This Row],[Date]])&gt;0,IF(May[[#This Row],[Date]]&gt;14,"Yes","No"),"N/A")</f>
        <v>N/A</v>
      </c>
      <c r="P75" s="55"/>
      <c r="Q75" s="5">
        <f>Relay!A74</f>
        <v>0</v>
      </c>
      <c r="R75" s="5">
        <f>Relay!B74</f>
        <v>73</v>
      </c>
      <c r="S75" s="8">
        <f>IF(May[After the 14th?]="No",SUMIF(May[SysID],R75,May[Pay Amount]),0)+IF(April[After the 14th?]="Yes",SUMIF(April[SysID],R75,April[Pay Amount]),0)</f>
        <v>0</v>
      </c>
      <c r="T75" s="8"/>
      <c r="U75" s="5" t="str">
        <f t="shared" si="5"/>
        <v>N</v>
      </c>
      <c r="X75" s="56"/>
      <c r="Y75" s="56"/>
      <c r="Z75" s="56"/>
      <c r="AA75" s="56"/>
      <c r="AC75" s="56"/>
    </row>
    <row r="76" spans="1:29" x14ac:dyDescent="0.25">
      <c r="A76" s="35"/>
      <c r="B76" s="32" t="e">
        <f>VLOOKUP(A76,Relay!$A$1:$B$50,2,FALSE)</f>
        <v>#N/A</v>
      </c>
      <c r="C76" s="32" t="e">
        <f>VLOOKUP(A76,Relay!$A$2:$C$101,3,FALSE)</f>
        <v>#N/A</v>
      </c>
      <c r="D76" s="39"/>
      <c r="E76" s="35"/>
      <c r="F76" s="58" t="str">
        <f t="shared" si="3"/>
        <v>INS</v>
      </c>
      <c r="G76" s="32" t="e">
        <f>IF(OR(E76="Jeopardy",E76="APP Moonlighting",E76="Differential Pay"),"",May[[#This Row],[SysID]])</f>
        <v>#N/A</v>
      </c>
      <c r="H76" s="32" t="e">
        <f>IF(E76="Jeopardy",IF(C76="MD",Relay!$E$7,Relay!$E$8),IF(C76="MD",IF(COUNTIF(G:G,B76)&gt;1,Relay!$E$2,Relay!$E$1),IF(AND(COUNTIF(G:G,B76)&gt;1,COUNTA(A76)&gt;0),Relay!$E$5,Relay!$E$4)))</f>
        <v>#N/A</v>
      </c>
      <c r="I76" s="8">
        <f t="shared" si="4"/>
        <v>0</v>
      </c>
      <c r="J76" s="35"/>
      <c r="K76" s="35"/>
      <c r="L76" s="35"/>
      <c r="M76" s="35"/>
      <c r="N76" s="32" t="e">
        <f>IF(H76=May!$E$2,"N",IF(AND(COUNTIF(B:B,B76)=1,D76&gt;14),"Y","N"))</f>
        <v>#N/A</v>
      </c>
      <c r="O76" s="55" t="str">
        <f>IF(COUNT(May[[#This Row],[Date]])&gt;0,IF(May[[#This Row],[Date]]&gt;14,"Yes","No"),"N/A")</f>
        <v>N/A</v>
      </c>
      <c r="P76" s="55"/>
      <c r="Q76" s="5">
        <f>Relay!A75</f>
        <v>0</v>
      </c>
      <c r="R76" s="5">
        <f>Relay!B75</f>
        <v>74</v>
      </c>
      <c r="S76" s="8">
        <f>IF(May[After the 14th?]="No",SUMIF(May[SysID],R76,May[Pay Amount]),0)+IF(April[After the 14th?]="Yes",SUMIF(April[SysID],R76,April[Pay Amount]),0)</f>
        <v>0</v>
      </c>
      <c r="T76" s="8"/>
      <c r="U76" s="5" t="str">
        <f t="shared" si="5"/>
        <v>N</v>
      </c>
      <c r="X76" s="56"/>
      <c r="Y76" s="56"/>
      <c r="Z76" s="56"/>
      <c r="AA76" s="56"/>
      <c r="AC76" s="56"/>
    </row>
    <row r="77" spans="1:29" x14ac:dyDescent="0.25">
      <c r="A77" s="35"/>
      <c r="B77" s="32" t="e">
        <f>VLOOKUP(A77,Relay!$A$1:$B$50,2,FALSE)</f>
        <v>#N/A</v>
      </c>
      <c r="C77" s="32" t="e">
        <f>VLOOKUP(A77,Relay!$A$2:$C$101,3,FALSE)</f>
        <v>#N/A</v>
      </c>
      <c r="D77" s="39"/>
      <c r="E77" s="35"/>
      <c r="F77" s="58" t="str">
        <f t="shared" si="3"/>
        <v>INS</v>
      </c>
      <c r="G77" s="32" t="e">
        <f>IF(OR(E77="Jeopardy",E77="APP Moonlighting",E77="Differential Pay"),"",May[[#This Row],[SysID]])</f>
        <v>#N/A</v>
      </c>
      <c r="H77" s="32" t="e">
        <f>IF(E77="Jeopardy",IF(C77="MD",Relay!$E$7,Relay!$E$8),IF(C77="MD",IF(COUNTIF(G:G,B77)&gt;1,Relay!$E$2,Relay!$E$1),IF(AND(COUNTIF(G:G,B77)&gt;1,COUNTA(A77)&gt;0),Relay!$E$5,Relay!$E$4)))</f>
        <v>#N/A</v>
      </c>
      <c r="I77" s="8">
        <f t="shared" si="4"/>
        <v>0</v>
      </c>
      <c r="J77" s="35"/>
      <c r="K77" s="35"/>
      <c r="L77" s="35"/>
      <c r="M77" s="35"/>
      <c r="N77" s="32" t="e">
        <f>IF(H77=May!$E$2,"N",IF(AND(COUNTIF(B:B,B77)=1,D77&gt;14),"Y","N"))</f>
        <v>#N/A</v>
      </c>
      <c r="O77" s="55" t="str">
        <f>IF(COUNT(May[[#This Row],[Date]])&gt;0,IF(May[[#This Row],[Date]]&gt;14,"Yes","No"),"N/A")</f>
        <v>N/A</v>
      </c>
      <c r="P77" s="55"/>
      <c r="Q77" s="5">
        <f>Relay!A76</f>
        <v>0</v>
      </c>
      <c r="R77" s="5">
        <f>Relay!B76</f>
        <v>75</v>
      </c>
      <c r="S77" s="8">
        <f>IF(May[After the 14th?]="No",SUMIF(May[SysID],R77,May[Pay Amount]),0)+IF(April[After the 14th?]="Yes",SUMIF(April[SysID],R77,April[Pay Amount]),0)</f>
        <v>0</v>
      </c>
      <c r="T77" s="8"/>
      <c r="U77" s="5" t="str">
        <f t="shared" si="5"/>
        <v>N</v>
      </c>
      <c r="X77" s="56"/>
      <c r="Y77" s="56"/>
      <c r="Z77" s="56"/>
      <c r="AA77" s="56"/>
      <c r="AC77" s="56"/>
    </row>
    <row r="78" spans="1:29" x14ac:dyDescent="0.25">
      <c r="A78" s="35"/>
      <c r="B78" s="32" t="e">
        <f>VLOOKUP(A78,Relay!$A$1:$B$50,2,FALSE)</f>
        <v>#N/A</v>
      </c>
      <c r="C78" s="32" t="e">
        <f>VLOOKUP(A78,Relay!$A$2:$C$101,3,FALSE)</f>
        <v>#N/A</v>
      </c>
      <c r="D78" s="39"/>
      <c r="E78" s="35"/>
      <c r="F78" s="58" t="str">
        <f t="shared" si="3"/>
        <v>INS</v>
      </c>
      <c r="G78" s="32" t="e">
        <f>IF(OR(E78="Jeopardy",E78="APP Moonlighting",E78="Differential Pay"),"",May[[#This Row],[SysID]])</f>
        <v>#N/A</v>
      </c>
      <c r="H78" s="32" t="e">
        <f>IF(E78="Jeopardy",IF(C78="MD",Relay!$E$7,Relay!$E$8),IF(C78="MD",IF(COUNTIF(G:G,B78)&gt;1,Relay!$E$2,Relay!$E$1),IF(AND(COUNTIF(G:G,B78)&gt;1,COUNTA(A78)&gt;0),Relay!$E$5,Relay!$E$4)))</f>
        <v>#N/A</v>
      </c>
      <c r="I78" s="8">
        <f t="shared" si="4"/>
        <v>0</v>
      </c>
      <c r="J78" s="35"/>
      <c r="K78" s="35"/>
      <c r="L78" s="35"/>
      <c r="M78" s="35"/>
      <c r="N78" s="32" t="e">
        <f>IF(H78=May!$E$2,"N",IF(AND(COUNTIF(B:B,B78)=1,D78&gt;14),"Y","N"))</f>
        <v>#N/A</v>
      </c>
      <c r="O78" s="55" t="str">
        <f>IF(COUNT(May[[#This Row],[Date]])&gt;0,IF(May[[#This Row],[Date]]&gt;14,"Yes","No"),"N/A")</f>
        <v>N/A</v>
      </c>
      <c r="P78" s="55"/>
      <c r="Q78" s="5">
        <f>Relay!A77</f>
        <v>0</v>
      </c>
      <c r="R78" s="5">
        <f>Relay!B77</f>
        <v>76</v>
      </c>
      <c r="S78" s="8">
        <f>IF(May[After the 14th?]="No",SUMIF(May[SysID],R78,May[Pay Amount]),0)+IF(April[After the 14th?]="Yes",SUMIF(April[SysID],R78,April[Pay Amount]),0)</f>
        <v>0</v>
      </c>
      <c r="T78" s="8"/>
      <c r="U78" s="5" t="str">
        <f t="shared" si="5"/>
        <v>N</v>
      </c>
      <c r="X78" s="56"/>
      <c r="Y78" s="56"/>
      <c r="Z78" s="56"/>
      <c r="AA78" s="56"/>
      <c r="AC78" s="56"/>
    </row>
    <row r="79" spans="1:29" x14ac:dyDescent="0.25">
      <c r="A79" s="35"/>
      <c r="B79" s="32" t="e">
        <f>VLOOKUP(A79,Relay!$A$1:$B$50,2,FALSE)</f>
        <v>#N/A</v>
      </c>
      <c r="C79" s="32" t="e">
        <f>VLOOKUP(A79,Relay!$A$2:$C$101,3,FALSE)</f>
        <v>#N/A</v>
      </c>
      <c r="D79" s="39"/>
      <c r="E79" s="35"/>
      <c r="F79" s="58" t="str">
        <f t="shared" si="3"/>
        <v>INS</v>
      </c>
      <c r="G79" s="32" t="e">
        <f>IF(OR(E79="Jeopardy",E79="APP Moonlighting",E79="Differential Pay"),"",May[[#This Row],[SysID]])</f>
        <v>#N/A</v>
      </c>
      <c r="H79" s="32" t="e">
        <f>IF(E79="Jeopardy",IF(C79="MD",Relay!$E$7,Relay!$E$8),IF(C79="MD",IF(COUNTIF(G:G,B79)&gt;1,Relay!$E$2,Relay!$E$1),IF(AND(COUNTIF(G:G,B79)&gt;1,COUNTA(A79)&gt;0),Relay!$E$5,Relay!$E$4)))</f>
        <v>#N/A</v>
      </c>
      <c r="I79" s="8">
        <f t="shared" si="4"/>
        <v>0</v>
      </c>
      <c r="J79" s="35"/>
      <c r="K79" s="35"/>
      <c r="L79" s="35"/>
      <c r="M79" s="35"/>
      <c r="N79" s="32" t="e">
        <f>IF(H79=May!$E$2,"N",IF(AND(COUNTIF(B:B,B79)=1,D79&gt;14),"Y","N"))</f>
        <v>#N/A</v>
      </c>
      <c r="O79" s="55" t="str">
        <f>IF(COUNT(May[[#This Row],[Date]])&gt;0,IF(May[[#This Row],[Date]]&gt;14,"Yes","No"),"N/A")</f>
        <v>N/A</v>
      </c>
      <c r="P79" s="55"/>
      <c r="Q79" s="5">
        <f>Relay!A78</f>
        <v>0</v>
      </c>
      <c r="R79" s="5">
        <f>Relay!B78</f>
        <v>77</v>
      </c>
      <c r="S79" s="8">
        <f>IF(May[After the 14th?]="No",SUMIF(May[SysID],R79,May[Pay Amount]),0)+IF(April[After the 14th?]="Yes",SUMIF(April[SysID],R79,April[Pay Amount]),0)</f>
        <v>0</v>
      </c>
      <c r="T79" s="8"/>
      <c r="U79" s="5" t="str">
        <f t="shared" si="5"/>
        <v>N</v>
      </c>
      <c r="X79" s="56"/>
      <c r="Y79" s="56"/>
      <c r="Z79" s="56"/>
      <c r="AA79" s="56"/>
      <c r="AC79" s="56"/>
    </row>
    <row r="80" spans="1:29" x14ac:dyDescent="0.25">
      <c r="A80" s="35"/>
      <c r="B80" s="32" t="e">
        <f>VLOOKUP(A80,Relay!$A$1:$B$50,2,FALSE)</f>
        <v>#N/A</v>
      </c>
      <c r="C80" s="32" t="e">
        <f>VLOOKUP(A80,Relay!$A$2:$C$101,3,FALSE)</f>
        <v>#N/A</v>
      </c>
      <c r="D80" s="39"/>
      <c r="E80" s="35"/>
      <c r="F80" s="58" t="str">
        <f t="shared" si="3"/>
        <v>INS</v>
      </c>
      <c r="G80" s="32" t="e">
        <f>IF(OR(E80="Jeopardy",E80="APP Moonlighting",E80="Differential Pay"),"",May[[#This Row],[SysID]])</f>
        <v>#N/A</v>
      </c>
      <c r="H80" s="32" t="e">
        <f>IF(E80="Jeopardy",IF(C80="MD",Relay!$E$7,Relay!$E$8),IF(C80="MD",IF(COUNTIF(G:G,B80)&gt;1,Relay!$E$2,Relay!$E$1),IF(AND(COUNTIF(G:G,B80)&gt;1,COUNTA(A80)&gt;0),Relay!$E$5,Relay!$E$4)))</f>
        <v>#N/A</v>
      </c>
      <c r="I80" s="8">
        <f t="shared" si="4"/>
        <v>0</v>
      </c>
      <c r="J80" s="35"/>
      <c r="K80" s="35"/>
      <c r="L80" s="35"/>
      <c r="M80" s="35"/>
      <c r="N80" s="32" t="e">
        <f>IF(H80=May!$E$2,"N",IF(AND(COUNTIF(B:B,B80)=1,D80&gt;14),"Y","N"))</f>
        <v>#N/A</v>
      </c>
      <c r="O80" s="55" t="str">
        <f>IF(COUNT(May[[#This Row],[Date]])&gt;0,IF(May[[#This Row],[Date]]&gt;14,"Yes","No"),"N/A")</f>
        <v>N/A</v>
      </c>
      <c r="P80" s="55"/>
      <c r="Q80" s="5">
        <f>Relay!A79</f>
        <v>0</v>
      </c>
      <c r="R80" s="5">
        <f>Relay!B79</f>
        <v>78</v>
      </c>
      <c r="S80" s="8">
        <f>IF(May[After the 14th?]="No",SUMIF(May[SysID],R80,May[Pay Amount]),0)+IF(April[After the 14th?]="Yes",SUMIF(April[SysID],R80,April[Pay Amount]),0)</f>
        <v>0</v>
      </c>
      <c r="T80" s="8"/>
      <c r="U80" s="5" t="str">
        <f t="shared" si="5"/>
        <v>N</v>
      </c>
      <c r="X80" s="56"/>
      <c r="Y80" s="56"/>
      <c r="Z80" s="56"/>
      <c r="AA80" s="56"/>
      <c r="AC80" s="56"/>
    </row>
    <row r="81" spans="1:29" x14ac:dyDescent="0.25">
      <c r="A81" s="35"/>
      <c r="B81" s="32" t="e">
        <f>VLOOKUP(A81,Relay!$A$1:$B$50,2,FALSE)</f>
        <v>#N/A</v>
      </c>
      <c r="C81" s="32" t="e">
        <f>VLOOKUP(A81,Relay!$A$2:$C$101,3,FALSE)</f>
        <v>#N/A</v>
      </c>
      <c r="D81" s="39"/>
      <c r="E81" s="35"/>
      <c r="F81" s="58" t="str">
        <f t="shared" si="3"/>
        <v>INS</v>
      </c>
      <c r="G81" s="32" t="e">
        <f>IF(OR(E81="Jeopardy",E81="APP Moonlighting",E81="Differential Pay"),"",May[[#This Row],[SysID]])</f>
        <v>#N/A</v>
      </c>
      <c r="H81" s="32" t="e">
        <f>IF(E81="Jeopardy",IF(C81="MD",Relay!$E$7,Relay!$E$8),IF(C81="MD",IF(COUNTIF(G:G,B81)&gt;1,Relay!$E$2,Relay!$E$1),IF(AND(COUNTIF(G:G,B81)&gt;1,COUNTA(A81)&gt;0),Relay!$E$5,Relay!$E$4)))</f>
        <v>#N/A</v>
      </c>
      <c r="I81" s="8">
        <f t="shared" si="4"/>
        <v>0</v>
      </c>
      <c r="J81" s="35"/>
      <c r="K81" s="35"/>
      <c r="L81" s="35"/>
      <c r="M81" s="35"/>
      <c r="N81" s="32" t="e">
        <f>IF(H81=May!$E$2,"N",IF(AND(COUNTIF(B:B,B81)=1,D81&gt;14),"Y","N"))</f>
        <v>#N/A</v>
      </c>
      <c r="O81" s="55" t="str">
        <f>IF(COUNT(May[[#This Row],[Date]])&gt;0,IF(May[[#This Row],[Date]]&gt;14,"Yes","No"),"N/A")</f>
        <v>N/A</v>
      </c>
      <c r="P81" s="55"/>
      <c r="Q81" s="5">
        <f>Relay!A80</f>
        <v>0</v>
      </c>
      <c r="R81" s="5">
        <f>Relay!B80</f>
        <v>79</v>
      </c>
      <c r="S81" s="8">
        <f>IF(May[After the 14th?]="No",SUMIF(May[SysID],R81,May[Pay Amount]),0)+IF(April[After the 14th?]="Yes",SUMIF(April[SysID],R81,April[Pay Amount]),0)</f>
        <v>0</v>
      </c>
      <c r="T81" s="8"/>
      <c r="U81" s="5" t="str">
        <f t="shared" si="5"/>
        <v>N</v>
      </c>
      <c r="X81" s="56"/>
      <c r="Y81" s="56"/>
      <c r="Z81" s="56"/>
      <c r="AA81" s="56"/>
      <c r="AC81" s="56"/>
    </row>
    <row r="82" spans="1:29" x14ac:dyDescent="0.25">
      <c r="A82" s="35"/>
      <c r="B82" s="32" t="e">
        <f>VLOOKUP(A82,Relay!$A$1:$B$50,2,FALSE)</f>
        <v>#N/A</v>
      </c>
      <c r="C82" s="32" t="e">
        <f>VLOOKUP(A82,Relay!$A$2:$C$101,3,FALSE)</f>
        <v>#N/A</v>
      </c>
      <c r="D82" s="39"/>
      <c r="E82" s="35"/>
      <c r="F82" s="58" t="str">
        <f t="shared" si="3"/>
        <v>INS</v>
      </c>
      <c r="G82" s="32" t="e">
        <f>IF(OR(E82="Jeopardy",E82="APP Moonlighting",E82="Differential Pay"),"",May[[#This Row],[SysID]])</f>
        <v>#N/A</v>
      </c>
      <c r="H82" s="32" t="e">
        <f>IF(E82="Jeopardy",IF(C82="MD",Relay!$E$7,Relay!$E$8),IF(C82="MD",IF(COUNTIF(G:G,B82)&gt;1,Relay!$E$2,Relay!$E$1),IF(AND(COUNTIF(G:G,B82)&gt;1,COUNTA(A82)&gt;0),Relay!$E$5,Relay!$E$4)))</f>
        <v>#N/A</v>
      </c>
      <c r="I82" s="8">
        <f t="shared" si="4"/>
        <v>0</v>
      </c>
      <c r="J82" s="35"/>
      <c r="K82" s="35"/>
      <c r="L82" s="35"/>
      <c r="M82" s="35"/>
      <c r="N82" s="32" t="e">
        <f>IF(H82=May!$E$2,"N",IF(AND(COUNTIF(B:B,B82)=1,D82&gt;14),"Y","N"))</f>
        <v>#N/A</v>
      </c>
      <c r="O82" s="55" t="str">
        <f>IF(COUNT(May[[#This Row],[Date]])&gt;0,IF(May[[#This Row],[Date]]&gt;14,"Yes","No"),"N/A")</f>
        <v>N/A</v>
      </c>
      <c r="P82" s="55"/>
      <c r="Q82" s="5">
        <f>Relay!A81</f>
        <v>0</v>
      </c>
      <c r="R82" s="5">
        <f>Relay!B81</f>
        <v>80</v>
      </c>
      <c r="S82" s="8">
        <f>IF(May[After the 14th?]="No",SUMIF(May[SysID],R82,May[Pay Amount]),0)+IF(April[After the 14th?]="Yes",SUMIF(April[SysID],R82,April[Pay Amount]),0)</f>
        <v>0</v>
      </c>
      <c r="T82" s="8"/>
      <c r="U82" s="5" t="str">
        <f t="shared" si="5"/>
        <v>N</v>
      </c>
      <c r="X82" s="56"/>
      <c r="Y82" s="56"/>
      <c r="Z82" s="56"/>
      <c r="AA82" s="56"/>
      <c r="AC82" s="56"/>
    </row>
    <row r="83" spans="1:29" x14ac:dyDescent="0.25">
      <c r="A83" s="35"/>
      <c r="B83" s="32" t="e">
        <f>VLOOKUP(A83,Relay!$A$1:$B$50,2,FALSE)</f>
        <v>#N/A</v>
      </c>
      <c r="C83" s="32" t="e">
        <f>VLOOKUP(A83,Relay!$A$2:$C$101,3,FALSE)</f>
        <v>#N/A</v>
      </c>
      <c r="D83" s="39"/>
      <c r="E83" s="35"/>
      <c r="F83" s="58" t="str">
        <f t="shared" si="3"/>
        <v>INS</v>
      </c>
      <c r="G83" s="32" t="e">
        <f>IF(OR(E83="Jeopardy",E83="APP Moonlighting",E83="Differential Pay"),"",May[[#This Row],[SysID]])</f>
        <v>#N/A</v>
      </c>
      <c r="H83" s="32" t="e">
        <f>IF(E83="Jeopardy",IF(C83="MD",Relay!$E$7,Relay!$E$8),IF(C83="MD",IF(COUNTIF(G:G,B83)&gt;1,Relay!$E$2,Relay!$E$1),IF(AND(COUNTIF(G:G,B83)&gt;1,COUNTA(A83)&gt;0),Relay!$E$5,Relay!$E$4)))</f>
        <v>#N/A</v>
      </c>
      <c r="I83" s="8">
        <f t="shared" si="4"/>
        <v>0</v>
      </c>
      <c r="J83" s="35"/>
      <c r="K83" s="35"/>
      <c r="L83" s="35"/>
      <c r="M83" s="35"/>
      <c r="N83" s="32" t="e">
        <f>IF(H83=May!$E$2,"N",IF(AND(COUNTIF(B:B,B83)=1,D83&gt;14),"Y","N"))</f>
        <v>#N/A</v>
      </c>
      <c r="O83" s="55" t="str">
        <f>IF(COUNT(May[[#This Row],[Date]])&gt;0,IF(May[[#This Row],[Date]]&gt;14,"Yes","No"),"N/A")</f>
        <v>N/A</v>
      </c>
      <c r="P83" s="55"/>
      <c r="Q83" s="5">
        <f>Relay!A82</f>
        <v>0</v>
      </c>
      <c r="R83" s="5">
        <f>Relay!B82</f>
        <v>81</v>
      </c>
      <c r="S83" s="8">
        <f>IF(May[After the 14th?]="No",SUMIF(May[SysID],R83,May[Pay Amount]),0)+IF(April[After the 14th?]="Yes",SUMIF(April[SysID],R83,April[Pay Amount]),0)</f>
        <v>0</v>
      </c>
      <c r="T83" s="8"/>
      <c r="U83" s="5" t="str">
        <f t="shared" si="5"/>
        <v>N</v>
      </c>
      <c r="X83" s="56"/>
      <c r="Y83" s="56"/>
      <c r="Z83" s="56"/>
      <c r="AA83" s="56"/>
      <c r="AC83" s="56"/>
    </row>
    <row r="84" spans="1:29" x14ac:dyDescent="0.25">
      <c r="A84" s="35"/>
      <c r="B84" s="32" t="e">
        <f>VLOOKUP(A84,Relay!$A$1:$B$50,2,FALSE)</f>
        <v>#N/A</v>
      </c>
      <c r="C84" s="32" t="e">
        <f>VLOOKUP(A84,Relay!$A$2:$C$101,3,FALSE)</f>
        <v>#N/A</v>
      </c>
      <c r="D84" s="39"/>
      <c r="E84" s="35"/>
      <c r="F84" s="58" t="str">
        <f t="shared" si="3"/>
        <v>INS</v>
      </c>
      <c r="G84" s="32" t="e">
        <f>IF(OR(E84="Jeopardy",E84="APP Moonlighting",E84="Differential Pay"),"",May[[#This Row],[SysID]])</f>
        <v>#N/A</v>
      </c>
      <c r="H84" s="32" t="e">
        <f>IF(E84="Jeopardy",IF(C84="MD",Relay!$E$7,Relay!$E$8),IF(C84="MD",IF(COUNTIF(G:G,B84)&gt;1,Relay!$E$2,Relay!$E$1),IF(AND(COUNTIF(G:G,B84)&gt;1,COUNTA(A84)&gt;0),Relay!$E$5,Relay!$E$4)))</f>
        <v>#N/A</v>
      </c>
      <c r="I84" s="8">
        <f t="shared" si="4"/>
        <v>0</v>
      </c>
      <c r="J84" s="35"/>
      <c r="K84" s="35"/>
      <c r="L84" s="35"/>
      <c r="M84" s="35"/>
      <c r="N84" s="32" t="e">
        <f>IF(H84=May!$E$2,"N",IF(AND(COUNTIF(B:B,B84)=1,D84&gt;14),"Y","N"))</f>
        <v>#N/A</v>
      </c>
      <c r="O84" s="55" t="str">
        <f>IF(COUNT(May[[#This Row],[Date]])&gt;0,IF(May[[#This Row],[Date]]&gt;14,"Yes","No"),"N/A")</f>
        <v>N/A</v>
      </c>
      <c r="P84" s="55"/>
      <c r="Q84" s="5">
        <f>Relay!A83</f>
        <v>0</v>
      </c>
      <c r="R84" s="5">
        <f>Relay!B83</f>
        <v>82</v>
      </c>
      <c r="S84" s="8">
        <f>IF(May[After the 14th?]="No",SUMIF(May[SysID],R84,May[Pay Amount]),0)+IF(April[After the 14th?]="Yes",SUMIF(April[SysID],R84,April[Pay Amount]),0)</f>
        <v>0</v>
      </c>
      <c r="T84" s="8"/>
      <c r="U84" s="5" t="str">
        <f t="shared" si="5"/>
        <v>N</v>
      </c>
      <c r="X84" s="56"/>
      <c r="Y84" s="56"/>
      <c r="Z84" s="56"/>
      <c r="AA84" s="56"/>
      <c r="AC84" s="56"/>
    </row>
    <row r="85" spans="1:29" x14ac:dyDescent="0.25">
      <c r="A85" s="35"/>
      <c r="B85" s="32" t="e">
        <f>VLOOKUP(A85,Relay!$A$1:$B$50,2,FALSE)</f>
        <v>#N/A</v>
      </c>
      <c r="C85" s="32" t="e">
        <f>VLOOKUP(A85,Relay!$A$2:$C$101,3,FALSE)</f>
        <v>#N/A</v>
      </c>
      <c r="D85" s="39"/>
      <c r="E85" s="35"/>
      <c r="F85" s="58" t="str">
        <f t="shared" si="3"/>
        <v>INS</v>
      </c>
      <c r="G85" s="32" t="e">
        <f>IF(OR(E85="Jeopardy",E85="APP Moonlighting",E85="Differential Pay"),"",May[[#This Row],[SysID]])</f>
        <v>#N/A</v>
      </c>
      <c r="H85" s="32" t="e">
        <f>IF(E85="Jeopardy",IF(C85="MD",Relay!$E$7,Relay!$E$8),IF(C85="MD",IF(COUNTIF(G:G,B85)&gt;1,Relay!$E$2,Relay!$E$1),IF(AND(COUNTIF(G:G,B85)&gt;1,COUNTA(A85)&gt;0),Relay!$E$5,Relay!$E$4)))</f>
        <v>#N/A</v>
      </c>
      <c r="I85" s="8">
        <f t="shared" si="4"/>
        <v>0</v>
      </c>
      <c r="J85" s="35"/>
      <c r="K85" s="35"/>
      <c r="L85" s="35"/>
      <c r="M85" s="35"/>
      <c r="N85" s="32" t="e">
        <f>IF(H85=May!$E$2,"N",IF(AND(COUNTIF(B:B,B85)=1,D85&gt;14),"Y","N"))</f>
        <v>#N/A</v>
      </c>
      <c r="O85" s="55" t="str">
        <f>IF(COUNT(May[[#This Row],[Date]])&gt;0,IF(May[[#This Row],[Date]]&gt;14,"Yes","No"),"N/A")</f>
        <v>N/A</v>
      </c>
      <c r="P85" s="55"/>
      <c r="Q85" s="5">
        <f>Relay!A84</f>
        <v>0</v>
      </c>
      <c r="R85" s="5">
        <f>Relay!B84</f>
        <v>83</v>
      </c>
      <c r="S85" s="8">
        <f>IF(May[After the 14th?]="No",SUMIF(May[SysID],R85,May[Pay Amount]),0)+IF(April[After the 14th?]="Yes",SUMIF(April[SysID],R85,April[Pay Amount]),0)</f>
        <v>0</v>
      </c>
      <c r="T85" s="8"/>
      <c r="U85" s="5" t="str">
        <f t="shared" si="5"/>
        <v>N</v>
      </c>
      <c r="X85" s="56"/>
      <c r="Y85" s="56"/>
      <c r="Z85" s="56"/>
      <c r="AA85" s="56"/>
      <c r="AC85" s="56"/>
    </row>
    <row r="86" spans="1:29" x14ac:dyDescent="0.25">
      <c r="A86" s="35"/>
      <c r="B86" s="32" t="e">
        <f>VLOOKUP(A86,Relay!$A$1:$B$50,2,FALSE)</f>
        <v>#N/A</v>
      </c>
      <c r="C86" s="32" t="e">
        <f>VLOOKUP(A86,Relay!$A$2:$C$101,3,FALSE)</f>
        <v>#N/A</v>
      </c>
      <c r="D86" s="39"/>
      <c r="E86" s="35"/>
      <c r="F86" s="58" t="str">
        <f t="shared" si="3"/>
        <v>INS</v>
      </c>
      <c r="G86" s="32" t="e">
        <f>IF(OR(E86="Jeopardy",E86="APP Moonlighting",E86="Differential Pay"),"",May[[#This Row],[SysID]])</f>
        <v>#N/A</v>
      </c>
      <c r="H86" s="32" t="e">
        <f>IF(E86="Jeopardy",IF(C86="MD",Relay!$E$7,Relay!$E$8),IF(C86="MD",IF(COUNTIF(G:G,B86)&gt;1,Relay!$E$2,Relay!$E$1),IF(AND(COUNTIF(G:G,B86)&gt;1,COUNTA(A86)&gt;0),Relay!$E$5,Relay!$E$4)))</f>
        <v>#N/A</v>
      </c>
      <c r="I86" s="8">
        <f t="shared" si="4"/>
        <v>0</v>
      </c>
      <c r="J86" s="35"/>
      <c r="K86" s="35"/>
      <c r="L86" s="35"/>
      <c r="M86" s="35"/>
      <c r="N86" s="32" t="e">
        <f>IF(H86=May!$E$2,"N",IF(AND(COUNTIF(B:B,B86)=1,D86&gt;14),"Y","N"))</f>
        <v>#N/A</v>
      </c>
      <c r="O86" s="55" t="str">
        <f>IF(COUNT(May[[#This Row],[Date]])&gt;0,IF(May[[#This Row],[Date]]&gt;14,"Yes","No"),"N/A")</f>
        <v>N/A</v>
      </c>
      <c r="P86" s="55"/>
      <c r="Q86" s="5">
        <f>Relay!A85</f>
        <v>0</v>
      </c>
      <c r="R86" s="5">
        <f>Relay!B85</f>
        <v>84</v>
      </c>
      <c r="S86" s="8">
        <f>IF(May[After the 14th?]="No",SUMIF(May[SysID],R86,May[Pay Amount]),0)+IF(April[After the 14th?]="Yes",SUMIF(April[SysID],R86,April[Pay Amount]),0)</f>
        <v>0</v>
      </c>
      <c r="T86" s="8"/>
      <c r="U86" s="5" t="str">
        <f t="shared" si="5"/>
        <v>N</v>
      </c>
      <c r="X86" s="56"/>
      <c r="Y86" s="56"/>
      <c r="Z86" s="56"/>
      <c r="AA86" s="56"/>
      <c r="AC86" s="56"/>
    </row>
    <row r="87" spans="1:29" x14ac:dyDescent="0.25">
      <c r="A87" s="35"/>
      <c r="B87" s="32" t="e">
        <f>VLOOKUP(A87,Relay!$A$1:$B$50,2,FALSE)</f>
        <v>#N/A</v>
      </c>
      <c r="C87" s="32" t="e">
        <f>VLOOKUP(A87,Relay!$A$2:$C$101,3,FALSE)</f>
        <v>#N/A</v>
      </c>
      <c r="D87" s="39"/>
      <c r="E87" s="35"/>
      <c r="F87" s="58" t="str">
        <f t="shared" si="3"/>
        <v>INS</v>
      </c>
      <c r="G87" s="32" t="e">
        <f>IF(OR(E87="Jeopardy",E87="APP Moonlighting",E87="Differential Pay"),"",May[[#This Row],[SysID]])</f>
        <v>#N/A</v>
      </c>
      <c r="H87" s="32" t="e">
        <f>IF(E87="Jeopardy",IF(C87="MD",Relay!$E$7,Relay!$E$8),IF(C87="MD",IF(COUNTIF(G:G,B87)&gt;1,Relay!$E$2,Relay!$E$1),IF(AND(COUNTIF(G:G,B87)&gt;1,COUNTA(A87)&gt;0),Relay!$E$5,Relay!$E$4)))</f>
        <v>#N/A</v>
      </c>
      <c r="I87" s="8">
        <f t="shared" si="4"/>
        <v>0</v>
      </c>
      <c r="J87" s="35"/>
      <c r="K87" s="35"/>
      <c r="L87" s="35"/>
      <c r="M87" s="35"/>
      <c r="N87" s="32" t="e">
        <f>IF(H87=May!$E$2,"N",IF(AND(COUNTIF(B:B,B87)=1,D87&gt;14),"Y","N"))</f>
        <v>#N/A</v>
      </c>
      <c r="O87" s="55" t="str">
        <f>IF(COUNT(May[[#This Row],[Date]])&gt;0,IF(May[[#This Row],[Date]]&gt;14,"Yes","No"),"N/A")</f>
        <v>N/A</v>
      </c>
      <c r="P87" s="55"/>
      <c r="Q87" s="5">
        <f>Relay!A86</f>
        <v>0</v>
      </c>
      <c r="R87" s="5">
        <f>Relay!B86</f>
        <v>85</v>
      </c>
      <c r="S87" s="8">
        <f>IF(May[After the 14th?]="No",SUMIF(May[SysID],R87,May[Pay Amount]),0)+IF(April[After the 14th?]="Yes",SUMIF(April[SysID],R87,April[Pay Amount]),0)</f>
        <v>0</v>
      </c>
      <c r="T87" s="8"/>
      <c r="U87" s="5" t="str">
        <f t="shared" si="5"/>
        <v>N</v>
      </c>
      <c r="X87" s="56"/>
      <c r="Y87" s="56"/>
      <c r="Z87" s="56"/>
      <c r="AA87" s="56"/>
      <c r="AC87" s="56"/>
    </row>
    <row r="88" spans="1:29" x14ac:dyDescent="0.25">
      <c r="A88" s="35"/>
      <c r="B88" s="32" t="e">
        <f>VLOOKUP(A88,Relay!$A$1:$B$50,2,FALSE)</f>
        <v>#N/A</v>
      </c>
      <c r="C88" s="32" t="e">
        <f>VLOOKUP(A88,Relay!$A$2:$C$101,3,FALSE)</f>
        <v>#N/A</v>
      </c>
      <c r="D88" s="39"/>
      <c r="E88" s="35"/>
      <c r="F88" s="58" t="str">
        <f t="shared" si="3"/>
        <v>INS</v>
      </c>
      <c r="G88" s="32" t="e">
        <f>IF(OR(E88="Jeopardy",E88="APP Moonlighting",E88="Differential Pay"),"",May[[#This Row],[SysID]])</f>
        <v>#N/A</v>
      </c>
      <c r="H88" s="32" t="e">
        <f>IF(E88="Jeopardy",IF(C88="MD",Relay!$E$7,Relay!$E$8),IF(C88="MD",IF(COUNTIF(G:G,B88)&gt;1,Relay!$E$2,Relay!$E$1),IF(AND(COUNTIF(G:G,B88)&gt;1,COUNTA(A88)&gt;0),Relay!$E$5,Relay!$E$4)))</f>
        <v>#N/A</v>
      </c>
      <c r="I88" s="8">
        <f t="shared" si="4"/>
        <v>0</v>
      </c>
      <c r="J88" s="35"/>
      <c r="K88" s="35"/>
      <c r="L88" s="35"/>
      <c r="M88" s="35"/>
      <c r="N88" s="32" t="e">
        <f>IF(H88=May!$E$2,"N",IF(AND(COUNTIF(B:B,B88)=1,D88&gt;14),"Y","N"))</f>
        <v>#N/A</v>
      </c>
      <c r="O88" s="55" t="str">
        <f>IF(COUNT(May[[#This Row],[Date]])&gt;0,IF(May[[#This Row],[Date]]&gt;14,"Yes","No"),"N/A")</f>
        <v>N/A</v>
      </c>
      <c r="P88" s="55"/>
      <c r="Q88" s="5">
        <f>Relay!A87</f>
        <v>0</v>
      </c>
      <c r="R88" s="5">
        <f>Relay!B87</f>
        <v>86</v>
      </c>
      <c r="S88" s="8">
        <f>IF(May[After the 14th?]="No",SUMIF(May[SysID],R88,May[Pay Amount]),0)+IF(April[After the 14th?]="Yes",SUMIF(April[SysID],R88,April[Pay Amount]),0)</f>
        <v>0</v>
      </c>
      <c r="T88" s="8"/>
      <c r="U88" s="5" t="str">
        <f t="shared" si="5"/>
        <v>N</v>
      </c>
      <c r="X88" s="56"/>
      <c r="Y88" s="56"/>
      <c r="Z88" s="56"/>
      <c r="AA88" s="56"/>
      <c r="AC88" s="56"/>
    </row>
    <row r="89" spans="1:29" x14ac:dyDescent="0.25">
      <c r="A89" s="35"/>
      <c r="B89" s="32" t="e">
        <f>VLOOKUP(A89,Relay!$A$1:$B$50,2,FALSE)</f>
        <v>#N/A</v>
      </c>
      <c r="C89" s="32" t="e">
        <f>VLOOKUP(A89,Relay!$A$2:$C$101,3,FALSE)</f>
        <v>#N/A</v>
      </c>
      <c r="D89" s="39"/>
      <c r="E89" s="35"/>
      <c r="F89" s="58" t="str">
        <f t="shared" si="3"/>
        <v>INS</v>
      </c>
      <c r="G89" s="32" t="e">
        <f>IF(OR(E89="Jeopardy",E89="APP Moonlighting",E89="Differential Pay"),"",May[[#This Row],[SysID]])</f>
        <v>#N/A</v>
      </c>
      <c r="H89" s="32" t="e">
        <f>IF(E89="Jeopardy",IF(C89="MD",Relay!$E$7,Relay!$E$8),IF(C89="MD",IF(COUNTIF(G:G,B89)&gt;1,Relay!$E$2,Relay!$E$1),IF(AND(COUNTIF(G:G,B89)&gt;1,COUNTA(A89)&gt;0),Relay!$E$5,Relay!$E$4)))</f>
        <v>#N/A</v>
      </c>
      <c r="I89" s="8">
        <f t="shared" si="4"/>
        <v>0</v>
      </c>
      <c r="J89" s="35"/>
      <c r="K89" s="35"/>
      <c r="L89" s="35"/>
      <c r="M89" s="35"/>
      <c r="N89" s="32" t="e">
        <f>IF(H89=May!$E$2,"N",IF(AND(COUNTIF(B:B,B89)=1,D89&gt;14),"Y","N"))</f>
        <v>#N/A</v>
      </c>
      <c r="O89" s="55" t="str">
        <f>IF(COUNT(May[[#This Row],[Date]])&gt;0,IF(May[[#This Row],[Date]]&gt;14,"Yes","No"),"N/A")</f>
        <v>N/A</v>
      </c>
      <c r="P89" s="55"/>
      <c r="Q89" s="5">
        <f>Relay!A88</f>
        <v>0</v>
      </c>
      <c r="R89" s="5">
        <f>Relay!B88</f>
        <v>87</v>
      </c>
      <c r="S89" s="8">
        <f>IF(May[After the 14th?]="No",SUMIF(May[SysID],R89,May[Pay Amount]),0)+IF(April[After the 14th?]="Yes",SUMIF(April[SysID],R89,April[Pay Amount]),0)</f>
        <v>0</v>
      </c>
      <c r="T89" s="8"/>
      <c r="U89" s="5" t="str">
        <f t="shared" si="5"/>
        <v>N</v>
      </c>
      <c r="X89" s="56"/>
      <c r="Y89" s="56"/>
      <c r="Z89" s="56"/>
      <c r="AA89" s="56"/>
      <c r="AC89" s="56"/>
    </row>
    <row r="90" spans="1:29" x14ac:dyDescent="0.25">
      <c r="A90" s="35"/>
      <c r="B90" s="32" t="e">
        <f>VLOOKUP(A90,Relay!$A$1:$B$50,2,FALSE)</f>
        <v>#N/A</v>
      </c>
      <c r="C90" s="32" t="e">
        <f>VLOOKUP(A90,Relay!$A$2:$C$101,3,FALSE)</f>
        <v>#N/A</v>
      </c>
      <c r="D90" s="39"/>
      <c r="E90" s="35"/>
      <c r="F90" s="58" t="str">
        <f t="shared" si="3"/>
        <v>INS</v>
      </c>
      <c r="G90" s="32" t="e">
        <f>IF(OR(E90="Jeopardy",E90="APP Moonlighting",E90="Differential Pay"),"",May[[#This Row],[SysID]])</f>
        <v>#N/A</v>
      </c>
      <c r="H90" s="32" t="e">
        <f>IF(E90="Jeopardy",IF(C90="MD",Relay!$E$7,Relay!$E$8),IF(C90="MD",IF(COUNTIF(G:G,B90)&gt;1,Relay!$E$2,Relay!$E$1),IF(AND(COUNTIF(G:G,B90)&gt;1,COUNTA(A90)&gt;0),Relay!$E$5,Relay!$E$4)))</f>
        <v>#N/A</v>
      </c>
      <c r="I90" s="8">
        <f t="shared" si="4"/>
        <v>0</v>
      </c>
      <c r="J90" s="35"/>
      <c r="K90" s="35"/>
      <c r="L90" s="35"/>
      <c r="M90" s="35"/>
      <c r="N90" s="32" t="e">
        <f>IF(H90=May!$E$2,"N",IF(AND(COUNTIF(B:B,B90)=1,D90&gt;14),"Y","N"))</f>
        <v>#N/A</v>
      </c>
      <c r="O90" s="55" t="str">
        <f>IF(COUNT(May[[#This Row],[Date]])&gt;0,IF(May[[#This Row],[Date]]&gt;14,"Yes","No"),"N/A")</f>
        <v>N/A</v>
      </c>
      <c r="P90" s="55"/>
      <c r="Q90" s="5">
        <f>Relay!A89</f>
        <v>0</v>
      </c>
      <c r="R90" s="5">
        <f>Relay!B89</f>
        <v>88</v>
      </c>
      <c r="S90" s="8">
        <f>IF(May[After the 14th?]="No",SUMIF(May[SysID],R90,May[Pay Amount]),0)+IF(April[After the 14th?]="Yes",SUMIF(April[SysID],R90,April[Pay Amount]),0)</f>
        <v>0</v>
      </c>
      <c r="T90" s="8"/>
      <c r="U90" s="5" t="str">
        <f t="shared" si="5"/>
        <v>N</v>
      </c>
      <c r="X90" s="56"/>
      <c r="Y90" s="56"/>
      <c r="Z90" s="56"/>
      <c r="AA90" s="56"/>
      <c r="AC90" s="56"/>
    </row>
    <row r="91" spans="1:29" x14ac:dyDescent="0.25">
      <c r="A91" s="35"/>
      <c r="B91" s="32" t="e">
        <f>VLOOKUP(A91,Relay!$A$1:$B$50,2,FALSE)</f>
        <v>#N/A</v>
      </c>
      <c r="C91" s="32" t="e">
        <f>VLOOKUP(A91,Relay!$A$2:$C$101,3,FALSE)</f>
        <v>#N/A</v>
      </c>
      <c r="D91" s="39"/>
      <c r="E91" s="35"/>
      <c r="F91" s="58" t="str">
        <f t="shared" si="3"/>
        <v>INS</v>
      </c>
      <c r="G91" s="32" t="e">
        <f>IF(OR(E91="Jeopardy",E91="APP Moonlighting",E91="Differential Pay"),"",May[[#This Row],[SysID]])</f>
        <v>#N/A</v>
      </c>
      <c r="H91" s="32" t="e">
        <f>IF(E91="Jeopardy",IF(C91="MD",Relay!$E$7,Relay!$E$8),IF(C91="MD",IF(COUNTIF(G:G,B91)&gt;1,Relay!$E$2,Relay!$E$1),IF(AND(COUNTIF(G:G,B91)&gt;1,COUNTA(A91)&gt;0),Relay!$E$5,Relay!$E$4)))</f>
        <v>#N/A</v>
      </c>
      <c r="I91" s="8">
        <f t="shared" si="4"/>
        <v>0</v>
      </c>
      <c r="J91" s="35"/>
      <c r="K91" s="35"/>
      <c r="L91" s="35"/>
      <c r="M91" s="35"/>
      <c r="N91" s="32" t="e">
        <f>IF(H91=May!$E$2,"N",IF(AND(COUNTIF(B:B,B91)=1,D91&gt;14),"Y","N"))</f>
        <v>#N/A</v>
      </c>
      <c r="O91" s="55" t="str">
        <f>IF(COUNT(May[[#This Row],[Date]])&gt;0,IF(May[[#This Row],[Date]]&gt;14,"Yes","No"),"N/A")</f>
        <v>N/A</v>
      </c>
      <c r="P91" s="55"/>
      <c r="Q91" s="5">
        <f>Relay!A90</f>
        <v>0</v>
      </c>
      <c r="R91" s="5">
        <f>Relay!B90</f>
        <v>89</v>
      </c>
      <c r="S91" s="8">
        <f>IF(May[After the 14th?]="No",SUMIF(May[SysID],R91,May[Pay Amount]),0)+IF(April[After the 14th?]="Yes",SUMIF(April[SysID],R91,April[Pay Amount]),0)</f>
        <v>0</v>
      </c>
      <c r="T91" s="8"/>
      <c r="U91" s="5" t="str">
        <f t="shared" si="5"/>
        <v>N</v>
      </c>
      <c r="X91" s="56"/>
      <c r="Y91" s="56"/>
      <c r="Z91" s="56"/>
      <c r="AA91" s="56"/>
      <c r="AC91" s="56"/>
    </row>
    <row r="92" spans="1:29" x14ac:dyDescent="0.25">
      <c r="A92" s="35"/>
      <c r="B92" s="32" t="e">
        <f>VLOOKUP(A92,Relay!$A$1:$B$50,2,FALSE)</f>
        <v>#N/A</v>
      </c>
      <c r="C92" s="32" t="e">
        <f>VLOOKUP(A92,Relay!$A$2:$C$101,3,FALSE)</f>
        <v>#N/A</v>
      </c>
      <c r="D92" s="39"/>
      <c r="E92" s="35"/>
      <c r="F92" s="58" t="str">
        <f t="shared" si="3"/>
        <v>INS</v>
      </c>
      <c r="G92" s="32" t="e">
        <f>IF(OR(E92="Jeopardy",E92="APP Moonlighting",E92="Differential Pay"),"",May[[#This Row],[SysID]])</f>
        <v>#N/A</v>
      </c>
      <c r="H92" s="32" t="e">
        <f>IF(E92="Jeopardy",IF(C92="MD",Relay!$E$7,Relay!$E$8),IF(C92="MD",IF(COUNTIF(G:G,B92)&gt;1,Relay!$E$2,Relay!$E$1),IF(AND(COUNTIF(G:G,B92)&gt;1,COUNTA(A92)&gt;0),Relay!$E$5,Relay!$E$4)))</f>
        <v>#N/A</v>
      </c>
      <c r="I92" s="8">
        <f t="shared" si="4"/>
        <v>0</v>
      </c>
      <c r="J92" s="35"/>
      <c r="K92" s="35"/>
      <c r="L92" s="35"/>
      <c r="M92" s="35"/>
      <c r="N92" s="32" t="e">
        <f>IF(H92=May!$E$2,"N",IF(AND(COUNTIF(B:B,B92)=1,D92&gt;14),"Y","N"))</f>
        <v>#N/A</v>
      </c>
      <c r="O92" s="55" t="str">
        <f>IF(COUNT(May[[#This Row],[Date]])&gt;0,IF(May[[#This Row],[Date]]&gt;14,"Yes","No"),"N/A")</f>
        <v>N/A</v>
      </c>
      <c r="P92" s="55"/>
      <c r="Q92" s="5">
        <f>Relay!A91</f>
        <v>0</v>
      </c>
      <c r="R92" s="5">
        <f>Relay!B91</f>
        <v>90</v>
      </c>
      <c r="S92" s="8">
        <f>IF(May[After the 14th?]="No",SUMIF(May[SysID],R92,May[Pay Amount]),0)+IF(April[After the 14th?]="Yes",SUMIF(April[SysID],R92,April[Pay Amount]),0)</f>
        <v>0</v>
      </c>
      <c r="T92" s="8"/>
      <c r="U92" s="5" t="str">
        <f t="shared" si="5"/>
        <v>N</v>
      </c>
      <c r="X92" s="56"/>
      <c r="Y92" s="56"/>
      <c r="Z92" s="56"/>
      <c r="AA92" s="56"/>
      <c r="AC92" s="56"/>
    </row>
    <row r="93" spans="1:29" x14ac:dyDescent="0.25">
      <c r="A93" s="35"/>
      <c r="B93" s="32" t="e">
        <f>VLOOKUP(A93,Relay!$A$1:$B$50,2,FALSE)</f>
        <v>#N/A</v>
      </c>
      <c r="C93" s="32" t="e">
        <f>VLOOKUP(A93,Relay!$A$2:$C$101,3,FALSE)</f>
        <v>#N/A</v>
      </c>
      <c r="D93" s="39"/>
      <c r="E93" s="35"/>
      <c r="F93" s="58" t="str">
        <f t="shared" si="3"/>
        <v>INS</v>
      </c>
      <c r="G93" s="32" t="e">
        <f>IF(OR(E93="Jeopardy",E93="APP Moonlighting",E93="Differential Pay"),"",May[[#This Row],[SysID]])</f>
        <v>#N/A</v>
      </c>
      <c r="H93" s="32" t="e">
        <f>IF(E93="Jeopardy",IF(C93="MD",Relay!$E$7,Relay!$E$8),IF(C93="MD",IF(COUNTIF(G:G,B93)&gt;1,Relay!$E$2,Relay!$E$1),IF(AND(COUNTIF(G:G,B93)&gt;1,COUNTA(A93)&gt;0),Relay!$E$5,Relay!$E$4)))</f>
        <v>#N/A</v>
      </c>
      <c r="I93" s="8">
        <f t="shared" si="4"/>
        <v>0</v>
      </c>
      <c r="J93" s="35"/>
      <c r="K93" s="35"/>
      <c r="L93" s="35"/>
      <c r="M93" s="35"/>
      <c r="N93" s="32" t="e">
        <f>IF(H93=May!$E$2,"N",IF(AND(COUNTIF(B:B,B93)=1,D93&gt;14),"Y","N"))</f>
        <v>#N/A</v>
      </c>
      <c r="O93" s="55" t="str">
        <f>IF(COUNT(May[[#This Row],[Date]])&gt;0,IF(May[[#This Row],[Date]]&gt;14,"Yes","No"),"N/A")</f>
        <v>N/A</v>
      </c>
      <c r="P93" s="55"/>
      <c r="Q93" s="5">
        <f>Relay!A92</f>
        <v>0</v>
      </c>
      <c r="R93" s="5">
        <f>Relay!B92</f>
        <v>91</v>
      </c>
      <c r="S93" s="8">
        <f>IF(May[After the 14th?]="No",SUMIF(May[SysID],R93,May[Pay Amount]),0)+IF(April[After the 14th?]="Yes",SUMIF(April[SysID],R93,April[Pay Amount]),0)</f>
        <v>0</v>
      </c>
      <c r="T93" s="8"/>
      <c r="U93" s="5" t="str">
        <f t="shared" si="5"/>
        <v>N</v>
      </c>
      <c r="X93" s="56"/>
      <c r="Y93" s="56"/>
      <c r="Z93" s="56"/>
      <c r="AA93" s="56"/>
      <c r="AC93" s="56"/>
    </row>
    <row r="94" spans="1:29" x14ac:dyDescent="0.25">
      <c r="A94" s="35"/>
      <c r="B94" s="32" t="e">
        <f>VLOOKUP(A94,Relay!$A$1:$B$50,2,FALSE)</f>
        <v>#N/A</v>
      </c>
      <c r="C94" s="32" t="e">
        <f>VLOOKUP(A94,Relay!$A$2:$C$101,3,FALSE)</f>
        <v>#N/A</v>
      </c>
      <c r="D94" s="39"/>
      <c r="E94" s="35"/>
      <c r="F94" s="58" t="str">
        <f t="shared" si="3"/>
        <v>INS</v>
      </c>
      <c r="G94" s="32" t="e">
        <f>IF(OR(E94="Jeopardy",E94="APP Moonlighting",E94="Differential Pay"),"",May[[#This Row],[SysID]])</f>
        <v>#N/A</v>
      </c>
      <c r="H94" s="32" t="e">
        <f>IF(E94="Jeopardy",IF(C94="MD",Relay!$E$7,Relay!$E$8),IF(C94="MD",IF(COUNTIF(G:G,B94)&gt;1,Relay!$E$2,Relay!$E$1),IF(AND(COUNTIF(G:G,B94)&gt;1,COUNTA(A94)&gt;0),Relay!$E$5,Relay!$E$4)))</f>
        <v>#N/A</v>
      </c>
      <c r="I94" s="8">
        <f t="shared" si="4"/>
        <v>0</v>
      </c>
      <c r="J94" s="35"/>
      <c r="K94" s="35"/>
      <c r="L94" s="35"/>
      <c r="M94" s="35"/>
      <c r="N94" s="32" t="e">
        <f>IF(H94=May!$E$2,"N",IF(AND(COUNTIF(B:B,B94)=1,D94&gt;14),"Y","N"))</f>
        <v>#N/A</v>
      </c>
      <c r="O94" s="55" t="str">
        <f>IF(COUNT(May[[#This Row],[Date]])&gt;0,IF(May[[#This Row],[Date]]&gt;14,"Yes","No"),"N/A")</f>
        <v>N/A</v>
      </c>
      <c r="P94" s="55"/>
      <c r="Q94" s="5">
        <f>Relay!A93</f>
        <v>0</v>
      </c>
      <c r="R94" s="5">
        <f>Relay!B93</f>
        <v>92</v>
      </c>
      <c r="S94" s="8">
        <f>IF(May[After the 14th?]="No",SUMIF(May[SysID],R94,May[Pay Amount]),0)+IF(April[After the 14th?]="Yes",SUMIF(April[SysID],R94,April[Pay Amount]),0)</f>
        <v>0</v>
      </c>
      <c r="T94" s="8"/>
      <c r="U94" s="5" t="str">
        <f t="shared" si="5"/>
        <v>N</v>
      </c>
      <c r="X94" s="56"/>
      <c r="Y94" s="56"/>
      <c r="Z94" s="56"/>
      <c r="AA94" s="56"/>
      <c r="AC94" s="56"/>
    </row>
    <row r="95" spans="1:29" x14ac:dyDescent="0.25">
      <c r="A95" s="35"/>
      <c r="B95" s="32" t="e">
        <f>VLOOKUP(A95,Relay!$A$1:$B$50,2,FALSE)</f>
        <v>#N/A</v>
      </c>
      <c r="C95" s="32" t="e">
        <f>VLOOKUP(A95,Relay!$A$2:$C$101,3,FALSE)</f>
        <v>#N/A</v>
      </c>
      <c r="D95" s="39"/>
      <c r="E95" s="35"/>
      <c r="F95" s="58" t="str">
        <f t="shared" si="3"/>
        <v>INS</v>
      </c>
      <c r="G95" s="32" t="e">
        <f>IF(OR(E95="Jeopardy",E95="APP Moonlighting",E95="Differential Pay"),"",May[[#This Row],[SysID]])</f>
        <v>#N/A</v>
      </c>
      <c r="H95" s="32" t="e">
        <f>IF(E95="Jeopardy",IF(C95="MD",Relay!$E$7,Relay!$E$8),IF(C95="MD",IF(COUNTIF(G:G,B95)&gt;1,Relay!$E$2,Relay!$E$1),IF(AND(COUNTIF(G:G,B95)&gt;1,COUNTA(A95)&gt;0),Relay!$E$5,Relay!$E$4)))</f>
        <v>#N/A</v>
      </c>
      <c r="I95" s="8">
        <f t="shared" si="4"/>
        <v>0</v>
      </c>
      <c r="J95" s="35"/>
      <c r="K95" s="35"/>
      <c r="L95" s="35"/>
      <c r="M95" s="35"/>
      <c r="N95" s="32" t="e">
        <f>IF(H95=May!$E$2,"N",IF(AND(COUNTIF(B:B,B95)=1,D95&gt;14),"Y","N"))</f>
        <v>#N/A</v>
      </c>
      <c r="O95" s="55" t="str">
        <f>IF(COUNT(May[[#This Row],[Date]])&gt;0,IF(May[[#This Row],[Date]]&gt;14,"Yes","No"),"N/A")</f>
        <v>N/A</v>
      </c>
      <c r="P95" s="55"/>
      <c r="Q95" s="5">
        <f>Relay!A94</f>
        <v>0</v>
      </c>
      <c r="R95" s="5">
        <f>Relay!B94</f>
        <v>93</v>
      </c>
      <c r="S95" s="8">
        <f>IF(May[After the 14th?]="No",SUMIF(May[SysID],R95,May[Pay Amount]),0)+IF(April[After the 14th?]="Yes",SUMIF(April[SysID],R95,April[Pay Amount]),0)</f>
        <v>0</v>
      </c>
      <c r="T95" s="8"/>
      <c r="U95" s="5" t="str">
        <f t="shared" si="5"/>
        <v>N</v>
      </c>
      <c r="X95" s="56"/>
      <c r="Y95" s="56"/>
      <c r="Z95" s="56"/>
      <c r="AA95" s="56"/>
      <c r="AC95" s="56"/>
    </row>
    <row r="96" spans="1:29" x14ac:dyDescent="0.25">
      <c r="A96" s="35"/>
      <c r="B96" s="32" t="e">
        <f>VLOOKUP(A96,Relay!$A$1:$B$50,2,FALSE)</f>
        <v>#N/A</v>
      </c>
      <c r="C96" s="32" t="e">
        <f>VLOOKUP(A96,Relay!$A$2:$C$101,3,FALSE)</f>
        <v>#N/A</v>
      </c>
      <c r="D96" s="39"/>
      <c r="E96" s="35"/>
      <c r="F96" s="58" t="str">
        <f t="shared" si="3"/>
        <v>INS</v>
      </c>
      <c r="G96" s="32" t="e">
        <f>IF(OR(E96="Jeopardy",E96="APP Moonlighting",E96="Differential Pay"),"",May[[#This Row],[SysID]])</f>
        <v>#N/A</v>
      </c>
      <c r="H96" s="32" t="e">
        <f>IF(E96="Jeopardy",IF(C96="MD",Relay!$E$7,Relay!$E$8),IF(C96="MD",IF(COUNTIF(G:G,B96)&gt;1,Relay!$E$2,Relay!$E$1),IF(AND(COUNTIF(G:G,B96)&gt;1,COUNTA(A96)&gt;0),Relay!$E$5,Relay!$E$4)))</f>
        <v>#N/A</v>
      </c>
      <c r="I96" s="8">
        <f t="shared" si="4"/>
        <v>0</v>
      </c>
      <c r="J96" s="35"/>
      <c r="K96" s="35"/>
      <c r="L96" s="35"/>
      <c r="M96" s="35"/>
      <c r="N96" s="32" t="e">
        <f>IF(H96=May!$E$2,"N",IF(AND(COUNTIF(B:B,B96)=1,D96&gt;14),"Y","N"))</f>
        <v>#N/A</v>
      </c>
      <c r="O96" s="55" t="str">
        <f>IF(COUNT(May[[#This Row],[Date]])&gt;0,IF(May[[#This Row],[Date]]&gt;14,"Yes","No"),"N/A")</f>
        <v>N/A</v>
      </c>
      <c r="P96" s="55"/>
      <c r="Q96" s="5">
        <f>Relay!A95</f>
        <v>0</v>
      </c>
      <c r="R96" s="5">
        <f>Relay!B95</f>
        <v>94</v>
      </c>
      <c r="S96" s="8">
        <f>IF(May[After the 14th?]="No",SUMIF(May[SysID],R96,May[Pay Amount]),0)+IF(April[After the 14th?]="Yes",SUMIF(April[SysID],R96,April[Pay Amount]),0)</f>
        <v>0</v>
      </c>
      <c r="T96" s="8"/>
      <c r="U96" s="5" t="str">
        <f t="shared" si="5"/>
        <v>N</v>
      </c>
      <c r="X96" s="56"/>
      <c r="Y96" s="56"/>
      <c r="Z96" s="56"/>
      <c r="AA96" s="56"/>
      <c r="AC96" s="56"/>
    </row>
    <row r="97" spans="1:29" x14ac:dyDescent="0.25">
      <c r="A97" s="35"/>
      <c r="B97" s="32" t="e">
        <f>VLOOKUP(A97,Relay!$A$1:$B$50,2,FALSE)</f>
        <v>#N/A</v>
      </c>
      <c r="C97" s="32" t="e">
        <f>VLOOKUP(A97,Relay!$A$2:$C$101,3,FALSE)</f>
        <v>#N/A</v>
      </c>
      <c r="D97" s="39"/>
      <c r="E97" s="35"/>
      <c r="F97" s="58" t="str">
        <f t="shared" si="3"/>
        <v>INS</v>
      </c>
      <c r="G97" s="32" t="e">
        <f>IF(OR(E97="Jeopardy",E97="APP Moonlighting",E97="Differential Pay"),"",May[[#This Row],[SysID]])</f>
        <v>#N/A</v>
      </c>
      <c r="H97" s="32" t="e">
        <f>IF(E97="Jeopardy",IF(C97="MD",Relay!$E$7,Relay!$E$8),IF(C97="MD",IF(COUNTIF(G:G,B97)&gt;1,Relay!$E$2,Relay!$E$1),IF(AND(COUNTIF(G:G,B97)&gt;1,COUNTA(A97)&gt;0),Relay!$E$5,Relay!$E$4)))</f>
        <v>#N/A</v>
      </c>
      <c r="I97" s="8">
        <f t="shared" si="4"/>
        <v>0</v>
      </c>
      <c r="J97" s="35"/>
      <c r="K97" s="35"/>
      <c r="L97" s="35"/>
      <c r="M97" s="35"/>
      <c r="N97" s="32" t="e">
        <f>IF(H97=May!$E$2,"N",IF(AND(COUNTIF(B:B,B97)=1,D97&gt;14),"Y","N"))</f>
        <v>#N/A</v>
      </c>
      <c r="O97" s="55" t="str">
        <f>IF(COUNT(May[[#This Row],[Date]])&gt;0,IF(May[[#This Row],[Date]]&gt;14,"Yes","No"),"N/A")</f>
        <v>N/A</v>
      </c>
      <c r="P97" s="55"/>
      <c r="Q97" s="5">
        <f>Relay!A96</f>
        <v>0</v>
      </c>
      <c r="R97" s="5">
        <f>Relay!B96</f>
        <v>95</v>
      </c>
      <c r="S97" s="8">
        <f>IF(May[After the 14th?]="No",SUMIF(May[SysID],R97,May[Pay Amount]),0)+IF(April[After the 14th?]="Yes",SUMIF(April[SysID],R97,April[Pay Amount]),0)</f>
        <v>0</v>
      </c>
      <c r="T97" s="8"/>
      <c r="U97" s="5" t="str">
        <f t="shared" si="5"/>
        <v>N</v>
      </c>
      <c r="X97" s="56"/>
      <c r="Y97" s="56"/>
      <c r="Z97" s="56"/>
      <c r="AA97" s="56"/>
      <c r="AC97" s="56"/>
    </row>
    <row r="98" spans="1:29" x14ac:dyDescent="0.25">
      <c r="A98" s="35"/>
      <c r="B98" s="32" t="e">
        <f>VLOOKUP(A98,Relay!$A$1:$B$50,2,FALSE)</f>
        <v>#N/A</v>
      </c>
      <c r="C98" s="32" t="e">
        <f>VLOOKUP(A98,Relay!$A$2:$C$101,3,FALSE)</f>
        <v>#N/A</v>
      </c>
      <c r="D98" s="39"/>
      <c r="E98" s="35"/>
      <c r="F98" s="58" t="str">
        <f t="shared" si="3"/>
        <v>INS</v>
      </c>
      <c r="G98" s="32" t="e">
        <f>IF(OR(E98="Jeopardy",E98="APP Moonlighting",E98="Differential Pay"),"",May[[#This Row],[SysID]])</f>
        <v>#N/A</v>
      </c>
      <c r="H98" s="32" t="e">
        <f>IF(E98="Jeopardy",IF(C98="MD",Relay!$E$7,Relay!$E$8),IF(C98="MD",IF(COUNTIF(G:G,B98)&gt;1,Relay!$E$2,Relay!$E$1),IF(AND(COUNTIF(G:G,B98)&gt;1,COUNTA(A98)&gt;0),Relay!$E$5,Relay!$E$4)))</f>
        <v>#N/A</v>
      </c>
      <c r="I98" s="8">
        <f t="shared" si="4"/>
        <v>0</v>
      </c>
      <c r="J98" s="35"/>
      <c r="K98" s="35"/>
      <c r="L98" s="35"/>
      <c r="M98" s="35"/>
      <c r="N98" s="32" t="e">
        <f>IF(H98=May!$E$2,"N",IF(AND(COUNTIF(B:B,B98)=1,D98&gt;14),"Y","N"))</f>
        <v>#N/A</v>
      </c>
      <c r="O98" s="55" t="str">
        <f>IF(COUNT(May[[#This Row],[Date]])&gt;0,IF(May[[#This Row],[Date]]&gt;14,"Yes","No"),"N/A")</f>
        <v>N/A</v>
      </c>
      <c r="P98" s="55"/>
      <c r="Q98" s="5">
        <f>Relay!A97</f>
        <v>0</v>
      </c>
      <c r="R98" s="5">
        <f>Relay!B97</f>
        <v>96</v>
      </c>
      <c r="S98" s="8">
        <f>IF(May[After the 14th?]="No",SUMIF(May[SysID],R98,May[Pay Amount]),0)+IF(April[After the 14th?]="Yes",SUMIF(April[SysID],R98,April[Pay Amount]),0)</f>
        <v>0</v>
      </c>
      <c r="T98" s="8"/>
      <c r="U98" s="5" t="str">
        <f t="shared" si="5"/>
        <v>N</v>
      </c>
      <c r="X98" s="56"/>
      <c r="Y98" s="56"/>
      <c r="Z98" s="56"/>
      <c r="AA98" s="56"/>
      <c r="AC98" s="56"/>
    </row>
    <row r="99" spans="1:29" x14ac:dyDescent="0.25">
      <c r="A99" s="35"/>
      <c r="B99" s="32" t="e">
        <f>VLOOKUP(A99,Relay!$A$1:$B$50,2,FALSE)</f>
        <v>#N/A</v>
      </c>
      <c r="C99" s="32" t="e">
        <f>VLOOKUP(A99,Relay!$A$2:$C$101,3,FALSE)</f>
        <v>#N/A</v>
      </c>
      <c r="D99" s="39"/>
      <c r="E99" s="35"/>
      <c r="F99" s="58" t="str">
        <f t="shared" si="3"/>
        <v>INS</v>
      </c>
      <c r="G99" s="32" t="e">
        <f>IF(OR(E99="Jeopardy",E99="APP Moonlighting",E99="Differential Pay"),"",May[[#This Row],[SysID]])</f>
        <v>#N/A</v>
      </c>
      <c r="H99" s="32" t="e">
        <f>IF(E99="Jeopardy",IF(C99="MD",Relay!$E$7,Relay!$E$8),IF(C99="MD",IF(COUNTIF(G:G,B99)&gt;1,Relay!$E$2,Relay!$E$1),IF(AND(COUNTIF(G:G,B99)&gt;1,COUNTA(A99)&gt;0),Relay!$E$5,Relay!$E$4)))</f>
        <v>#N/A</v>
      </c>
      <c r="I99" s="8">
        <f t="shared" si="4"/>
        <v>0</v>
      </c>
      <c r="J99" s="35"/>
      <c r="K99" s="35"/>
      <c r="L99" s="35"/>
      <c r="M99" s="35"/>
      <c r="N99" s="32" t="e">
        <f>IF(H99=May!$E$2,"N",IF(AND(COUNTIF(B:B,B99)=1,D99&gt;14),"Y","N"))</f>
        <v>#N/A</v>
      </c>
      <c r="O99" s="55" t="str">
        <f>IF(COUNT(May[[#This Row],[Date]])&gt;0,IF(May[[#This Row],[Date]]&gt;14,"Yes","No"),"N/A")</f>
        <v>N/A</v>
      </c>
      <c r="P99" s="55"/>
      <c r="Q99" s="5">
        <f>Relay!A98</f>
        <v>0</v>
      </c>
      <c r="R99" s="5">
        <f>Relay!B98</f>
        <v>97</v>
      </c>
      <c r="S99" s="8">
        <f>IF(May[After the 14th?]="No",SUMIF(May[SysID],R99,May[Pay Amount]),0)+IF(April[After the 14th?]="Yes",SUMIF(April[SysID],R99,April[Pay Amount]),0)</f>
        <v>0</v>
      </c>
      <c r="T99" s="8"/>
      <c r="U99" s="5" t="str">
        <f t="shared" si="5"/>
        <v>N</v>
      </c>
      <c r="X99" s="56"/>
      <c r="Y99" s="56"/>
      <c r="Z99" s="56"/>
      <c r="AA99" s="56"/>
      <c r="AC99" s="56"/>
    </row>
    <row r="100" spans="1:29" x14ac:dyDescent="0.25">
      <c r="A100" s="35"/>
      <c r="B100" s="32" t="e">
        <f>VLOOKUP(A100,Relay!$A$1:$B$50,2,FALSE)</f>
        <v>#N/A</v>
      </c>
      <c r="C100" s="32" t="e">
        <f>VLOOKUP(A100,Relay!$A$2:$C$101,3,FALSE)</f>
        <v>#N/A</v>
      </c>
      <c r="D100" s="39"/>
      <c r="E100" s="35"/>
      <c r="F100" s="58" t="str">
        <f t="shared" si="3"/>
        <v>INS</v>
      </c>
      <c r="G100" s="32" t="e">
        <f>IF(OR(E100="Jeopardy",E100="APP Moonlighting",E100="Differential Pay"),"",May[[#This Row],[SysID]])</f>
        <v>#N/A</v>
      </c>
      <c r="H100" s="32" t="e">
        <f>IF(E100="Jeopardy",IF(C100="MD",Relay!$E$7,Relay!$E$8),IF(C100="MD",IF(COUNTIF(G:G,B100)&gt;1,Relay!$E$2,Relay!$E$1),IF(AND(COUNTIF(G:G,B100)&gt;1,COUNTA(A100)&gt;0),Relay!$E$5,Relay!$E$4)))</f>
        <v>#N/A</v>
      </c>
      <c r="I100" s="8">
        <f t="shared" si="4"/>
        <v>0</v>
      </c>
      <c r="J100" s="35"/>
      <c r="K100" s="35"/>
      <c r="L100" s="35"/>
      <c r="M100" s="35"/>
      <c r="N100" s="32" t="e">
        <f>IF(H100=May!$E$2,"N",IF(AND(COUNTIF(B:B,B100)=1,D100&gt;14),"Y","N"))</f>
        <v>#N/A</v>
      </c>
      <c r="O100" s="55" t="str">
        <f>IF(COUNT(May[[#This Row],[Date]])&gt;0,IF(May[[#This Row],[Date]]&gt;14,"Yes","No"),"N/A")</f>
        <v>N/A</v>
      </c>
      <c r="P100" s="55"/>
      <c r="Q100" s="5">
        <f>Relay!A99</f>
        <v>0</v>
      </c>
      <c r="R100" s="5">
        <f>Relay!B99</f>
        <v>98</v>
      </c>
      <c r="S100" s="8">
        <f>IF(May[After the 14th?]="No",SUMIF(May[SysID],R100,May[Pay Amount]),0)+IF(April[After the 14th?]="Yes",SUMIF(April[SysID],R100,April[Pay Amount]),0)</f>
        <v>0</v>
      </c>
      <c r="T100" s="8"/>
      <c r="U100" s="5" t="str">
        <f t="shared" si="5"/>
        <v>N</v>
      </c>
      <c r="X100" s="56"/>
      <c r="Y100" s="56"/>
      <c r="Z100" s="56"/>
      <c r="AA100" s="56"/>
      <c r="AC100" s="56"/>
    </row>
    <row r="101" spans="1:29" x14ac:dyDescent="0.25">
      <c r="A101" s="35"/>
      <c r="B101" s="32" t="e">
        <f>VLOOKUP(A101,Relay!$A$1:$B$50,2,FALSE)</f>
        <v>#N/A</v>
      </c>
      <c r="C101" s="32" t="e">
        <f>VLOOKUP(A101,Relay!$A$2:$C$101,3,FALSE)</f>
        <v>#N/A</v>
      </c>
      <c r="D101" s="39"/>
      <c r="E101" s="35"/>
      <c r="F101" s="58" t="str">
        <f t="shared" si="3"/>
        <v>INS</v>
      </c>
      <c r="G101" s="32" t="e">
        <f>IF(OR(E101="Jeopardy",E101="APP Moonlighting",E101="Differential Pay"),"",May[[#This Row],[SysID]])</f>
        <v>#N/A</v>
      </c>
      <c r="H101" s="32" t="e">
        <f>IF(E101="Jeopardy",IF(C101="MD",Relay!$E$7,Relay!$E$8),IF(C101="MD",IF(COUNTIF(G:G,B101)&gt;1,Relay!$E$2,Relay!$E$1),IF(AND(COUNTIF(G:G,B101)&gt;1,COUNTA(A101)&gt;0),Relay!$E$5,Relay!$E$4)))</f>
        <v>#N/A</v>
      </c>
      <c r="I101" s="8">
        <f t="shared" si="4"/>
        <v>0</v>
      </c>
      <c r="J101" s="35"/>
      <c r="K101" s="35"/>
      <c r="L101" s="35"/>
      <c r="M101" s="35"/>
      <c r="N101" s="32" t="e">
        <f>IF(H101=May!$E$2,"N",IF(AND(COUNTIF(B:B,B101)=1,D101&gt;14),"Y","N"))</f>
        <v>#N/A</v>
      </c>
      <c r="O101" s="55" t="str">
        <f>IF(COUNT(May[[#This Row],[Date]])&gt;0,IF(May[[#This Row],[Date]]&gt;14,"Yes","No"),"N/A")</f>
        <v>N/A</v>
      </c>
      <c r="P101" s="55"/>
      <c r="Q101" s="5">
        <f>Relay!A100</f>
        <v>0</v>
      </c>
      <c r="R101" s="5">
        <f>Relay!B100</f>
        <v>99</v>
      </c>
      <c r="S101" s="8">
        <f>IF(May[After the 14th?]="No",SUMIF(May[SysID],R101,May[Pay Amount]),0)+IF(April[After the 14th?]="Yes",SUMIF(April[SysID],R101,April[Pay Amount]),0)</f>
        <v>0</v>
      </c>
      <c r="T101" s="8"/>
      <c r="U101" s="5" t="str">
        <f t="shared" si="5"/>
        <v>N</v>
      </c>
      <c r="X101" s="56"/>
      <c r="Y101" s="56"/>
      <c r="Z101" s="56"/>
      <c r="AA101" s="56"/>
      <c r="AC101" s="56"/>
    </row>
    <row r="102" spans="1:29" x14ac:dyDescent="0.25">
      <c r="A102" s="35"/>
      <c r="B102" s="32" t="e">
        <f>VLOOKUP(A102,Relay!$A$1:$B$50,2,FALSE)</f>
        <v>#N/A</v>
      </c>
      <c r="C102" s="32" t="e">
        <f>VLOOKUP(A102,Relay!$A$2:$C$101,3,FALSE)</f>
        <v>#N/A</v>
      </c>
      <c r="D102" s="39"/>
      <c r="E102" s="35"/>
      <c r="F102" s="58" t="str">
        <f t="shared" si="3"/>
        <v>INS</v>
      </c>
      <c r="G102" s="32" t="e">
        <f>IF(OR(E102="Jeopardy",E102="APP Moonlighting",E102="Differential Pay"),"",May[[#This Row],[SysID]])</f>
        <v>#N/A</v>
      </c>
      <c r="H102" s="32" t="e">
        <f>IF(E102="Jeopardy",IF(C102="MD",Relay!$E$7,Relay!$E$8),IF(C102="MD",IF(COUNTIF(G:G,B102)&gt;1,Relay!$E$2,Relay!$E$1),IF(AND(COUNTIF(G:G,B102)&gt;1,COUNTA(A102)&gt;0),Relay!$E$5,Relay!$E$4)))</f>
        <v>#N/A</v>
      </c>
      <c r="I102" s="8">
        <f t="shared" si="4"/>
        <v>0</v>
      </c>
      <c r="J102" s="35"/>
      <c r="K102" s="35"/>
      <c r="L102" s="35"/>
      <c r="M102" s="35"/>
      <c r="N102" s="32" t="e">
        <f>IF(H102=May!$E$2,"N",IF(AND(COUNTIF(B:B,B102)=1,D102&gt;14),"Y","N"))</f>
        <v>#N/A</v>
      </c>
      <c r="O102" s="55" t="str">
        <f>IF(COUNT(May[[#This Row],[Date]])&gt;0,IF(May[[#This Row],[Date]]&gt;14,"Yes","No"),"N/A")</f>
        <v>N/A</v>
      </c>
      <c r="P102" s="55"/>
      <c r="Q102" s="5">
        <f>Relay!A101</f>
        <v>0</v>
      </c>
      <c r="R102" s="5">
        <f>Relay!B101</f>
        <v>100</v>
      </c>
      <c r="S102" s="8">
        <f>IF(May[After the 14th?]="No",SUMIF(May[SysID],R102,May[Pay Amount]),0)+IF(April[After the 14th?]="Yes",SUMIF(April[SysID],R102,April[Pay Amount]),0)</f>
        <v>0</v>
      </c>
      <c r="T102" s="8"/>
      <c r="U102" s="5" t="str">
        <f t="shared" si="5"/>
        <v>N</v>
      </c>
      <c r="X102" s="56"/>
      <c r="Y102" s="56"/>
      <c r="Z102" s="56"/>
      <c r="AA102" s="56"/>
      <c r="AC102" s="56"/>
    </row>
    <row r="103" spans="1:29" x14ac:dyDescent="0.25">
      <c r="A103" s="35"/>
      <c r="B103" s="32" t="e">
        <f>VLOOKUP(A103,Relay!$A$1:$B$50,2,FALSE)</f>
        <v>#N/A</v>
      </c>
      <c r="C103" s="32" t="e">
        <f>VLOOKUP(A103,Relay!$A$2:$C$101,3,FALSE)</f>
        <v>#N/A</v>
      </c>
      <c r="D103" s="39"/>
      <c r="E103" s="35"/>
      <c r="F103" s="58" t="str">
        <f t="shared" si="3"/>
        <v>INS</v>
      </c>
      <c r="G103" s="32" t="e">
        <f>IF(OR(E103="Jeopardy",E103="APP Moonlighting",E103="Differential Pay"),"",May[[#This Row],[SysID]])</f>
        <v>#N/A</v>
      </c>
      <c r="H103" s="32" t="e">
        <f>IF(E103="Jeopardy",IF(C103="MD",Relay!$E$7,Relay!$E$8),IF(C103="MD",IF(COUNTIF(G:G,B103)&gt;1,Relay!$E$2,Relay!$E$1),IF(AND(COUNTIF(G:G,B103)&gt;1,COUNTA(A103)&gt;0),Relay!$E$5,Relay!$E$4)))</f>
        <v>#N/A</v>
      </c>
      <c r="I103" s="8">
        <f t="shared" si="4"/>
        <v>0</v>
      </c>
      <c r="J103" s="35"/>
      <c r="K103" s="35"/>
      <c r="L103" s="35"/>
      <c r="M103" s="35"/>
      <c r="N103" s="32" t="e">
        <f>IF(H103=May!$E$2,"N",IF(AND(COUNTIF(B:B,B103)=1,D103&gt;14),"Y","N"))</f>
        <v>#N/A</v>
      </c>
      <c r="O103" s="55" t="str">
        <f>IF(COUNT(May[[#This Row],[Date]])&gt;0,IF(May[[#This Row],[Date]]&gt;14,"Yes","No"),"N/A")</f>
        <v>N/A</v>
      </c>
      <c r="P103" s="55"/>
      <c r="Q103">
        <f>Relay!A102</f>
        <v>0</v>
      </c>
      <c r="R103">
        <f>Relay!B102</f>
        <v>0</v>
      </c>
      <c r="S103" s="9">
        <f>IF(May[After the 14th?]="No",SUMIF(May[SysID],R103,May[Pay Amount]),0)+IF(April[After the 14th?]="Yes",SUMIF(April[SysID],R103,April[Pay Amount]),0)</f>
        <v>0</v>
      </c>
      <c r="U103" s="5" t="str">
        <f t="shared" si="5"/>
        <v>N</v>
      </c>
      <c r="X103" s="56"/>
      <c r="Y103" s="56"/>
      <c r="Z103" s="56"/>
      <c r="AA103" s="56"/>
      <c r="AC103" s="56"/>
    </row>
  </sheetData>
  <conditionalFormatting sqref="N1:N1048576">
    <cfRule type="containsText" dxfId="79" priority="6" operator="containsText" text="Y">
      <formula>NOT(ISERROR(SEARCH("Y",N1)))</formula>
    </cfRule>
  </conditionalFormatting>
  <conditionalFormatting sqref="F1:G1048576">
    <cfRule type="containsText" dxfId="78" priority="5" operator="containsText" text="INS">
      <formula>NOT(ISERROR(SEARCH("INS",F1)))</formula>
    </cfRule>
  </conditionalFormatting>
  <conditionalFormatting sqref="O1:O1048576">
    <cfRule type="containsText" dxfId="77" priority="2" operator="containsText" text="yes">
      <formula>NOT(ISERROR(SEARCH("yes",O1)))</formula>
    </cfRule>
    <cfRule type="containsText" dxfId="76" priority="3" operator="containsText" text="no">
      <formula>NOT(ISERROR(SEARCH("no",O1)))</formula>
    </cfRule>
    <cfRule type="containsText" dxfId="75" priority="4" operator="containsText" text="/">
      <formula>NOT(ISERROR(SEARCH("/",O1)))</formula>
    </cfRule>
  </conditionalFormatting>
  <conditionalFormatting sqref="U1:U1048576">
    <cfRule type="containsText" dxfId="74" priority="1" operator="containsText" text="Y">
      <formula>NOT(ISERROR(SEARCH("Y",U1)))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Relay!$A$2:$A$101</xm:f>
          </x14:formula1>
          <xm:sqref>A3:A103</xm:sqref>
        </x14:dataValidation>
        <x14:dataValidation type="list" allowBlank="1" showInputMessage="1" showErrorMessage="1">
          <x14:formula1>
            <xm:f>Relay!$D$11:$D$16</xm:f>
          </x14:formula1>
          <xm:sqref>E3:E103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103"/>
  <sheetViews>
    <sheetView workbookViewId="0">
      <selection activeCell="G18" sqref="G18"/>
    </sheetView>
  </sheetViews>
  <sheetFormatPr defaultRowHeight="15" x14ac:dyDescent="0.25"/>
  <cols>
    <col min="1" max="1" width="21.7109375" style="36" customWidth="1"/>
    <col min="2" max="2" width="9.140625" hidden="1" customWidth="1"/>
    <col min="3" max="3" width="12.85546875" bestFit="1" customWidth="1"/>
    <col min="4" max="4" width="10.7109375" style="40" bestFit="1" customWidth="1"/>
    <col min="5" max="5" width="12.85546875" style="36" bestFit="1" customWidth="1"/>
    <col min="6" max="6" width="12.85546875" style="36" customWidth="1"/>
    <col min="7" max="7" width="12.85546875" customWidth="1"/>
    <col min="8" max="8" width="10.7109375" customWidth="1"/>
    <col min="9" max="9" width="15.5703125" style="9" bestFit="1" customWidth="1"/>
    <col min="10" max="10" width="9.140625" style="36" customWidth="1"/>
    <col min="11" max="11" width="13.140625" style="36" bestFit="1" customWidth="1"/>
    <col min="12" max="12" width="15.5703125" style="36" bestFit="1" customWidth="1"/>
    <col min="13" max="13" width="14.140625" style="36" bestFit="1" customWidth="1"/>
    <col min="14" max="14" width="19.5703125" hidden="1" customWidth="1"/>
    <col min="15" max="16" width="17" customWidth="1"/>
    <col min="17" max="17" width="16.42578125" customWidth="1"/>
    <col min="19" max="19" width="20.85546875" style="9" bestFit="1" customWidth="1"/>
    <col min="20" max="20" width="16.28515625" style="9" bestFit="1" customWidth="1"/>
    <col min="21" max="21" width="9.140625" style="5"/>
    <col min="22" max="22" width="14.28515625" bestFit="1" customWidth="1"/>
    <col min="23" max="23" width="21.7109375" customWidth="1"/>
    <col min="27" max="27" width="12.85546875" bestFit="1" customWidth="1"/>
    <col min="28" max="28" width="9" style="9" bestFit="1" customWidth="1"/>
    <col min="29" max="29" width="8.42578125" bestFit="1" customWidth="1"/>
    <col min="30" max="30" width="10.42578125" style="9" bestFit="1" customWidth="1"/>
  </cols>
  <sheetData>
    <row r="1" spans="1:30" s="3" customFormat="1" x14ac:dyDescent="0.25">
      <c r="A1" s="33" t="s">
        <v>60</v>
      </c>
      <c r="D1" s="37"/>
      <c r="E1" s="41"/>
      <c r="F1" s="41"/>
      <c r="I1" s="6"/>
      <c r="J1" s="41"/>
      <c r="K1" s="41"/>
      <c r="L1" s="41"/>
      <c r="M1" s="41"/>
      <c r="Q1" s="2" t="s">
        <v>14</v>
      </c>
      <c r="S1" s="6"/>
      <c r="T1" s="6"/>
      <c r="U1" s="71"/>
      <c r="V1" s="2"/>
      <c r="AB1" s="6"/>
      <c r="AD1" s="6"/>
    </row>
    <row r="2" spans="1:30" x14ac:dyDescent="0.25">
      <c r="A2" s="34" t="s">
        <v>3</v>
      </c>
      <c r="B2" s="4" t="s">
        <v>2</v>
      </c>
      <c r="C2" s="4" t="s">
        <v>4</v>
      </c>
      <c r="D2" s="38" t="s">
        <v>1</v>
      </c>
      <c r="E2" s="34" t="s">
        <v>5</v>
      </c>
      <c r="F2" s="34" t="s">
        <v>6</v>
      </c>
      <c r="G2" s="4" t="s">
        <v>35</v>
      </c>
      <c r="H2" s="4" t="s">
        <v>7</v>
      </c>
      <c r="I2" s="7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11" t="s">
        <v>13</v>
      </c>
      <c r="O2" s="4" t="s">
        <v>70</v>
      </c>
      <c r="P2" s="4"/>
      <c r="Q2" s="5" t="s">
        <v>69</v>
      </c>
      <c r="R2" s="5" t="s">
        <v>2</v>
      </c>
      <c r="S2" s="8" t="s">
        <v>67</v>
      </c>
      <c r="T2" s="8" t="s">
        <v>16</v>
      </c>
      <c r="U2" s="5" t="s">
        <v>13</v>
      </c>
    </row>
    <row r="3" spans="1:30" x14ac:dyDescent="0.25">
      <c r="A3" s="35"/>
      <c r="B3" s="5" t="e">
        <f>VLOOKUP(A3,Relay!$A$1:$B$50,2,FALSE)</f>
        <v>#N/A</v>
      </c>
      <c r="C3" s="5" t="e">
        <f>VLOOKUP(A3,Relay!$A$2:$C$51,3,FALSE)</f>
        <v>#N/A</v>
      </c>
      <c r="D3" s="39"/>
      <c r="E3" s="35"/>
      <c r="F3" s="35" t="str">
        <f t="shared" ref="F3:F66" si="0">IF(E3="Moonlighting", 12, "INS")</f>
        <v>INS</v>
      </c>
      <c r="G3" s="5" t="e">
        <f>IF(OR(E3="Jeopardy",E3="APP Moonlighting",E3="Differential Pay"),"",June[[#This Row],[SysID]])</f>
        <v>#N/A</v>
      </c>
      <c r="H3" s="5" t="e">
        <f>IF(E3="Jeopardy",IF(C3="MD",Relay!$E$7,Relay!$E$8),IF(C3="MD",IF(COUNTIF(G:G,B3)&gt;1,Relay!$E$2,Relay!$E$1),IF(AND(COUNTIF(G:G,B3)&gt;1,COUNTA(A3)&gt;0),Relay!$E$5,Relay!$E$4)))</f>
        <v>#N/A</v>
      </c>
      <c r="I3" s="8">
        <f t="shared" ref="I3:I66" si="1">IF(COUNTA(A3)&gt;0,H3*F3,0)</f>
        <v>0</v>
      </c>
      <c r="J3" s="35"/>
      <c r="K3" s="35"/>
      <c r="L3" s="35"/>
      <c r="M3" s="35"/>
      <c r="N3" s="10" t="e">
        <f>IF(H3=June!$E$2,"N",IF(AND(COUNTIF(B:B,B3)=1,D3&gt;14),"Y","N"))</f>
        <v>#N/A</v>
      </c>
      <c r="O3" s="55" t="str">
        <f>IF(COUNT(June[[#This Row],[Date]])&gt;0,IF(June[[#This Row],[Date]]&gt;14,"Yes","No"),"N/A")</f>
        <v>N/A</v>
      </c>
      <c r="P3" s="55"/>
      <c r="Q3" s="5">
        <f>Relay!A2</f>
        <v>0</v>
      </c>
      <c r="R3" s="5">
        <f>Relay!B2</f>
        <v>1</v>
      </c>
      <c r="S3" s="8">
        <f>SUMIF(June[SysID],R3,June[Pay Amount])+IF(May[After the 14th?]="Yes",SUMIF(May[SysID],R3,May[Pay Amount]),0)</f>
        <v>0</v>
      </c>
      <c r="T3" s="8"/>
      <c r="U3" s="5" t="str">
        <f t="shared" ref="U3:U66" si="2">IF(S3=T3,"N","Y")</f>
        <v>N</v>
      </c>
      <c r="V3" s="57"/>
      <c r="W3" s="57"/>
      <c r="X3" s="56"/>
      <c r="Y3" s="56"/>
      <c r="Z3" s="56"/>
      <c r="AA3" s="56"/>
      <c r="AC3" s="56"/>
    </row>
    <row r="4" spans="1:30" x14ac:dyDescent="0.25">
      <c r="A4" s="35"/>
      <c r="B4" s="5" t="e">
        <f>VLOOKUP(A4,Relay!$A$1:$B$50,2,FALSE)</f>
        <v>#N/A</v>
      </c>
      <c r="C4" s="5" t="e">
        <f>VLOOKUP(A4,Relay!$A$2:$C$51,3,FALSE)</f>
        <v>#N/A</v>
      </c>
      <c r="D4" s="39"/>
      <c r="E4" s="35"/>
      <c r="F4" s="35" t="str">
        <f t="shared" si="0"/>
        <v>INS</v>
      </c>
      <c r="G4" s="5" t="e">
        <f>IF(OR(E4="Jeopardy",E4="APP Moonlighting",E4="Differential Pay"),"",June[[#This Row],[SysID]])</f>
        <v>#N/A</v>
      </c>
      <c r="H4" s="5" t="e">
        <f>IF(E4="Jeopardy",IF(C4="MD",Relay!$E$7,Relay!$E$8),IF(C4="MD",IF(COUNTIF(G:G,B4)&gt;1,Relay!$E$2,Relay!$E$1),IF(AND(COUNTIF(G:G,B4)&gt;1,COUNTA(A4)&gt;0),Relay!$E$5,Relay!$E$4)))</f>
        <v>#N/A</v>
      </c>
      <c r="I4" s="8">
        <f t="shared" si="1"/>
        <v>0</v>
      </c>
      <c r="J4" s="35"/>
      <c r="K4" s="35"/>
      <c r="L4" s="35"/>
      <c r="M4" s="35"/>
      <c r="N4" s="10" t="e">
        <f>IF(H4=June!$E$2,"N",IF(AND(COUNTIF(B:B,B4)=1,D4&gt;14),"Y","N"))</f>
        <v>#N/A</v>
      </c>
      <c r="O4" s="55" t="str">
        <f>IF(COUNT(June[[#This Row],[Date]])&gt;0,IF(June[[#This Row],[Date]]&gt;14,"Yes","No"),"N/A")</f>
        <v>N/A</v>
      </c>
      <c r="P4" s="55"/>
      <c r="Q4" s="5">
        <f>Relay!A3</f>
        <v>0</v>
      </c>
      <c r="R4" s="5">
        <f>Relay!B3</f>
        <v>2</v>
      </c>
      <c r="S4" s="8">
        <f>SUMIF(June[SysID],R4,June[Pay Amount])+IF(May[After the 14th?]="Yes",SUMIF(May[SysID],R4,May[Pay Amount]),0)</f>
        <v>0</v>
      </c>
      <c r="T4" s="8"/>
      <c r="U4" s="5" t="str">
        <f t="shared" si="2"/>
        <v>N</v>
      </c>
      <c r="X4" s="56"/>
      <c r="Y4" s="56"/>
      <c r="Z4" s="56"/>
      <c r="AA4" s="56"/>
      <c r="AC4" s="56"/>
    </row>
    <row r="5" spans="1:30" x14ac:dyDescent="0.25">
      <c r="A5" s="35"/>
      <c r="B5" s="5" t="e">
        <f>VLOOKUP(A5,Relay!$A$1:$B$50,2,FALSE)</f>
        <v>#N/A</v>
      </c>
      <c r="C5" s="5" t="e">
        <f>VLOOKUP(A5,Relay!$A$2:$C$51,3,FALSE)</f>
        <v>#N/A</v>
      </c>
      <c r="D5" s="39"/>
      <c r="E5" s="35"/>
      <c r="F5" s="35" t="str">
        <f t="shared" si="0"/>
        <v>INS</v>
      </c>
      <c r="G5" s="5" t="e">
        <f>IF(OR(E5="Jeopardy",E5="APP Moonlighting",E5="Differential Pay"),"",June[[#This Row],[SysID]])</f>
        <v>#N/A</v>
      </c>
      <c r="H5" s="5" t="e">
        <f>IF(E5="Jeopardy",IF(C5="MD",Relay!$E$7,Relay!$E$8),IF(C5="MD",IF(COUNTIF(G:G,B5)&gt;1,Relay!$E$2,Relay!$E$1),IF(AND(COUNTIF(G:G,B5)&gt;1,COUNTA(A5)&gt;0),Relay!$E$5,Relay!$E$4)))</f>
        <v>#N/A</v>
      </c>
      <c r="I5" s="8">
        <f t="shared" si="1"/>
        <v>0</v>
      </c>
      <c r="J5" s="35"/>
      <c r="K5" s="35"/>
      <c r="L5" s="35"/>
      <c r="M5" s="35"/>
      <c r="N5" s="10" t="e">
        <f>IF(H5=June!$E$2,"N",IF(AND(COUNTIF(B:B,B5)=1,D5&gt;14),"Y","N"))</f>
        <v>#N/A</v>
      </c>
      <c r="O5" s="55" t="str">
        <f>IF(COUNT(June[[#This Row],[Date]])&gt;0,IF(June[[#This Row],[Date]]&gt;14,"Yes","No"),"N/A")</f>
        <v>N/A</v>
      </c>
      <c r="P5" s="55"/>
      <c r="Q5" s="5">
        <f>Relay!A4</f>
        <v>0</v>
      </c>
      <c r="R5" s="5">
        <f>Relay!B4</f>
        <v>3</v>
      </c>
      <c r="S5" s="8">
        <f>SUMIF(June[SysID],R5,June[Pay Amount])+IF(May[After the 14th?]="Yes",SUMIF(May[SysID],R5,May[Pay Amount]),0)</f>
        <v>0</v>
      </c>
      <c r="T5" s="8"/>
      <c r="U5" s="5" t="str">
        <f t="shared" si="2"/>
        <v>N</v>
      </c>
      <c r="X5" s="56"/>
      <c r="Y5" s="56"/>
      <c r="Z5" s="56"/>
      <c r="AA5" s="56"/>
      <c r="AC5" s="56"/>
    </row>
    <row r="6" spans="1:30" x14ac:dyDescent="0.25">
      <c r="A6" s="35"/>
      <c r="B6" s="5" t="e">
        <f>VLOOKUP(A6,Relay!$A$1:$B$50,2,FALSE)</f>
        <v>#N/A</v>
      </c>
      <c r="C6" s="5" t="e">
        <f>VLOOKUP(A6,Relay!$A$2:$C$51,3,FALSE)</f>
        <v>#N/A</v>
      </c>
      <c r="D6" s="39"/>
      <c r="E6" s="35"/>
      <c r="F6" s="35" t="str">
        <f t="shared" si="0"/>
        <v>INS</v>
      </c>
      <c r="G6" s="5" t="e">
        <f>IF(OR(E6="Jeopardy",E6="APP Moonlighting",E6="Differential Pay"),"",June[[#This Row],[SysID]])</f>
        <v>#N/A</v>
      </c>
      <c r="H6" s="5" t="e">
        <f>IF(E6="Jeopardy",IF(C6="MD",Relay!$E$7,Relay!$E$8),IF(C6="MD",IF(COUNTIF(G:G,B6)&gt;1,Relay!$E$2,Relay!$E$1),IF(AND(COUNTIF(G:G,B6)&gt;1,COUNTA(A6)&gt;0),Relay!$E$5,Relay!$E$4)))</f>
        <v>#N/A</v>
      </c>
      <c r="I6" s="8">
        <f t="shared" si="1"/>
        <v>0</v>
      </c>
      <c r="J6" s="35"/>
      <c r="K6" s="35"/>
      <c r="L6" s="35"/>
      <c r="M6" s="35"/>
      <c r="N6" s="10" t="e">
        <f>IF(H6=June!$E$2,"N",IF(AND(COUNTIF(B:B,B6)=1,D6&gt;14),"Y","N"))</f>
        <v>#N/A</v>
      </c>
      <c r="O6" s="55" t="str">
        <f>IF(COUNT(June[[#This Row],[Date]])&gt;0,IF(June[[#This Row],[Date]]&gt;14,"Yes","No"),"N/A")</f>
        <v>N/A</v>
      </c>
      <c r="P6" s="55"/>
      <c r="Q6" s="5">
        <f>Relay!A5</f>
        <v>0</v>
      </c>
      <c r="R6" s="5">
        <f>Relay!B5</f>
        <v>4</v>
      </c>
      <c r="S6" s="8">
        <f>SUMIF(June[SysID],R6,June[Pay Amount])+IF(May[After the 14th?]="Yes",SUMIF(May[SysID],R6,May[Pay Amount]),0)</f>
        <v>0</v>
      </c>
      <c r="T6" s="8"/>
      <c r="U6" s="5" t="str">
        <f t="shared" si="2"/>
        <v>N</v>
      </c>
      <c r="X6" s="56"/>
      <c r="Y6" s="56"/>
      <c r="Z6" s="56"/>
      <c r="AA6" s="56"/>
      <c r="AC6" s="56"/>
    </row>
    <row r="7" spans="1:30" x14ac:dyDescent="0.25">
      <c r="A7" s="35"/>
      <c r="B7" s="5" t="e">
        <f>VLOOKUP(A7,Relay!$A$1:$B$50,2,FALSE)</f>
        <v>#N/A</v>
      </c>
      <c r="C7" s="5" t="e">
        <f>VLOOKUP(A7,Relay!$A$2:$C$51,3,FALSE)</f>
        <v>#N/A</v>
      </c>
      <c r="D7" s="39"/>
      <c r="E7" s="35"/>
      <c r="F7" s="35" t="str">
        <f t="shared" si="0"/>
        <v>INS</v>
      </c>
      <c r="G7" s="5" t="e">
        <f>IF(OR(E7="Jeopardy",E7="APP Moonlighting",E7="Differential Pay"),"",June[[#This Row],[SysID]])</f>
        <v>#N/A</v>
      </c>
      <c r="H7" s="5" t="e">
        <f>IF(E7="Jeopardy",IF(C7="MD",Relay!$E$7,Relay!$E$8),IF(C7="MD",IF(COUNTIF(G:G,B7)&gt;1,Relay!$E$2,Relay!$E$1),IF(AND(COUNTIF(G:G,B7)&gt;1,COUNTA(A7)&gt;0),Relay!$E$5,Relay!$E$4)))</f>
        <v>#N/A</v>
      </c>
      <c r="I7" s="8">
        <f t="shared" si="1"/>
        <v>0</v>
      </c>
      <c r="J7" s="35"/>
      <c r="K7" s="35"/>
      <c r="L7" s="35"/>
      <c r="M7" s="35"/>
      <c r="N7" s="10" t="e">
        <f>IF(H7=June!$E$2,"N",IF(AND(COUNTIF(B:B,B7)=1,D7&gt;14),"Y","N"))</f>
        <v>#N/A</v>
      </c>
      <c r="O7" s="55" t="str">
        <f>IF(COUNT(June[[#This Row],[Date]])&gt;0,IF(June[[#This Row],[Date]]&gt;14,"Yes","No"),"N/A")</f>
        <v>N/A</v>
      </c>
      <c r="P7" s="55"/>
      <c r="Q7" s="5">
        <f>Relay!A6</f>
        <v>0</v>
      </c>
      <c r="R7" s="5">
        <f>Relay!B6</f>
        <v>5</v>
      </c>
      <c r="S7" s="8">
        <f>SUMIF(June[SysID],R7,June[Pay Amount])+IF(May[After the 14th?]="Yes",SUMIF(May[SysID],R7,May[Pay Amount]),0)</f>
        <v>0</v>
      </c>
      <c r="T7" s="8"/>
      <c r="U7" s="5" t="str">
        <f t="shared" si="2"/>
        <v>N</v>
      </c>
      <c r="X7" s="56"/>
      <c r="Y7" s="56"/>
      <c r="Z7" s="56"/>
      <c r="AA7" s="56"/>
      <c r="AC7" s="56"/>
    </row>
    <row r="8" spans="1:30" x14ac:dyDescent="0.25">
      <c r="A8" s="35"/>
      <c r="B8" s="5" t="e">
        <f>VLOOKUP(A8,Relay!$A$1:$B$50,2,FALSE)</f>
        <v>#N/A</v>
      </c>
      <c r="C8" s="5" t="e">
        <f>VLOOKUP(A8,Relay!$A$2:$C$51,3,FALSE)</f>
        <v>#N/A</v>
      </c>
      <c r="D8" s="39"/>
      <c r="E8" s="35"/>
      <c r="F8" s="35" t="str">
        <f t="shared" si="0"/>
        <v>INS</v>
      </c>
      <c r="G8" s="5" t="e">
        <f>IF(OR(E8="Jeopardy",E8="APP Moonlighting",E8="Differential Pay"),"",June[[#This Row],[SysID]])</f>
        <v>#N/A</v>
      </c>
      <c r="H8" s="5" t="e">
        <f>IF(E8="Jeopardy",IF(C8="MD",Relay!$E$7,Relay!$E$8),IF(C8="MD",IF(COUNTIF(G:G,B8)&gt;1,Relay!$E$2,Relay!$E$1),IF(AND(COUNTIF(G:G,B8)&gt;1,COUNTA(A8)&gt;0),Relay!$E$5,Relay!$E$4)))</f>
        <v>#N/A</v>
      </c>
      <c r="I8" s="8">
        <f t="shared" si="1"/>
        <v>0</v>
      </c>
      <c r="J8" s="35"/>
      <c r="K8" s="35"/>
      <c r="L8" s="35"/>
      <c r="M8" s="35"/>
      <c r="N8" s="10" t="e">
        <f>IF(H8=June!$E$2,"N",IF(AND(COUNTIF(B:B,B8)=1,D8&gt;14),"Y","N"))</f>
        <v>#N/A</v>
      </c>
      <c r="O8" s="55" t="str">
        <f>IF(COUNT(June[[#This Row],[Date]])&gt;0,IF(June[[#This Row],[Date]]&gt;14,"Yes","No"),"N/A")</f>
        <v>N/A</v>
      </c>
      <c r="P8" s="55"/>
      <c r="Q8" s="5">
        <f>Relay!A7</f>
        <v>0</v>
      </c>
      <c r="R8" s="5">
        <f>Relay!B7</f>
        <v>6</v>
      </c>
      <c r="S8" s="8">
        <f>SUMIF(June[SysID],R8,June[Pay Amount])+IF(May[After the 14th?]="Yes",SUMIF(May[SysID],R8,May[Pay Amount]),0)</f>
        <v>0</v>
      </c>
      <c r="T8" s="8"/>
      <c r="U8" s="5" t="str">
        <f t="shared" si="2"/>
        <v>N</v>
      </c>
      <c r="X8" s="56"/>
      <c r="Y8" s="56"/>
      <c r="Z8" s="56"/>
      <c r="AA8" s="56"/>
      <c r="AC8" s="56"/>
    </row>
    <row r="9" spans="1:30" x14ac:dyDescent="0.25">
      <c r="A9" s="35"/>
      <c r="B9" s="5" t="e">
        <f>VLOOKUP(A9,Relay!$A$1:$B$50,2,FALSE)</f>
        <v>#N/A</v>
      </c>
      <c r="C9" s="5" t="e">
        <f>VLOOKUP(A9,Relay!$A$2:$C$51,3,FALSE)</f>
        <v>#N/A</v>
      </c>
      <c r="D9" s="39"/>
      <c r="E9" s="35"/>
      <c r="F9" s="35" t="str">
        <f t="shared" si="0"/>
        <v>INS</v>
      </c>
      <c r="G9" s="5" t="e">
        <f>IF(OR(E9="Jeopardy",E9="APP Moonlighting",E9="Differential Pay"),"",June[[#This Row],[SysID]])</f>
        <v>#N/A</v>
      </c>
      <c r="H9" s="5" t="e">
        <f>IF(E9="Jeopardy",IF(C9="MD",Relay!$E$7,Relay!$E$8),IF(C9="MD",IF(COUNTIF(G:G,B9)&gt;1,Relay!$E$2,Relay!$E$1),IF(AND(COUNTIF(G:G,B9)&gt;1,COUNTA(A9)&gt;0),Relay!$E$5,Relay!$E$4)))</f>
        <v>#N/A</v>
      </c>
      <c r="I9" s="8">
        <f t="shared" si="1"/>
        <v>0</v>
      </c>
      <c r="J9" s="35"/>
      <c r="K9" s="35"/>
      <c r="L9" s="35"/>
      <c r="M9" s="35"/>
      <c r="N9" s="10" t="e">
        <f>IF(H9=June!$E$2,"N",IF(AND(COUNTIF(B:B,B9)=1,D9&gt;14),"Y","N"))</f>
        <v>#N/A</v>
      </c>
      <c r="O9" s="55" t="str">
        <f>IF(COUNT(June[[#This Row],[Date]])&gt;0,IF(June[[#This Row],[Date]]&gt;14,"Yes","No"),"N/A")</f>
        <v>N/A</v>
      </c>
      <c r="P9" s="55"/>
      <c r="Q9" s="5">
        <f>Relay!A8</f>
        <v>0</v>
      </c>
      <c r="R9" s="5">
        <f>Relay!B8</f>
        <v>7</v>
      </c>
      <c r="S9" s="8">
        <f>SUMIF(June[SysID],R9,June[Pay Amount])+IF(May[After the 14th?]="Yes",SUMIF(May[SysID],R9,May[Pay Amount]),0)</f>
        <v>0</v>
      </c>
      <c r="T9" s="8"/>
      <c r="U9" s="5" t="str">
        <f t="shared" si="2"/>
        <v>N</v>
      </c>
      <c r="X9" s="56"/>
      <c r="Y9" s="56"/>
      <c r="Z9" s="56"/>
      <c r="AA9" s="56"/>
      <c r="AC9" s="56"/>
    </row>
    <row r="10" spans="1:30" x14ac:dyDescent="0.25">
      <c r="A10" s="35"/>
      <c r="B10" s="5" t="e">
        <f>VLOOKUP(A10,Relay!$A$1:$B$50,2,FALSE)</f>
        <v>#N/A</v>
      </c>
      <c r="C10" s="5" t="e">
        <f>VLOOKUP(A10,Relay!$A$2:$C$51,3,FALSE)</f>
        <v>#N/A</v>
      </c>
      <c r="D10" s="39"/>
      <c r="E10" s="35"/>
      <c r="F10" s="35" t="str">
        <f t="shared" si="0"/>
        <v>INS</v>
      </c>
      <c r="G10" s="5" t="e">
        <f>IF(OR(E10="Jeopardy",E10="APP Moonlighting",E10="Differential Pay"),"",June[[#This Row],[SysID]])</f>
        <v>#N/A</v>
      </c>
      <c r="H10" s="5" t="e">
        <f>IF(E10="Jeopardy",IF(C10="MD",Relay!$E$7,Relay!$E$8),IF(C10="MD",IF(COUNTIF(G:G,B10)&gt;1,Relay!$E$2,Relay!$E$1),IF(AND(COUNTIF(G:G,B10)&gt;1,COUNTA(A10)&gt;0),Relay!$E$5,Relay!$E$4)))</f>
        <v>#N/A</v>
      </c>
      <c r="I10" s="8">
        <f t="shared" si="1"/>
        <v>0</v>
      </c>
      <c r="J10" s="35"/>
      <c r="K10" s="35"/>
      <c r="L10" s="35"/>
      <c r="M10" s="35"/>
      <c r="N10" s="10" t="e">
        <f>IF(H10=June!$E$2,"N",IF(AND(COUNTIF(B:B,B10)=1,D10&gt;14),"Y","N"))</f>
        <v>#N/A</v>
      </c>
      <c r="O10" s="55" t="str">
        <f>IF(COUNT(June[[#This Row],[Date]])&gt;0,IF(June[[#This Row],[Date]]&gt;14,"Yes","No"),"N/A")</f>
        <v>N/A</v>
      </c>
      <c r="P10" s="55"/>
      <c r="Q10" s="5">
        <f>Relay!A9</f>
        <v>0</v>
      </c>
      <c r="R10" s="5">
        <f>Relay!B9</f>
        <v>8</v>
      </c>
      <c r="S10" s="8">
        <f>SUMIF(June[SysID],R10,June[Pay Amount])+IF(May[After the 14th?]="Yes",SUMIF(May[SysID],R10,May[Pay Amount]),0)</f>
        <v>0</v>
      </c>
      <c r="T10" s="8"/>
      <c r="U10" s="5" t="str">
        <f t="shared" si="2"/>
        <v>N</v>
      </c>
      <c r="X10" s="56"/>
      <c r="Y10" s="56"/>
      <c r="Z10" s="56"/>
      <c r="AA10" s="56"/>
      <c r="AC10" s="56"/>
    </row>
    <row r="11" spans="1:30" x14ac:dyDescent="0.25">
      <c r="A11" s="35"/>
      <c r="B11" s="5" t="e">
        <f>VLOOKUP(A11,Relay!$A$1:$B$50,2,FALSE)</f>
        <v>#N/A</v>
      </c>
      <c r="C11" s="5" t="e">
        <f>VLOOKUP(A11,Relay!$A$2:$C$51,3,FALSE)</f>
        <v>#N/A</v>
      </c>
      <c r="D11" s="39"/>
      <c r="E11" s="35"/>
      <c r="F11" s="35" t="str">
        <f t="shared" si="0"/>
        <v>INS</v>
      </c>
      <c r="G11" s="5" t="e">
        <f>IF(OR(E11="Jeopardy",E11="APP Moonlighting",E11="Differential Pay"),"",June[[#This Row],[SysID]])</f>
        <v>#N/A</v>
      </c>
      <c r="H11" s="5" t="e">
        <f>IF(E11="Jeopardy",IF(C11="MD",Relay!$E$7,Relay!$E$8),IF(C11="MD",IF(COUNTIF(G:G,B11)&gt;1,Relay!$E$2,Relay!$E$1),IF(AND(COUNTIF(G:G,B11)&gt;1,COUNTA(A11)&gt;0),Relay!$E$5,Relay!$E$4)))</f>
        <v>#N/A</v>
      </c>
      <c r="I11" s="8">
        <f t="shared" si="1"/>
        <v>0</v>
      </c>
      <c r="J11" s="35"/>
      <c r="K11" s="35"/>
      <c r="L11" s="35"/>
      <c r="M11" s="35"/>
      <c r="N11" s="10" t="e">
        <f>IF(H11=June!$E$2,"N",IF(AND(COUNTIF(B:B,B11)=1,D11&gt;14),"Y","N"))</f>
        <v>#N/A</v>
      </c>
      <c r="O11" s="55" t="str">
        <f>IF(COUNT(June[[#This Row],[Date]])&gt;0,IF(June[[#This Row],[Date]]&gt;14,"Yes","No"),"N/A")</f>
        <v>N/A</v>
      </c>
      <c r="P11" s="55"/>
      <c r="Q11" s="5">
        <f>Relay!A10</f>
        <v>0</v>
      </c>
      <c r="R11" s="5">
        <f>Relay!B10</f>
        <v>9</v>
      </c>
      <c r="S11" s="8">
        <f>SUMIF(June[SysID],R11,June[Pay Amount])+IF(May[After the 14th?]="Yes",SUMIF(May[SysID],R11,May[Pay Amount]),0)</f>
        <v>0</v>
      </c>
      <c r="T11" s="8"/>
      <c r="U11" s="5" t="str">
        <f t="shared" si="2"/>
        <v>N</v>
      </c>
      <c r="X11" s="56"/>
      <c r="Y11" s="56"/>
      <c r="Z11" s="56"/>
      <c r="AA11" s="56"/>
      <c r="AC11" s="56"/>
    </row>
    <row r="12" spans="1:30" x14ac:dyDescent="0.25">
      <c r="A12" s="35"/>
      <c r="B12" s="5" t="e">
        <f>VLOOKUP(A12,Relay!$A$1:$B$50,2,FALSE)</f>
        <v>#N/A</v>
      </c>
      <c r="C12" s="5" t="e">
        <f>VLOOKUP(A12,Relay!$A$2:$C$51,3,FALSE)</f>
        <v>#N/A</v>
      </c>
      <c r="D12" s="39"/>
      <c r="E12" s="35"/>
      <c r="F12" s="35" t="str">
        <f t="shared" si="0"/>
        <v>INS</v>
      </c>
      <c r="G12" s="5" t="e">
        <f>IF(OR(E12="Jeopardy",E12="APP Moonlighting",E12="Differential Pay"),"",June[[#This Row],[SysID]])</f>
        <v>#N/A</v>
      </c>
      <c r="H12" s="5" t="e">
        <f>IF(E12="Jeopardy",IF(C12="MD",Relay!$E$7,Relay!$E$8),IF(C12="MD",IF(COUNTIF(G:G,B12)&gt;1,Relay!$E$2,Relay!$E$1),IF(AND(COUNTIF(G:G,B12)&gt;1,COUNTA(A12)&gt;0),Relay!$E$5,Relay!$E$4)))</f>
        <v>#N/A</v>
      </c>
      <c r="I12" s="8">
        <f t="shared" si="1"/>
        <v>0</v>
      </c>
      <c r="J12" s="35"/>
      <c r="K12" s="35"/>
      <c r="L12" s="35"/>
      <c r="M12" s="35"/>
      <c r="N12" s="10" t="e">
        <f>IF(H12=June!$E$2,"N",IF(AND(COUNTIF(B:B,B12)=1,D12&gt;14),"Y","N"))</f>
        <v>#N/A</v>
      </c>
      <c r="O12" s="55" t="str">
        <f>IF(COUNT(June[[#This Row],[Date]])&gt;0,IF(June[[#This Row],[Date]]&gt;14,"Yes","No"),"N/A")</f>
        <v>N/A</v>
      </c>
      <c r="P12" s="55"/>
      <c r="Q12" s="5">
        <f>Relay!A11</f>
        <v>0</v>
      </c>
      <c r="R12" s="5">
        <f>Relay!B11</f>
        <v>10</v>
      </c>
      <c r="S12" s="8">
        <f>SUMIF(June[SysID],R12,June[Pay Amount])+IF(May[After the 14th?]="Yes",SUMIF(May[SysID],R12,May[Pay Amount]),0)</f>
        <v>0</v>
      </c>
      <c r="T12" s="8"/>
      <c r="U12" s="5" t="str">
        <f t="shared" si="2"/>
        <v>N</v>
      </c>
      <c r="X12" s="56"/>
      <c r="Y12" s="56"/>
      <c r="Z12" s="56"/>
      <c r="AA12" s="56"/>
      <c r="AC12" s="56"/>
    </row>
    <row r="13" spans="1:30" x14ac:dyDescent="0.25">
      <c r="A13" s="35"/>
      <c r="B13" s="5" t="e">
        <f>VLOOKUP(A13,Relay!$A$1:$B$50,2,FALSE)</f>
        <v>#N/A</v>
      </c>
      <c r="C13" s="5" t="e">
        <f>VLOOKUP(A13,Relay!$A$2:$C$51,3,FALSE)</f>
        <v>#N/A</v>
      </c>
      <c r="D13" s="39"/>
      <c r="E13" s="35"/>
      <c r="F13" s="35" t="str">
        <f t="shared" si="0"/>
        <v>INS</v>
      </c>
      <c r="G13" s="5" t="e">
        <f>IF(OR(E13="Jeopardy",E13="APP Moonlighting",E13="Differential Pay"),"",June[[#This Row],[SysID]])</f>
        <v>#N/A</v>
      </c>
      <c r="H13" s="5" t="e">
        <f>IF(E13="Jeopardy",IF(C13="MD",Relay!$E$7,Relay!$E$8),IF(C13="MD",IF(COUNTIF(G:G,B13)&gt;1,Relay!$E$2,Relay!$E$1),IF(AND(COUNTIF(G:G,B13)&gt;1,COUNTA(A13)&gt;0),Relay!$E$5,Relay!$E$4)))</f>
        <v>#N/A</v>
      </c>
      <c r="I13" s="8">
        <f t="shared" si="1"/>
        <v>0</v>
      </c>
      <c r="J13" s="35"/>
      <c r="K13" s="35"/>
      <c r="L13" s="35"/>
      <c r="M13" s="35"/>
      <c r="N13" s="10" t="e">
        <f>IF(H13=June!$E$2,"N",IF(AND(COUNTIF(B:B,B13)=1,D13&gt;14),"Y","N"))</f>
        <v>#N/A</v>
      </c>
      <c r="O13" s="55" t="str">
        <f>IF(COUNT(June[[#This Row],[Date]])&gt;0,IF(June[[#This Row],[Date]]&gt;14,"Yes","No"),"N/A")</f>
        <v>N/A</v>
      </c>
      <c r="P13" s="55"/>
      <c r="Q13" s="5">
        <f>Relay!A12</f>
        <v>0</v>
      </c>
      <c r="R13" s="5">
        <f>Relay!B12</f>
        <v>11</v>
      </c>
      <c r="S13" s="8">
        <f>SUMIF(June[SysID],R13,June[Pay Amount])+IF(May[After the 14th?]="Yes",SUMIF(May[SysID],R13,May[Pay Amount]),0)</f>
        <v>0</v>
      </c>
      <c r="T13" s="8"/>
      <c r="U13" s="5" t="str">
        <f t="shared" si="2"/>
        <v>N</v>
      </c>
      <c r="X13" s="56"/>
      <c r="Y13" s="56"/>
      <c r="Z13" s="56"/>
      <c r="AA13" s="56"/>
      <c r="AC13" s="56"/>
    </row>
    <row r="14" spans="1:30" x14ac:dyDescent="0.25">
      <c r="A14" s="35"/>
      <c r="B14" s="5" t="e">
        <f>VLOOKUP(A14,Relay!$A$1:$B$50,2,FALSE)</f>
        <v>#N/A</v>
      </c>
      <c r="C14" s="5" t="e">
        <f>VLOOKUP(A14,Relay!$A$2:$C$51,3,FALSE)</f>
        <v>#N/A</v>
      </c>
      <c r="D14" s="39"/>
      <c r="E14" s="35"/>
      <c r="F14" s="35" t="str">
        <f t="shared" si="0"/>
        <v>INS</v>
      </c>
      <c r="G14" s="5" t="e">
        <f>IF(OR(E14="Jeopardy",E14="APP Moonlighting",E14="Differential Pay"),"",June[[#This Row],[SysID]])</f>
        <v>#N/A</v>
      </c>
      <c r="H14" s="5" t="e">
        <f>IF(E14="Jeopardy",IF(C14="MD",Relay!$E$7,Relay!$E$8),IF(C14="MD",IF(COUNTIF(G:G,B14)&gt;1,Relay!$E$2,Relay!$E$1),IF(AND(COUNTIF(G:G,B14)&gt;1,COUNTA(A14)&gt;0),Relay!$E$5,Relay!$E$4)))</f>
        <v>#N/A</v>
      </c>
      <c r="I14" s="8">
        <f t="shared" si="1"/>
        <v>0</v>
      </c>
      <c r="J14" s="35"/>
      <c r="K14" s="35"/>
      <c r="L14" s="35"/>
      <c r="M14" s="35"/>
      <c r="N14" s="10" t="e">
        <f>IF(H14=June!$E$2,"N",IF(AND(COUNTIF(B:B,B14)=1,D14&gt;14),"Y","N"))</f>
        <v>#N/A</v>
      </c>
      <c r="O14" s="55" t="str">
        <f>IF(COUNT(June[[#This Row],[Date]])&gt;0,IF(June[[#This Row],[Date]]&gt;14,"Yes","No"),"N/A")</f>
        <v>N/A</v>
      </c>
      <c r="P14" s="55"/>
      <c r="Q14" s="5">
        <f>Relay!A13</f>
        <v>0</v>
      </c>
      <c r="R14" s="5">
        <f>Relay!B13</f>
        <v>12</v>
      </c>
      <c r="S14" s="8">
        <f>SUMIF(June[SysID],R14,June[Pay Amount])+IF(May[After the 14th?]="Yes",SUMIF(May[SysID],R14,May[Pay Amount]),0)</f>
        <v>0</v>
      </c>
      <c r="T14" s="8"/>
      <c r="U14" s="5" t="str">
        <f t="shared" si="2"/>
        <v>N</v>
      </c>
      <c r="X14" s="56"/>
      <c r="Y14" s="56"/>
      <c r="Z14" s="56"/>
      <c r="AA14" s="56"/>
      <c r="AC14" s="56"/>
    </row>
    <row r="15" spans="1:30" x14ac:dyDescent="0.25">
      <c r="A15" s="35"/>
      <c r="B15" s="5" t="e">
        <f>VLOOKUP(A15,Relay!$A$1:$B$50,2,FALSE)</f>
        <v>#N/A</v>
      </c>
      <c r="C15" s="5" t="e">
        <f>VLOOKUP(A15,Relay!$A$2:$C$51,3,FALSE)</f>
        <v>#N/A</v>
      </c>
      <c r="D15" s="39"/>
      <c r="E15" s="35"/>
      <c r="F15" s="35" t="str">
        <f t="shared" si="0"/>
        <v>INS</v>
      </c>
      <c r="G15" s="5" t="e">
        <f>IF(OR(E15="Jeopardy",E15="APP Moonlighting",E15="Differential Pay"),"",June[[#This Row],[SysID]])</f>
        <v>#N/A</v>
      </c>
      <c r="H15" s="5" t="e">
        <f>IF(E15="Jeopardy",IF(C15="MD",Relay!$E$7,Relay!$E$8),IF(C15="MD",IF(COUNTIF(G:G,B15)&gt;1,Relay!$E$2,Relay!$E$1),IF(AND(COUNTIF(G:G,B15)&gt;1,COUNTA(A15)&gt;0),Relay!$E$5,Relay!$E$4)))</f>
        <v>#N/A</v>
      </c>
      <c r="I15" s="8">
        <f t="shared" si="1"/>
        <v>0</v>
      </c>
      <c r="J15" s="35"/>
      <c r="K15" s="35"/>
      <c r="L15" s="35"/>
      <c r="M15" s="35"/>
      <c r="N15" s="10" t="e">
        <f>IF(H15=June!$E$2,"N",IF(AND(COUNTIF(B:B,B15)=1,D15&gt;14),"Y","N"))</f>
        <v>#N/A</v>
      </c>
      <c r="O15" s="55" t="str">
        <f>IF(COUNT(June[[#This Row],[Date]])&gt;0,IF(June[[#This Row],[Date]]&gt;14,"Yes","No"),"N/A")</f>
        <v>N/A</v>
      </c>
      <c r="P15" s="55"/>
      <c r="Q15" s="5">
        <f>Relay!A14</f>
        <v>0</v>
      </c>
      <c r="R15" s="5">
        <f>Relay!B14</f>
        <v>13</v>
      </c>
      <c r="S15" s="8">
        <f>SUMIF(June[SysID],R15,June[Pay Amount])+IF(May[After the 14th?]="Yes",SUMIF(May[SysID],R15,May[Pay Amount]),0)</f>
        <v>0</v>
      </c>
      <c r="T15" s="8"/>
      <c r="U15" s="5" t="str">
        <f t="shared" si="2"/>
        <v>N</v>
      </c>
      <c r="X15" s="56"/>
      <c r="Y15" s="56"/>
      <c r="Z15" s="56"/>
      <c r="AA15" s="56"/>
      <c r="AC15" s="56"/>
    </row>
    <row r="16" spans="1:30" x14ac:dyDescent="0.25">
      <c r="A16" s="35"/>
      <c r="B16" s="5" t="e">
        <f>VLOOKUP(A16,Relay!$A$1:$B$50,2,FALSE)</f>
        <v>#N/A</v>
      </c>
      <c r="C16" s="5" t="e">
        <f>VLOOKUP(A16,Relay!$A$2:$C$51,3,FALSE)</f>
        <v>#N/A</v>
      </c>
      <c r="D16" s="39"/>
      <c r="E16" s="35"/>
      <c r="F16" s="35" t="str">
        <f t="shared" si="0"/>
        <v>INS</v>
      </c>
      <c r="G16" s="5" t="e">
        <f>IF(OR(E16="Jeopardy",E16="APP Moonlighting",E16="Differential Pay"),"",June[[#This Row],[SysID]])</f>
        <v>#N/A</v>
      </c>
      <c r="H16" s="5" t="e">
        <f>IF(E16="Jeopardy",IF(C16="MD",Relay!$E$7,Relay!$E$8),IF(C16="MD",IF(COUNTIF(G:G,B16)&gt;1,Relay!$E$2,Relay!$E$1),IF(AND(COUNTIF(G:G,B16)&gt;1,COUNTA(A16)&gt;0),Relay!$E$5,Relay!$E$4)))</f>
        <v>#N/A</v>
      </c>
      <c r="I16" s="8">
        <f t="shared" si="1"/>
        <v>0</v>
      </c>
      <c r="J16" s="35"/>
      <c r="K16" s="35"/>
      <c r="L16" s="35"/>
      <c r="M16" s="35"/>
      <c r="N16" s="10" t="e">
        <f>IF(H16=June!$E$2,"N",IF(AND(COUNTIF(B:B,B16)=1,D16&gt;14),"Y","N"))</f>
        <v>#N/A</v>
      </c>
      <c r="O16" s="55" t="str">
        <f>IF(COUNT(June[[#This Row],[Date]])&gt;0,IF(June[[#This Row],[Date]]&gt;14,"Yes","No"),"N/A")</f>
        <v>N/A</v>
      </c>
      <c r="P16" s="55"/>
      <c r="Q16" s="5">
        <f>Relay!A15</f>
        <v>0</v>
      </c>
      <c r="R16" s="5">
        <f>Relay!B15</f>
        <v>14</v>
      </c>
      <c r="S16" s="8">
        <f>SUMIF(June[SysID],R16,June[Pay Amount])+IF(May[After the 14th?]="Yes",SUMIF(May[SysID],R16,May[Pay Amount]),0)</f>
        <v>0</v>
      </c>
      <c r="T16" s="8"/>
      <c r="U16" s="5" t="str">
        <f t="shared" si="2"/>
        <v>N</v>
      </c>
      <c r="X16" s="56"/>
      <c r="Y16" s="56"/>
      <c r="Z16" s="56"/>
      <c r="AA16" s="56"/>
      <c r="AC16" s="56"/>
    </row>
    <row r="17" spans="1:29" x14ac:dyDescent="0.25">
      <c r="A17" s="35"/>
      <c r="B17" s="5" t="e">
        <f>VLOOKUP(A17,Relay!$A$1:$B$50,2,FALSE)</f>
        <v>#N/A</v>
      </c>
      <c r="C17" s="5" t="e">
        <f>VLOOKUP(A17,Relay!$A$2:$C$51,3,FALSE)</f>
        <v>#N/A</v>
      </c>
      <c r="D17" s="39"/>
      <c r="E17" s="35"/>
      <c r="F17" s="35" t="str">
        <f t="shared" si="0"/>
        <v>INS</v>
      </c>
      <c r="G17" s="5" t="e">
        <f>IF(OR(E17="Jeopardy",E17="APP Moonlighting",E17="Differential Pay"),"",June[[#This Row],[SysID]])</f>
        <v>#N/A</v>
      </c>
      <c r="H17" s="5" t="e">
        <f>IF(E17="Jeopardy",IF(C17="MD",Relay!$E$7,Relay!$E$8),IF(C17="MD",IF(COUNTIF(G:G,B17)&gt;1,Relay!$E$2,Relay!$E$1),IF(AND(COUNTIF(G:G,B17)&gt;1,COUNTA(A17)&gt;0),Relay!$E$5,Relay!$E$4)))</f>
        <v>#N/A</v>
      </c>
      <c r="I17" s="8">
        <f t="shared" si="1"/>
        <v>0</v>
      </c>
      <c r="J17" s="35"/>
      <c r="K17" s="35"/>
      <c r="L17" s="35"/>
      <c r="M17" s="35"/>
      <c r="N17" s="10" t="e">
        <f>IF(H17=June!$E$2,"N",IF(AND(COUNTIF(B:B,B17)=1,D17&gt;14),"Y","N"))</f>
        <v>#N/A</v>
      </c>
      <c r="O17" s="55" t="str">
        <f>IF(COUNT(June[[#This Row],[Date]])&gt;0,IF(June[[#This Row],[Date]]&gt;14,"Yes","No"),"N/A")</f>
        <v>N/A</v>
      </c>
      <c r="P17" s="55"/>
      <c r="Q17" s="5">
        <f>Relay!A16</f>
        <v>0</v>
      </c>
      <c r="R17" s="5">
        <f>Relay!B16</f>
        <v>15</v>
      </c>
      <c r="S17" s="8">
        <f>SUMIF(June[SysID],R17,June[Pay Amount])+IF(May[After the 14th?]="Yes",SUMIF(May[SysID],R17,May[Pay Amount]),0)</f>
        <v>0</v>
      </c>
      <c r="T17" s="8"/>
      <c r="U17" s="5" t="str">
        <f t="shared" si="2"/>
        <v>N</v>
      </c>
      <c r="X17" s="56"/>
      <c r="Y17" s="56"/>
      <c r="Z17" s="56"/>
      <c r="AA17" s="56"/>
      <c r="AC17" s="56"/>
    </row>
    <row r="18" spans="1:29" x14ac:dyDescent="0.25">
      <c r="A18" s="35"/>
      <c r="B18" s="5" t="e">
        <f>VLOOKUP(A18,Relay!$A$1:$B$50,2,FALSE)</f>
        <v>#N/A</v>
      </c>
      <c r="C18" s="5" t="e">
        <f>VLOOKUP(A18,Relay!$A$2:$C$51,3,FALSE)</f>
        <v>#N/A</v>
      </c>
      <c r="D18" s="39"/>
      <c r="E18" s="35"/>
      <c r="F18" s="35" t="str">
        <f t="shared" si="0"/>
        <v>INS</v>
      </c>
      <c r="G18" s="5" t="e">
        <f>IF(OR(E18="Jeopardy",E18="APP Moonlighting",E18="Differential Pay"),"",June[[#This Row],[SysID]])</f>
        <v>#N/A</v>
      </c>
      <c r="H18" s="5" t="e">
        <f>IF(E18="Jeopardy",IF(C18="MD",Relay!$E$7,Relay!$E$8),IF(C18="MD",IF(COUNTIF(G:G,B18)&gt;1,Relay!$E$2,Relay!$E$1),IF(AND(COUNTIF(G:G,B18)&gt;1,COUNTA(A18)&gt;0),Relay!$E$5,Relay!$E$4)))</f>
        <v>#N/A</v>
      </c>
      <c r="I18" s="8">
        <f t="shared" si="1"/>
        <v>0</v>
      </c>
      <c r="J18" s="35"/>
      <c r="K18" s="35"/>
      <c r="L18" s="35"/>
      <c r="M18" s="35"/>
      <c r="N18" s="10" t="e">
        <f>IF(H18=June!$E$2,"N",IF(AND(COUNTIF(B:B,B18)=1,D18&gt;14),"Y","N"))</f>
        <v>#N/A</v>
      </c>
      <c r="O18" s="55" t="str">
        <f>IF(COUNT(June[[#This Row],[Date]])&gt;0,IF(June[[#This Row],[Date]]&gt;14,"Yes","No"),"N/A")</f>
        <v>N/A</v>
      </c>
      <c r="P18" s="55"/>
      <c r="Q18" s="5">
        <f>Relay!A17</f>
        <v>0</v>
      </c>
      <c r="R18" s="5">
        <f>Relay!B17</f>
        <v>16</v>
      </c>
      <c r="S18" s="8">
        <f>SUMIF(June[SysID],R18,June[Pay Amount])+IF(May[After the 14th?]="Yes",SUMIF(May[SysID],R18,May[Pay Amount]),0)</f>
        <v>0</v>
      </c>
      <c r="T18" s="8"/>
      <c r="U18" s="5" t="str">
        <f t="shared" si="2"/>
        <v>N</v>
      </c>
      <c r="X18" s="56"/>
      <c r="Y18" s="56"/>
      <c r="Z18" s="56"/>
      <c r="AA18" s="56"/>
      <c r="AC18" s="56"/>
    </row>
    <row r="19" spans="1:29" x14ac:dyDescent="0.25">
      <c r="A19" s="35"/>
      <c r="B19" s="5" t="e">
        <f>VLOOKUP(A19,Relay!$A$1:$B$50,2,FALSE)</f>
        <v>#N/A</v>
      </c>
      <c r="C19" s="5" t="e">
        <f>VLOOKUP(A19,Relay!$A$2:$C$51,3,FALSE)</f>
        <v>#N/A</v>
      </c>
      <c r="D19" s="39"/>
      <c r="E19" s="35"/>
      <c r="F19" s="35" t="str">
        <f t="shared" si="0"/>
        <v>INS</v>
      </c>
      <c r="G19" s="5" t="e">
        <f>IF(OR(E19="Jeopardy",E19="APP Moonlighting",E19="Differential Pay"),"",June[[#This Row],[SysID]])</f>
        <v>#N/A</v>
      </c>
      <c r="H19" s="5" t="e">
        <f>IF(E19="Jeopardy",IF(C19="MD",Relay!$E$7,Relay!$E$8),IF(C19="MD",IF(COUNTIF(G:G,B19)&gt;1,Relay!$E$2,Relay!$E$1),IF(AND(COUNTIF(G:G,B19)&gt;1,COUNTA(A19)&gt;0),Relay!$E$5,Relay!$E$4)))</f>
        <v>#N/A</v>
      </c>
      <c r="I19" s="8">
        <f t="shared" si="1"/>
        <v>0</v>
      </c>
      <c r="J19" s="35"/>
      <c r="K19" s="35"/>
      <c r="L19" s="35"/>
      <c r="M19" s="35"/>
      <c r="N19" s="10" t="e">
        <f>IF(H19=June!$E$2,"N",IF(AND(COUNTIF(B:B,B19)=1,D19&gt;14),"Y","N"))</f>
        <v>#N/A</v>
      </c>
      <c r="O19" s="55" t="str">
        <f>IF(COUNT(June[[#This Row],[Date]])&gt;0,IF(June[[#This Row],[Date]]&gt;14,"Yes","No"),"N/A")</f>
        <v>N/A</v>
      </c>
      <c r="P19" s="55"/>
      <c r="Q19" s="5">
        <f>Relay!A18</f>
        <v>0</v>
      </c>
      <c r="R19" s="5">
        <f>Relay!B18</f>
        <v>17</v>
      </c>
      <c r="S19" s="8">
        <f>SUMIF(June[SysID],R19,June[Pay Amount])+IF(May[After the 14th?]="Yes",SUMIF(May[SysID],R19,May[Pay Amount]),0)</f>
        <v>0</v>
      </c>
      <c r="T19" s="8"/>
      <c r="U19" s="5" t="str">
        <f t="shared" si="2"/>
        <v>N</v>
      </c>
      <c r="X19" s="56"/>
      <c r="Y19" s="56"/>
      <c r="Z19" s="56"/>
      <c r="AA19" s="56"/>
      <c r="AC19" s="56"/>
    </row>
    <row r="20" spans="1:29" x14ac:dyDescent="0.25">
      <c r="A20" s="35"/>
      <c r="B20" s="5" t="e">
        <f>VLOOKUP(A20,Relay!$A$1:$B$50,2,FALSE)</f>
        <v>#N/A</v>
      </c>
      <c r="C20" s="5" t="e">
        <f>VLOOKUP(A20,Relay!$A$2:$C$51,3,FALSE)</f>
        <v>#N/A</v>
      </c>
      <c r="D20" s="39"/>
      <c r="E20" s="35"/>
      <c r="F20" s="35" t="str">
        <f t="shared" si="0"/>
        <v>INS</v>
      </c>
      <c r="G20" s="5" t="e">
        <f>IF(OR(E20="Jeopardy",E20="APP Moonlighting",E20="Differential Pay"),"",June[[#This Row],[SysID]])</f>
        <v>#N/A</v>
      </c>
      <c r="H20" s="5" t="e">
        <f>IF(E20="Jeopardy",IF(C20="MD",Relay!$E$7,Relay!$E$8),IF(C20="MD",IF(COUNTIF(G:G,B20)&gt;1,Relay!$E$2,Relay!$E$1),IF(AND(COUNTIF(G:G,B20)&gt;1,COUNTA(A20)&gt;0),Relay!$E$5,Relay!$E$4)))</f>
        <v>#N/A</v>
      </c>
      <c r="I20" s="8">
        <f t="shared" si="1"/>
        <v>0</v>
      </c>
      <c r="J20" s="35"/>
      <c r="K20" s="35"/>
      <c r="L20" s="35"/>
      <c r="M20" s="35"/>
      <c r="N20" s="10" t="e">
        <f>IF(H20=June!$E$2,"N",IF(AND(COUNTIF(B:B,B20)=1,D20&gt;14),"Y","N"))</f>
        <v>#N/A</v>
      </c>
      <c r="O20" s="55" t="str">
        <f>IF(COUNT(June[[#This Row],[Date]])&gt;0,IF(June[[#This Row],[Date]]&gt;14,"Yes","No"),"N/A")</f>
        <v>N/A</v>
      </c>
      <c r="P20" s="55"/>
      <c r="Q20" s="5">
        <f>Relay!A19</f>
        <v>0</v>
      </c>
      <c r="R20" s="5">
        <f>Relay!B19</f>
        <v>18</v>
      </c>
      <c r="S20" s="8">
        <f>SUMIF(June[SysID],R20,June[Pay Amount])+IF(May[After the 14th?]="Yes",SUMIF(May[SysID],R20,May[Pay Amount]),0)</f>
        <v>0</v>
      </c>
      <c r="T20" s="8"/>
      <c r="U20" s="5" t="str">
        <f t="shared" si="2"/>
        <v>N</v>
      </c>
      <c r="X20" s="56"/>
      <c r="Y20" s="56"/>
      <c r="Z20" s="56"/>
      <c r="AA20" s="56"/>
      <c r="AC20" s="56"/>
    </row>
    <row r="21" spans="1:29" x14ac:dyDescent="0.25">
      <c r="A21" s="35"/>
      <c r="B21" s="5" t="e">
        <f>VLOOKUP(A21,Relay!$A$1:$B$50,2,FALSE)</f>
        <v>#N/A</v>
      </c>
      <c r="C21" s="5" t="e">
        <f>VLOOKUP(A21,Relay!$A$2:$C$51,3,FALSE)</f>
        <v>#N/A</v>
      </c>
      <c r="D21" s="39"/>
      <c r="E21" s="35"/>
      <c r="F21" s="35" t="str">
        <f t="shared" si="0"/>
        <v>INS</v>
      </c>
      <c r="G21" s="5" t="e">
        <f>IF(OR(E21="Jeopardy",E21="APP Moonlighting",E21="Differential Pay"),"",June[[#This Row],[SysID]])</f>
        <v>#N/A</v>
      </c>
      <c r="H21" s="5" t="e">
        <f>IF(E21="Jeopardy",IF(C21="MD",Relay!$E$7,Relay!$E$8),IF(C21="MD",IF(COUNTIF(G:G,B21)&gt;1,Relay!$E$2,Relay!$E$1),IF(AND(COUNTIF(G:G,B21)&gt;1,COUNTA(A21)&gt;0),Relay!$E$5,Relay!$E$4)))</f>
        <v>#N/A</v>
      </c>
      <c r="I21" s="8">
        <f t="shared" si="1"/>
        <v>0</v>
      </c>
      <c r="J21" s="35"/>
      <c r="K21" s="35"/>
      <c r="L21" s="35"/>
      <c r="M21" s="35"/>
      <c r="N21" s="10" t="e">
        <f>IF(H21=June!$E$2,"N",IF(AND(COUNTIF(B:B,B21)=1,D21&gt;14),"Y","N"))</f>
        <v>#N/A</v>
      </c>
      <c r="O21" s="55" t="str">
        <f>IF(COUNT(June[[#This Row],[Date]])&gt;0,IF(June[[#This Row],[Date]]&gt;14,"Yes","No"),"N/A")</f>
        <v>N/A</v>
      </c>
      <c r="P21" s="55"/>
      <c r="Q21" s="5">
        <f>Relay!A20</f>
        <v>0</v>
      </c>
      <c r="R21" s="5">
        <f>Relay!B20</f>
        <v>19</v>
      </c>
      <c r="S21" s="8">
        <f>SUMIF(June[SysID],R21,June[Pay Amount])+IF(May[After the 14th?]="Yes",SUMIF(May[SysID],R21,May[Pay Amount]),0)</f>
        <v>0</v>
      </c>
      <c r="T21" s="8"/>
      <c r="U21" s="5" t="str">
        <f t="shared" si="2"/>
        <v>N</v>
      </c>
      <c r="X21" s="56"/>
      <c r="Y21" s="56"/>
      <c r="Z21" s="56"/>
      <c r="AA21" s="56"/>
      <c r="AC21" s="56"/>
    </row>
    <row r="22" spans="1:29" x14ac:dyDescent="0.25">
      <c r="A22" s="35"/>
      <c r="B22" s="5" t="e">
        <f>VLOOKUP(A22,Relay!$A$1:$B$50,2,FALSE)</f>
        <v>#N/A</v>
      </c>
      <c r="C22" s="5" t="e">
        <f>VLOOKUP(A22,Relay!$A$2:$C$51,3,FALSE)</f>
        <v>#N/A</v>
      </c>
      <c r="D22" s="39"/>
      <c r="E22" s="35"/>
      <c r="F22" s="35" t="str">
        <f t="shared" si="0"/>
        <v>INS</v>
      </c>
      <c r="G22" s="5" t="e">
        <f>IF(OR(E22="Jeopardy",E22="APP Moonlighting",E22="Differential Pay"),"",June[[#This Row],[SysID]])</f>
        <v>#N/A</v>
      </c>
      <c r="H22" s="5" t="e">
        <f>IF(E22="Jeopardy",IF(C22="MD",Relay!$E$7,Relay!$E$8),IF(C22="MD",IF(COUNTIF(G:G,B22)&gt;1,Relay!$E$2,Relay!$E$1),IF(AND(COUNTIF(G:G,B22)&gt;1,COUNTA(A22)&gt;0),Relay!$E$5,Relay!$E$4)))</f>
        <v>#N/A</v>
      </c>
      <c r="I22" s="8">
        <f t="shared" si="1"/>
        <v>0</v>
      </c>
      <c r="J22" s="35"/>
      <c r="K22" s="35"/>
      <c r="L22" s="35"/>
      <c r="M22" s="35"/>
      <c r="N22" s="10" t="e">
        <f>IF(H22=June!$E$2,"N",IF(AND(COUNTIF(B:B,B22)=1,D22&gt;14),"Y","N"))</f>
        <v>#N/A</v>
      </c>
      <c r="O22" s="55" t="str">
        <f>IF(COUNT(June[[#This Row],[Date]])&gt;0,IF(June[[#This Row],[Date]]&gt;14,"Yes","No"),"N/A")</f>
        <v>N/A</v>
      </c>
      <c r="P22" s="55"/>
      <c r="Q22" s="5">
        <f>Relay!A21</f>
        <v>0</v>
      </c>
      <c r="R22" s="5">
        <f>Relay!B21</f>
        <v>20</v>
      </c>
      <c r="S22" s="8">
        <f>SUMIF(June[SysID],R22,June[Pay Amount])+IF(May[After the 14th?]="Yes",SUMIF(May[SysID],R22,May[Pay Amount]),0)</f>
        <v>0</v>
      </c>
      <c r="T22" s="8"/>
      <c r="U22" s="5" t="str">
        <f t="shared" si="2"/>
        <v>N</v>
      </c>
      <c r="X22" s="56"/>
      <c r="Y22" s="56"/>
      <c r="Z22" s="56"/>
      <c r="AA22" s="56"/>
      <c r="AC22" s="56"/>
    </row>
    <row r="23" spans="1:29" x14ac:dyDescent="0.25">
      <c r="A23" s="35"/>
      <c r="B23" s="5" t="e">
        <f>VLOOKUP(A23,Relay!$A$1:$B$50,2,FALSE)</f>
        <v>#N/A</v>
      </c>
      <c r="C23" s="5" t="e">
        <f>VLOOKUP(A23,Relay!$A$2:$C$51,3,FALSE)</f>
        <v>#N/A</v>
      </c>
      <c r="D23" s="39"/>
      <c r="E23" s="35"/>
      <c r="F23" s="35" t="str">
        <f t="shared" si="0"/>
        <v>INS</v>
      </c>
      <c r="G23" s="5" t="e">
        <f>IF(OR(E23="Jeopardy",E23="APP Moonlighting",E23="Differential Pay"),"",June[[#This Row],[SysID]])</f>
        <v>#N/A</v>
      </c>
      <c r="H23" s="5" t="e">
        <f>IF(E23="Jeopardy",IF(C23="MD",Relay!$E$7,Relay!$E$8),IF(C23="MD",IF(COUNTIF(G:G,B23)&gt;1,Relay!$E$2,Relay!$E$1),IF(AND(COUNTIF(G:G,B23)&gt;1,COUNTA(A23)&gt;0),Relay!$E$5,Relay!$E$4)))</f>
        <v>#N/A</v>
      </c>
      <c r="I23" s="8">
        <f t="shared" si="1"/>
        <v>0</v>
      </c>
      <c r="J23" s="35"/>
      <c r="K23" s="35"/>
      <c r="L23" s="35"/>
      <c r="M23" s="35"/>
      <c r="N23" s="10" t="e">
        <f>IF(H23=June!$E$2,"N",IF(AND(COUNTIF(B:B,B23)=1,D23&gt;14),"Y","N"))</f>
        <v>#N/A</v>
      </c>
      <c r="O23" s="55" t="str">
        <f>IF(COUNT(June[[#This Row],[Date]])&gt;0,IF(June[[#This Row],[Date]]&gt;14,"Yes","No"),"N/A")</f>
        <v>N/A</v>
      </c>
      <c r="P23" s="55"/>
      <c r="Q23" s="5">
        <f>Relay!A22</f>
        <v>0</v>
      </c>
      <c r="R23" s="5">
        <f>Relay!B22</f>
        <v>21</v>
      </c>
      <c r="S23" s="8">
        <f>SUMIF(June[SysID],R23,June[Pay Amount])+IF(May[After the 14th?]="Yes",SUMIF(May[SysID],R23,May[Pay Amount]),0)</f>
        <v>0</v>
      </c>
      <c r="T23" s="8"/>
      <c r="U23" s="5" t="str">
        <f t="shared" si="2"/>
        <v>N</v>
      </c>
      <c r="X23" s="56"/>
      <c r="Y23" s="56"/>
      <c r="Z23" s="56"/>
      <c r="AA23" s="56"/>
      <c r="AC23" s="56"/>
    </row>
    <row r="24" spans="1:29" x14ac:dyDescent="0.25">
      <c r="A24" s="35"/>
      <c r="B24" s="5" t="e">
        <f>VLOOKUP(A24,Relay!$A$1:$B$50,2,FALSE)</f>
        <v>#N/A</v>
      </c>
      <c r="C24" s="5" t="e">
        <f>VLOOKUP(A24,Relay!$A$2:$C$51,3,FALSE)</f>
        <v>#N/A</v>
      </c>
      <c r="D24" s="39"/>
      <c r="E24" s="35"/>
      <c r="F24" s="35" t="str">
        <f t="shared" si="0"/>
        <v>INS</v>
      </c>
      <c r="G24" s="5" t="e">
        <f>IF(OR(E24="Jeopardy",E24="APP Moonlighting",E24="Differential Pay"),"",June[[#This Row],[SysID]])</f>
        <v>#N/A</v>
      </c>
      <c r="H24" s="5" t="e">
        <f>IF(E24="Jeopardy",IF(C24="MD",Relay!$E$7,Relay!$E$8),IF(C24="MD",IF(COUNTIF(G:G,B24)&gt;1,Relay!$E$2,Relay!$E$1),IF(AND(COUNTIF(G:G,B24)&gt;1,COUNTA(A24)&gt;0),Relay!$E$5,Relay!$E$4)))</f>
        <v>#N/A</v>
      </c>
      <c r="I24" s="8">
        <f t="shared" si="1"/>
        <v>0</v>
      </c>
      <c r="J24" s="35"/>
      <c r="K24" s="35"/>
      <c r="L24" s="35"/>
      <c r="M24" s="35"/>
      <c r="N24" s="10" t="e">
        <f>IF(H24=June!$E$2,"N",IF(AND(COUNTIF(B:B,B24)=1,D24&gt;14),"Y","N"))</f>
        <v>#N/A</v>
      </c>
      <c r="O24" s="55" t="str">
        <f>IF(COUNT(June[[#This Row],[Date]])&gt;0,IF(June[[#This Row],[Date]]&gt;14,"Yes","No"),"N/A")</f>
        <v>N/A</v>
      </c>
      <c r="P24" s="55"/>
      <c r="Q24" s="5">
        <f>Relay!A23</f>
        <v>0</v>
      </c>
      <c r="R24" s="5">
        <f>Relay!B23</f>
        <v>22</v>
      </c>
      <c r="S24" s="8">
        <f>SUMIF(June[SysID],R24,June[Pay Amount])+IF(May[After the 14th?]="Yes",SUMIF(May[SysID],R24,May[Pay Amount]),0)</f>
        <v>0</v>
      </c>
      <c r="T24" s="8"/>
      <c r="U24" s="5" t="str">
        <f t="shared" si="2"/>
        <v>N</v>
      </c>
      <c r="X24" s="56"/>
      <c r="Y24" s="56"/>
      <c r="Z24" s="56"/>
      <c r="AA24" s="56"/>
      <c r="AC24" s="56"/>
    </row>
    <row r="25" spans="1:29" x14ac:dyDescent="0.25">
      <c r="A25" s="35"/>
      <c r="B25" s="5" t="e">
        <f>VLOOKUP(A25,Relay!$A$1:$B$50,2,FALSE)</f>
        <v>#N/A</v>
      </c>
      <c r="C25" s="5" t="e">
        <f>VLOOKUP(A25,Relay!$A$2:$C$51,3,FALSE)</f>
        <v>#N/A</v>
      </c>
      <c r="D25" s="39"/>
      <c r="E25" s="35"/>
      <c r="F25" s="35" t="str">
        <f t="shared" si="0"/>
        <v>INS</v>
      </c>
      <c r="G25" s="5" t="e">
        <f>IF(OR(E25="Jeopardy",E25="APP Moonlighting",E25="Differential Pay"),"",June[[#This Row],[SysID]])</f>
        <v>#N/A</v>
      </c>
      <c r="H25" s="5" t="e">
        <f>IF(E25="Jeopardy",IF(C25="MD",Relay!$E$7,Relay!$E$8),IF(C25="MD",IF(COUNTIF(G:G,B25)&gt;1,Relay!$E$2,Relay!$E$1),IF(AND(COUNTIF(G:G,B25)&gt;1,COUNTA(A25)&gt;0),Relay!$E$5,Relay!$E$4)))</f>
        <v>#N/A</v>
      </c>
      <c r="I25" s="8">
        <f t="shared" si="1"/>
        <v>0</v>
      </c>
      <c r="J25" s="35"/>
      <c r="K25" s="35"/>
      <c r="L25" s="35"/>
      <c r="M25" s="35"/>
      <c r="N25" s="10" t="e">
        <f>IF(H25=June!$E$2,"N",IF(AND(COUNTIF(B:B,B25)=1,D25&gt;14),"Y","N"))</f>
        <v>#N/A</v>
      </c>
      <c r="O25" s="55" t="str">
        <f>IF(COUNT(June[[#This Row],[Date]])&gt;0,IF(June[[#This Row],[Date]]&gt;14,"Yes","No"),"N/A")</f>
        <v>N/A</v>
      </c>
      <c r="P25" s="55"/>
      <c r="Q25" s="5">
        <f>Relay!A24</f>
        <v>0</v>
      </c>
      <c r="R25" s="5">
        <f>Relay!B24</f>
        <v>23</v>
      </c>
      <c r="S25" s="8">
        <f>SUMIF(June[SysID],R25,June[Pay Amount])+IF(May[After the 14th?]="Yes",SUMIF(May[SysID],R25,May[Pay Amount]),0)</f>
        <v>0</v>
      </c>
      <c r="T25" s="8"/>
      <c r="U25" s="5" t="str">
        <f t="shared" si="2"/>
        <v>N</v>
      </c>
      <c r="X25" s="56"/>
      <c r="Y25" s="56"/>
      <c r="Z25" s="56"/>
      <c r="AA25" s="56"/>
      <c r="AC25" s="56"/>
    </row>
    <row r="26" spans="1:29" x14ac:dyDescent="0.25">
      <c r="A26" s="35"/>
      <c r="B26" s="5" t="e">
        <f>VLOOKUP(A26,Relay!$A$1:$B$50,2,FALSE)</f>
        <v>#N/A</v>
      </c>
      <c r="C26" s="5" t="e">
        <f>VLOOKUP(A26,Relay!$A$2:$C$51,3,FALSE)</f>
        <v>#N/A</v>
      </c>
      <c r="D26" s="39"/>
      <c r="E26" s="35"/>
      <c r="F26" s="35" t="str">
        <f t="shared" si="0"/>
        <v>INS</v>
      </c>
      <c r="G26" s="5" t="e">
        <f>IF(OR(E26="Jeopardy",E26="APP Moonlighting",E26="Differential Pay"),"",June[[#This Row],[SysID]])</f>
        <v>#N/A</v>
      </c>
      <c r="H26" s="5" t="e">
        <f>IF(E26="Jeopardy",IF(C26="MD",Relay!$E$7,Relay!$E$8),IF(C26="MD",IF(COUNTIF(G:G,B26)&gt;1,Relay!$E$2,Relay!$E$1),IF(AND(COUNTIF(G:G,B26)&gt;1,COUNTA(A26)&gt;0),Relay!$E$5,Relay!$E$4)))</f>
        <v>#N/A</v>
      </c>
      <c r="I26" s="8">
        <f t="shared" si="1"/>
        <v>0</v>
      </c>
      <c r="J26" s="35"/>
      <c r="K26" s="35"/>
      <c r="L26" s="35"/>
      <c r="M26" s="35"/>
      <c r="N26" s="10" t="e">
        <f>IF(H26=June!$E$2,"N",IF(AND(COUNTIF(B:B,B26)=1,D26&gt;14),"Y","N"))</f>
        <v>#N/A</v>
      </c>
      <c r="O26" s="55" t="str">
        <f>IF(COUNT(June[[#This Row],[Date]])&gt;0,IF(June[[#This Row],[Date]]&gt;14,"Yes","No"),"N/A")</f>
        <v>N/A</v>
      </c>
      <c r="P26" s="55"/>
      <c r="Q26" s="5">
        <f>Relay!A25</f>
        <v>0</v>
      </c>
      <c r="R26" s="5">
        <f>Relay!B25</f>
        <v>24</v>
      </c>
      <c r="S26" s="8">
        <f>SUMIF(June[SysID],R26,June[Pay Amount])+IF(May[After the 14th?]="Yes",SUMIF(May[SysID],R26,May[Pay Amount]),0)</f>
        <v>0</v>
      </c>
      <c r="T26" s="8"/>
      <c r="U26" s="5" t="str">
        <f t="shared" si="2"/>
        <v>N</v>
      </c>
      <c r="X26" s="56"/>
      <c r="Y26" s="56"/>
      <c r="Z26" s="56"/>
      <c r="AA26" s="56"/>
      <c r="AC26" s="56"/>
    </row>
    <row r="27" spans="1:29" x14ac:dyDescent="0.25">
      <c r="A27" s="35"/>
      <c r="B27" s="5" t="e">
        <f>VLOOKUP(A27,Relay!$A$1:$B$50,2,FALSE)</f>
        <v>#N/A</v>
      </c>
      <c r="C27" s="5" t="e">
        <f>VLOOKUP(A27,Relay!$A$2:$C$51,3,FALSE)</f>
        <v>#N/A</v>
      </c>
      <c r="D27" s="39"/>
      <c r="E27" s="35"/>
      <c r="F27" s="35" t="str">
        <f t="shared" si="0"/>
        <v>INS</v>
      </c>
      <c r="G27" s="5" t="e">
        <f>IF(OR(E27="Jeopardy",E27="APP Moonlighting",E27="Differential Pay"),"",June[[#This Row],[SysID]])</f>
        <v>#N/A</v>
      </c>
      <c r="H27" s="5" t="e">
        <f>IF(E27="Jeopardy",IF(C27="MD",Relay!$E$7,Relay!$E$8),IF(C27="MD",IF(COUNTIF(G:G,B27)&gt;1,Relay!$E$2,Relay!$E$1),IF(AND(COUNTIF(G:G,B27)&gt;1,COUNTA(A27)&gt;0),Relay!$E$5,Relay!$E$4)))</f>
        <v>#N/A</v>
      </c>
      <c r="I27" s="8">
        <f t="shared" si="1"/>
        <v>0</v>
      </c>
      <c r="J27" s="35"/>
      <c r="K27" s="35"/>
      <c r="L27" s="35"/>
      <c r="M27" s="35"/>
      <c r="N27" s="10" t="e">
        <f>IF(H27=June!$E$2,"N",IF(AND(COUNTIF(B:B,B27)=1,D27&gt;14),"Y","N"))</f>
        <v>#N/A</v>
      </c>
      <c r="O27" s="55" t="str">
        <f>IF(COUNT(June[[#This Row],[Date]])&gt;0,IF(June[[#This Row],[Date]]&gt;14,"Yes","No"),"N/A")</f>
        <v>N/A</v>
      </c>
      <c r="P27" s="55"/>
      <c r="Q27" s="5">
        <f>Relay!A26</f>
        <v>0</v>
      </c>
      <c r="R27" s="5">
        <f>Relay!B26</f>
        <v>25</v>
      </c>
      <c r="S27" s="8">
        <f>SUMIF(June[SysID],R27,June[Pay Amount])+IF(May[After the 14th?]="Yes",SUMIF(May[SysID],R27,May[Pay Amount]),0)</f>
        <v>0</v>
      </c>
      <c r="T27" s="8"/>
      <c r="U27" s="5" t="str">
        <f t="shared" si="2"/>
        <v>N</v>
      </c>
      <c r="X27" s="56"/>
      <c r="Y27" s="56"/>
      <c r="Z27" s="56"/>
      <c r="AA27" s="56"/>
      <c r="AC27" s="56"/>
    </row>
    <row r="28" spans="1:29" x14ac:dyDescent="0.25">
      <c r="A28" s="35"/>
      <c r="B28" s="5" t="e">
        <f>VLOOKUP(A28,Relay!$A$1:$B$50,2,FALSE)</f>
        <v>#N/A</v>
      </c>
      <c r="C28" s="5" t="e">
        <f>VLOOKUP(A28,Relay!$A$2:$C$51,3,FALSE)</f>
        <v>#N/A</v>
      </c>
      <c r="D28" s="39"/>
      <c r="E28" s="35"/>
      <c r="F28" s="35" t="str">
        <f t="shared" si="0"/>
        <v>INS</v>
      </c>
      <c r="G28" s="5" t="e">
        <f>IF(OR(E28="Jeopardy",E28="APP Moonlighting",E28="Differential Pay"),"",June[[#This Row],[SysID]])</f>
        <v>#N/A</v>
      </c>
      <c r="H28" s="5" t="e">
        <f>IF(E28="Jeopardy",IF(C28="MD",Relay!$E$7,Relay!$E$8),IF(C28="MD",IF(COUNTIF(G:G,B28)&gt;1,Relay!$E$2,Relay!$E$1),IF(AND(COUNTIF(G:G,B28)&gt;1,COUNTA(A28)&gt;0),Relay!$E$5,Relay!$E$4)))</f>
        <v>#N/A</v>
      </c>
      <c r="I28" s="8">
        <f t="shared" si="1"/>
        <v>0</v>
      </c>
      <c r="J28" s="35"/>
      <c r="K28" s="35"/>
      <c r="L28" s="35"/>
      <c r="M28" s="35"/>
      <c r="N28" s="10" t="e">
        <f>IF(H28=June!$E$2,"N",IF(AND(COUNTIF(B:B,B28)=1,D28&gt;14),"Y","N"))</f>
        <v>#N/A</v>
      </c>
      <c r="O28" s="55" t="str">
        <f>IF(COUNT(June[[#This Row],[Date]])&gt;0,IF(June[[#This Row],[Date]]&gt;14,"Yes","No"),"N/A")</f>
        <v>N/A</v>
      </c>
      <c r="P28" s="55"/>
      <c r="Q28" s="5">
        <f>Relay!A27</f>
        <v>0</v>
      </c>
      <c r="R28" s="5">
        <f>Relay!B27</f>
        <v>26</v>
      </c>
      <c r="S28" s="8">
        <f>SUMIF(June[SysID],R28,June[Pay Amount])+IF(May[After the 14th?]="Yes",SUMIF(May[SysID],R28,May[Pay Amount]),0)</f>
        <v>0</v>
      </c>
      <c r="T28" s="8"/>
      <c r="U28" s="5" t="str">
        <f t="shared" si="2"/>
        <v>N</v>
      </c>
      <c r="X28" s="56"/>
      <c r="Y28" s="56"/>
      <c r="Z28" s="56"/>
      <c r="AA28" s="56"/>
      <c r="AC28" s="56"/>
    </row>
    <row r="29" spans="1:29" x14ac:dyDescent="0.25">
      <c r="A29" s="35"/>
      <c r="B29" s="5" t="e">
        <f>VLOOKUP(A29,Relay!$A$1:$B$50,2,FALSE)</f>
        <v>#N/A</v>
      </c>
      <c r="C29" s="5" t="e">
        <f>VLOOKUP(A29,Relay!$A$2:$C$51,3,FALSE)</f>
        <v>#N/A</v>
      </c>
      <c r="D29" s="39"/>
      <c r="E29" s="35"/>
      <c r="F29" s="35" t="str">
        <f t="shared" si="0"/>
        <v>INS</v>
      </c>
      <c r="G29" s="5" t="e">
        <f>IF(OR(E29="Jeopardy",E29="APP Moonlighting",E29="Differential Pay"),"",June[[#This Row],[SysID]])</f>
        <v>#N/A</v>
      </c>
      <c r="H29" s="5" t="e">
        <f>IF(E29="Jeopardy",IF(C29="MD",Relay!$E$7,Relay!$E$8),IF(C29="MD",IF(COUNTIF(G:G,B29)&gt;1,Relay!$E$2,Relay!$E$1),IF(AND(COUNTIF(G:G,B29)&gt;1,COUNTA(A29)&gt;0),Relay!$E$5,Relay!$E$4)))</f>
        <v>#N/A</v>
      </c>
      <c r="I29" s="8">
        <f t="shared" si="1"/>
        <v>0</v>
      </c>
      <c r="J29" s="35"/>
      <c r="K29" s="35"/>
      <c r="L29" s="35"/>
      <c r="M29" s="35"/>
      <c r="N29" s="10" t="e">
        <f>IF(H29=June!$E$2,"N",IF(AND(COUNTIF(B:B,B29)=1,D29&gt;14),"Y","N"))</f>
        <v>#N/A</v>
      </c>
      <c r="O29" s="55" t="str">
        <f>IF(COUNT(June[[#This Row],[Date]])&gt;0,IF(June[[#This Row],[Date]]&gt;14,"Yes","No"),"N/A")</f>
        <v>N/A</v>
      </c>
      <c r="P29" s="55"/>
      <c r="Q29" s="5">
        <f>Relay!A28</f>
        <v>0</v>
      </c>
      <c r="R29" s="5">
        <f>Relay!B28</f>
        <v>27</v>
      </c>
      <c r="S29" s="8">
        <f>SUMIF(June[SysID],R29,June[Pay Amount])+IF(May[After the 14th?]="Yes",SUMIF(May[SysID],R29,May[Pay Amount]),0)</f>
        <v>0</v>
      </c>
      <c r="T29" s="8"/>
      <c r="U29" s="5" t="str">
        <f t="shared" si="2"/>
        <v>N</v>
      </c>
      <c r="X29" s="56"/>
      <c r="Y29" s="56"/>
      <c r="Z29" s="56"/>
      <c r="AA29" s="56"/>
      <c r="AC29" s="56"/>
    </row>
    <row r="30" spans="1:29" x14ac:dyDescent="0.25">
      <c r="A30" s="35"/>
      <c r="B30" s="5" t="e">
        <f>VLOOKUP(A30,Relay!$A$1:$B$50,2,FALSE)</f>
        <v>#N/A</v>
      </c>
      <c r="C30" s="5" t="e">
        <f>VLOOKUP(A30,Relay!$A$2:$C$51,3,FALSE)</f>
        <v>#N/A</v>
      </c>
      <c r="D30" s="39"/>
      <c r="E30" s="35"/>
      <c r="F30" s="35" t="str">
        <f t="shared" si="0"/>
        <v>INS</v>
      </c>
      <c r="G30" s="5" t="e">
        <f>IF(OR(E30="Jeopardy",E30="APP Moonlighting",E30="Differential Pay"),"",June[[#This Row],[SysID]])</f>
        <v>#N/A</v>
      </c>
      <c r="H30" s="5" t="e">
        <f>IF(E30="Jeopardy",IF(C30="MD",Relay!$E$7,Relay!$E$8),IF(C30="MD",IF(COUNTIF(G:G,B30)&gt;1,Relay!$E$2,Relay!$E$1),IF(AND(COUNTIF(G:G,B30)&gt;1,COUNTA(A30)&gt;0),Relay!$E$5,Relay!$E$4)))</f>
        <v>#N/A</v>
      </c>
      <c r="I30" s="8">
        <f t="shared" si="1"/>
        <v>0</v>
      </c>
      <c r="J30" s="35"/>
      <c r="K30" s="35"/>
      <c r="L30" s="35"/>
      <c r="M30" s="35"/>
      <c r="N30" s="10" t="e">
        <f>IF(H30=June!$E$2,"N",IF(AND(COUNTIF(B:B,B30)=1,D30&gt;14),"Y","N"))</f>
        <v>#N/A</v>
      </c>
      <c r="O30" s="55" t="str">
        <f>IF(COUNT(June[[#This Row],[Date]])&gt;0,IF(June[[#This Row],[Date]]&gt;14,"Yes","No"),"N/A")</f>
        <v>N/A</v>
      </c>
      <c r="P30" s="55"/>
      <c r="Q30" s="5">
        <f>Relay!A29</f>
        <v>0</v>
      </c>
      <c r="R30" s="5">
        <f>Relay!B29</f>
        <v>28</v>
      </c>
      <c r="S30" s="8">
        <f>SUMIF(June[SysID],R30,June[Pay Amount])+IF(May[After the 14th?]="Yes",SUMIF(May[SysID],R30,May[Pay Amount]),0)</f>
        <v>0</v>
      </c>
      <c r="T30" s="8"/>
      <c r="U30" s="5" t="str">
        <f t="shared" si="2"/>
        <v>N</v>
      </c>
      <c r="X30" s="56"/>
      <c r="Y30" s="56"/>
      <c r="Z30" s="56"/>
      <c r="AA30" s="56"/>
      <c r="AC30" s="56"/>
    </row>
    <row r="31" spans="1:29" x14ac:dyDescent="0.25">
      <c r="A31" s="35"/>
      <c r="B31" s="5" t="e">
        <f>VLOOKUP(A31,Relay!$A$1:$B$50,2,FALSE)</f>
        <v>#N/A</v>
      </c>
      <c r="C31" s="5" t="e">
        <f>VLOOKUP(A31,Relay!$A$2:$C$51,3,FALSE)</f>
        <v>#N/A</v>
      </c>
      <c r="D31" s="39"/>
      <c r="E31" s="35"/>
      <c r="F31" s="35" t="str">
        <f t="shared" si="0"/>
        <v>INS</v>
      </c>
      <c r="G31" s="5" t="e">
        <f>IF(OR(E31="Jeopardy",E31="APP Moonlighting",E31="Differential Pay"),"",June[[#This Row],[SysID]])</f>
        <v>#N/A</v>
      </c>
      <c r="H31" s="5" t="e">
        <f>IF(E31="Jeopardy",IF(C31="MD",Relay!$E$7,Relay!$E$8),IF(C31="MD",IF(COUNTIF(G:G,B31)&gt;1,Relay!$E$2,Relay!$E$1),IF(AND(COUNTIF(G:G,B31)&gt;1,COUNTA(A31)&gt;0),Relay!$E$5,Relay!$E$4)))</f>
        <v>#N/A</v>
      </c>
      <c r="I31" s="8">
        <f t="shared" si="1"/>
        <v>0</v>
      </c>
      <c r="J31" s="35"/>
      <c r="K31" s="35"/>
      <c r="L31" s="35"/>
      <c r="M31" s="35"/>
      <c r="N31" s="10" t="e">
        <f>IF(H31=June!$E$2,"N",IF(AND(COUNTIF(B:B,B31)=1,D31&gt;14),"Y","N"))</f>
        <v>#N/A</v>
      </c>
      <c r="O31" s="55" t="str">
        <f>IF(COUNT(June[[#This Row],[Date]])&gt;0,IF(June[[#This Row],[Date]]&gt;14,"Yes","No"),"N/A")</f>
        <v>N/A</v>
      </c>
      <c r="P31" s="55"/>
      <c r="Q31" s="5">
        <f>Relay!A30</f>
        <v>0</v>
      </c>
      <c r="R31" s="5">
        <f>Relay!B30</f>
        <v>29</v>
      </c>
      <c r="S31" s="8">
        <f>SUMIF(June[SysID],R31,June[Pay Amount])+IF(May[After the 14th?]="Yes",SUMIF(May[SysID],R31,May[Pay Amount]),0)</f>
        <v>0</v>
      </c>
      <c r="T31" s="8"/>
      <c r="U31" s="5" t="str">
        <f t="shared" si="2"/>
        <v>N</v>
      </c>
      <c r="X31" s="56"/>
      <c r="Y31" s="56"/>
      <c r="Z31" s="56"/>
      <c r="AA31" s="56"/>
      <c r="AC31" s="56"/>
    </row>
    <row r="32" spans="1:29" x14ac:dyDescent="0.25">
      <c r="A32" s="35"/>
      <c r="B32" s="5" t="e">
        <f>VLOOKUP(A32,Relay!$A$1:$B$50,2,FALSE)</f>
        <v>#N/A</v>
      </c>
      <c r="C32" s="5" t="e">
        <f>VLOOKUP(A32,Relay!$A$2:$C$51,3,FALSE)</f>
        <v>#N/A</v>
      </c>
      <c r="D32" s="39"/>
      <c r="E32" s="35"/>
      <c r="F32" s="35" t="str">
        <f t="shared" si="0"/>
        <v>INS</v>
      </c>
      <c r="G32" s="5" t="e">
        <f>IF(OR(E32="Jeopardy",E32="APP Moonlighting",E32="Differential Pay"),"",June[[#This Row],[SysID]])</f>
        <v>#N/A</v>
      </c>
      <c r="H32" s="5" t="e">
        <f>IF(E32="Jeopardy",IF(C32="MD",Relay!$E$7,Relay!$E$8),IF(C32="MD",IF(COUNTIF(G:G,B32)&gt;1,Relay!$E$2,Relay!$E$1),IF(AND(COUNTIF(G:G,B32)&gt;1,COUNTA(A32)&gt;0),Relay!$E$5,Relay!$E$4)))</f>
        <v>#N/A</v>
      </c>
      <c r="I32" s="8">
        <f t="shared" si="1"/>
        <v>0</v>
      </c>
      <c r="J32" s="35"/>
      <c r="K32" s="35"/>
      <c r="L32" s="35"/>
      <c r="M32" s="35"/>
      <c r="N32" s="10" t="e">
        <f>IF(H32=June!$E$2,"N",IF(AND(COUNTIF(B:B,B32)=1,D32&gt;14),"Y","N"))</f>
        <v>#N/A</v>
      </c>
      <c r="O32" s="55" t="str">
        <f>IF(COUNT(June[[#This Row],[Date]])&gt;0,IF(June[[#This Row],[Date]]&gt;14,"Yes","No"),"N/A")</f>
        <v>N/A</v>
      </c>
      <c r="P32" s="55"/>
      <c r="Q32" s="5">
        <f>Relay!A31</f>
        <v>0</v>
      </c>
      <c r="R32" s="5">
        <f>Relay!B31</f>
        <v>30</v>
      </c>
      <c r="S32" s="8">
        <f>SUMIF(June[SysID],R32,June[Pay Amount])+IF(May[After the 14th?]="Yes",SUMIF(May[SysID],R32,May[Pay Amount]),0)</f>
        <v>0</v>
      </c>
      <c r="T32" s="8"/>
      <c r="U32" s="5" t="str">
        <f t="shared" si="2"/>
        <v>N</v>
      </c>
      <c r="X32" s="56"/>
      <c r="Y32" s="56"/>
      <c r="Z32" s="56"/>
      <c r="AA32" s="56"/>
      <c r="AC32" s="56"/>
    </row>
    <row r="33" spans="1:29" x14ac:dyDescent="0.25">
      <c r="A33" s="35"/>
      <c r="B33" s="5" t="e">
        <f>VLOOKUP(A33,Relay!$A$1:$B$50,2,FALSE)</f>
        <v>#N/A</v>
      </c>
      <c r="C33" s="5" t="e">
        <f>VLOOKUP(A33,Relay!$A$2:$C$51,3,FALSE)</f>
        <v>#N/A</v>
      </c>
      <c r="D33" s="39"/>
      <c r="E33" s="35"/>
      <c r="F33" s="35" t="str">
        <f t="shared" si="0"/>
        <v>INS</v>
      </c>
      <c r="G33" s="5" t="e">
        <f>IF(OR(E33="Jeopardy",E33="APP Moonlighting",E33="Differential Pay"),"",June[[#This Row],[SysID]])</f>
        <v>#N/A</v>
      </c>
      <c r="H33" s="5" t="e">
        <f>IF(E33="Jeopardy",IF(C33="MD",Relay!$E$7,Relay!$E$8),IF(C33="MD",IF(COUNTIF(G:G,B33)&gt;1,Relay!$E$2,Relay!$E$1),IF(AND(COUNTIF(G:G,B33)&gt;1,COUNTA(A33)&gt;0),Relay!$E$5,Relay!$E$4)))</f>
        <v>#N/A</v>
      </c>
      <c r="I33" s="8">
        <f t="shared" si="1"/>
        <v>0</v>
      </c>
      <c r="J33" s="35"/>
      <c r="K33" s="35"/>
      <c r="L33" s="35"/>
      <c r="M33" s="35"/>
      <c r="N33" s="10" t="e">
        <f>IF(H33=June!$E$2,"N",IF(AND(COUNTIF(B:B,B33)=1,D33&gt;14),"Y","N"))</f>
        <v>#N/A</v>
      </c>
      <c r="O33" s="55" t="str">
        <f>IF(COUNT(June[[#This Row],[Date]])&gt;0,IF(June[[#This Row],[Date]]&gt;14,"Yes","No"),"N/A")</f>
        <v>N/A</v>
      </c>
      <c r="P33" s="55"/>
      <c r="Q33" s="5">
        <f>Relay!A32</f>
        <v>0</v>
      </c>
      <c r="R33" s="5">
        <f>Relay!B32</f>
        <v>31</v>
      </c>
      <c r="S33" s="8">
        <f>SUMIF(June[SysID],R33,June[Pay Amount])+IF(May[After the 14th?]="Yes",SUMIF(May[SysID],R33,May[Pay Amount]),0)</f>
        <v>0</v>
      </c>
      <c r="T33" s="8"/>
      <c r="U33" s="5" t="str">
        <f t="shared" si="2"/>
        <v>N</v>
      </c>
      <c r="X33" s="56"/>
      <c r="Y33" s="56"/>
      <c r="Z33" s="56"/>
      <c r="AA33" s="56"/>
      <c r="AC33" s="56"/>
    </row>
    <row r="34" spans="1:29" x14ac:dyDescent="0.25">
      <c r="A34" s="35"/>
      <c r="B34" s="5" t="e">
        <f>VLOOKUP(A34,Relay!$A$1:$B$50,2,FALSE)</f>
        <v>#N/A</v>
      </c>
      <c r="C34" s="5" t="e">
        <f>VLOOKUP(A34,Relay!$A$2:$C$51,3,FALSE)</f>
        <v>#N/A</v>
      </c>
      <c r="D34" s="39"/>
      <c r="E34" s="35"/>
      <c r="F34" s="35" t="str">
        <f t="shared" si="0"/>
        <v>INS</v>
      </c>
      <c r="G34" s="5" t="e">
        <f>IF(OR(E34="Jeopardy",E34="APP Moonlighting",E34="Differential Pay"),"",June[[#This Row],[SysID]])</f>
        <v>#N/A</v>
      </c>
      <c r="H34" s="5" t="e">
        <f>IF(E34="Jeopardy",IF(C34="MD",Relay!$E$7,Relay!$E$8),IF(C34="MD",IF(COUNTIF(G:G,B34)&gt;1,Relay!$E$2,Relay!$E$1),IF(AND(COUNTIF(G:G,B34)&gt;1,COUNTA(A34)&gt;0),Relay!$E$5,Relay!$E$4)))</f>
        <v>#N/A</v>
      </c>
      <c r="I34" s="8">
        <f t="shared" si="1"/>
        <v>0</v>
      </c>
      <c r="J34" s="35"/>
      <c r="K34" s="35"/>
      <c r="L34" s="35"/>
      <c r="M34" s="35"/>
      <c r="N34" s="10" t="e">
        <f>IF(H34=June!$E$2,"N",IF(AND(COUNTIF(B:B,B34)=1,D34&gt;14),"Y","N"))</f>
        <v>#N/A</v>
      </c>
      <c r="O34" s="55" t="str">
        <f>IF(COUNT(June[[#This Row],[Date]])&gt;0,IF(June[[#This Row],[Date]]&gt;14,"Yes","No"),"N/A")</f>
        <v>N/A</v>
      </c>
      <c r="P34" s="55"/>
      <c r="Q34" s="5">
        <f>Relay!A33</f>
        <v>0</v>
      </c>
      <c r="R34" s="5">
        <f>Relay!B33</f>
        <v>32</v>
      </c>
      <c r="S34" s="8">
        <f>SUMIF(June[SysID],R34,June[Pay Amount])+IF(May[After the 14th?]="Yes",SUMIF(May[SysID],R34,May[Pay Amount]),0)</f>
        <v>0</v>
      </c>
      <c r="T34" s="8"/>
      <c r="U34" s="5" t="str">
        <f t="shared" si="2"/>
        <v>N</v>
      </c>
      <c r="X34" s="56"/>
      <c r="Y34" s="56"/>
      <c r="Z34" s="56"/>
      <c r="AA34" s="56"/>
      <c r="AC34" s="56"/>
    </row>
    <row r="35" spans="1:29" x14ac:dyDescent="0.25">
      <c r="A35" s="35"/>
      <c r="B35" s="5" t="e">
        <f>VLOOKUP(A35,Relay!$A$1:$B$50,2,FALSE)</f>
        <v>#N/A</v>
      </c>
      <c r="C35" s="5" t="e">
        <f>VLOOKUP(A35,Relay!$A$2:$C$51,3,FALSE)</f>
        <v>#N/A</v>
      </c>
      <c r="D35" s="39"/>
      <c r="E35" s="35"/>
      <c r="F35" s="35" t="str">
        <f t="shared" si="0"/>
        <v>INS</v>
      </c>
      <c r="G35" s="5" t="e">
        <f>IF(OR(E35="Jeopardy",E35="APP Moonlighting",E35="Differential Pay"),"",June[[#This Row],[SysID]])</f>
        <v>#N/A</v>
      </c>
      <c r="H35" s="5" t="e">
        <f>IF(E35="Jeopardy",IF(C35="MD",Relay!$E$7,Relay!$E$8),IF(C35="MD",IF(COUNTIF(G:G,B35)&gt;1,Relay!$E$2,Relay!$E$1),IF(AND(COUNTIF(G:G,B35)&gt;1,COUNTA(A35)&gt;0),Relay!$E$5,Relay!$E$4)))</f>
        <v>#N/A</v>
      </c>
      <c r="I35" s="8">
        <f t="shared" si="1"/>
        <v>0</v>
      </c>
      <c r="J35" s="35"/>
      <c r="K35" s="35"/>
      <c r="L35" s="35"/>
      <c r="M35" s="35"/>
      <c r="N35" s="10" t="e">
        <f>IF(H35=June!$E$2,"N",IF(AND(COUNTIF(B:B,B35)=1,D35&gt;14),"Y","N"))</f>
        <v>#N/A</v>
      </c>
      <c r="O35" s="55" t="str">
        <f>IF(COUNT(June[[#This Row],[Date]])&gt;0,IF(June[[#This Row],[Date]]&gt;14,"Yes","No"),"N/A")</f>
        <v>N/A</v>
      </c>
      <c r="P35" s="55"/>
      <c r="Q35" s="5">
        <f>Relay!A34</f>
        <v>0</v>
      </c>
      <c r="R35" s="5">
        <f>Relay!B34</f>
        <v>33</v>
      </c>
      <c r="S35" s="8">
        <f>SUMIF(June[SysID],R35,June[Pay Amount])+IF(May[After the 14th?]="Yes",SUMIF(May[SysID],R35,May[Pay Amount]),0)</f>
        <v>0</v>
      </c>
      <c r="T35" s="8"/>
      <c r="U35" s="5" t="str">
        <f t="shared" si="2"/>
        <v>N</v>
      </c>
      <c r="X35" s="56"/>
      <c r="Y35" s="56"/>
      <c r="Z35" s="56"/>
      <c r="AA35" s="56"/>
      <c r="AC35" s="56"/>
    </row>
    <row r="36" spans="1:29" x14ac:dyDescent="0.25">
      <c r="A36" s="35"/>
      <c r="B36" s="5" t="e">
        <f>VLOOKUP(A36,Relay!$A$1:$B$50,2,FALSE)</f>
        <v>#N/A</v>
      </c>
      <c r="C36" s="5" t="e">
        <f>VLOOKUP(A36,Relay!$A$2:$C$51,3,FALSE)</f>
        <v>#N/A</v>
      </c>
      <c r="D36" s="39"/>
      <c r="E36" s="35"/>
      <c r="F36" s="35" t="str">
        <f t="shared" si="0"/>
        <v>INS</v>
      </c>
      <c r="G36" s="5" t="e">
        <f>IF(OR(E36="Jeopardy",E36="APP Moonlighting",E36="Differential Pay"),"",June[[#This Row],[SysID]])</f>
        <v>#N/A</v>
      </c>
      <c r="H36" s="5" t="e">
        <f>IF(E36="Jeopardy",IF(C36="MD",Relay!$E$7,Relay!$E$8),IF(C36="MD",IF(COUNTIF(G:G,B36)&gt;1,Relay!$E$2,Relay!$E$1),IF(AND(COUNTIF(G:G,B36)&gt;1,COUNTA(A36)&gt;0),Relay!$E$5,Relay!$E$4)))</f>
        <v>#N/A</v>
      </c>
      <c r="I36" s="8">
        <f t="shared" si="1"/>
        <v>0</v>
      </c>
      <c r="J36" s="35"/>
      <c r="K36" s="35"/>
      <c r="L36" s="35"/>
      <c r="M36" s="35"/>
      <c r="N36" s="10" t="e">
        <f>IF(H36=June!$E$2,"N",IF(AND(COUNTIF(B:B,B36)=1,D36&gt;14),"Y","N"))</f>
        <v>#N/A</v>
      </c>
      <c r="O36" s="55" t="str">
        <f>IF(COUNT(June[[#This Row],[Date]])&gt;0,IF(June[[#This Row],[Date]]&gt;14,"Yes","No"),"N/A")</f>
        <v>N/A</v>
      </c>
      <c r="P36" s="55"/>
      <c r="Q36" s="5">
        <f>Relay!A35</f>
        <v>0</v>
      </c>
      <c r="R36" s="5">
        <f>Relay!B35</f>
        <v>34</v>
      </c>
      <c r="S36" s="8">
        <f>SUMIF(June[SysID],R36,June[Pay Amount])+IF(May[After the 14th?]="Yes",SUMIF(May[SysID],R36,May[Pay Amount]),0)</f>
        <v>0</v>
      </c>
      <c r="T36" s="8"/>
      <c r="U36" s="5" t="str">
        <f t="shared" si="2"/>
        <v>N</v>
      </c>
      <c r="X36" s="56"/>
      <c r="Y36" s="56"/>
      <c r="Z36" s="56"/>
      <c r="AA36" s="56"/>
      <c r="AC36" s="56"/>
    </row>
    <row r="37" spans="1:29" x14ac:dyDescent="0.25">
      <c r="A37" s="35"/>
      <c r="B37" s="5" t="e">
        <f>VLOOKUP(A37,Relay!$A$1:$B$50,2,FALSE)</f>
        <v>#N/A</v>
      </c>
      <c r="C37" s="5" t="e">
        <f>VLOOKUP(A37,Relay!$A$2:$C$51,3,FALSE)</f>
        <v>#N/A</v>
      </c>
      <c r="D37" s="39"/>
      <c r="E37" s="35"/>
      <c r="F37" s="35" t="str">
        <f t="shared" si="0"/>
        <v>INS</v>
      </c>
      <c r="G37" s="5" t="e">
        <f>IF(OR(E37="Jeopardy",E37="APP Moonlighting",E37="Differential Pay"),"",June[[#This Row],[SysID]])</f>
        <v>#N/A</v>
      </c>
      <c r="H37" s="5" t="e">
        <f>IF(E37="Jeopardy",IF(C37="MD",Relay!$E$7,Relay!$E$8),IF(C37="MD",IF(COUNTIF(G:G,B37)&gt;1,Relay!$E$2,Relay!$E$1),IF(AND(COUNTIF(G:G,B37)&gt;1,COUNTA(A37)&gt;0),Relay!$E$5,Relay!$E$4)))</f>
        <v>#N/A</v>
      </c>
      <c r="I37" s="8">
        <f t="shared" si="1"/>
        <v>0</v>
      </c>
      <c r="J37" s="35"/>
      <c r="K37" s="35"/>
      <c r="L37" s="35"/>
      <c r="M37" s="35"/>
      <c r="N37" s="10" t="e">
        <f>IF(H37=June!$E$2,"N",IF(AND(COUNTIF(B:B,B37)=1,D37&gt;14),"Y","N"))</f>
        <v>#N/A</v>
      </c>
      <c r="O37" s="55" t="str">
        <f>IF(COUNT(June[[#This Row],[Date]])&gt;0,IF(June[[#This Row],[Date]]&gt;14,"Yes","No"),"N/A")</f>
        <v>N/A</v>
      </c>
      <c r="P37" s="55"/>
      <c r="Q37" s="5">
        <f>Relay!A36</f>
        <v>0</v>
      </c>
      <c r="R37" s="5">
        <f>Relay!B36</f>
        <v>35</v>
      </c>
      <c r="S37" s="8">
        <f>SUMIF(June[SysID],R37,June[Pay Amount])+IF(May[After the 14th?]="Yes",SUMIF(May[SysID],R37,May[Pay Amount]),0)</f>
        <v>0</v>
      </c>
      <c r="T37" s="8"/>
      <c r="U37" s="5" t="str">
        <f t="shared" si="2"/>
        <v>N</v>
      </c>
      <c r="X37" s="56"/>
      <c r="Y37" s="56"/>
      <c r="Z37" s="56"/>
      <c r="AA37" s="56"/>
      <c r="AC37" s="56"/>
    </row>
    <row r="38" spans="1:29" x14ac:dyDescent="0.25">
      <c r="A38" s="35"/>
      <c r="B38" s="5" t="e">
        <f>VLOOKUP(A38,Relay!$A$1:$B$50,2,FALSE)</f>
        <v>#N/A</v>
      </c>
      <c r="C38" s="5" t="e">
        <f>VLOOKUP(A38,Relay!$A$2:$C$51,3,FALSE)</f>
        <v>#N/A</v>
      </c>
      <c r="D38" s="39"/>
      <c r="E38" s="35"/>
      <c r="F38" s="35" t="str">
        <f t="shared" si="0"/>
        <v>INS</v>
      </c>
      <c r="G38" s="5" t="e">
        <f>IF(OR(E38="Jeopardy",E38="APP Moonlighting",E38="Differential Pay"),"",June[[#This Row],[SysID]])</f>
        <v>#N/A</v>
      </c>
      <c r="H38" s="5" t="e">
        <f>IF(E38="Jeopardy",IF(C38="MD",Relay!$E$7,Relay!$E$8),IF(C38="MD",IF(COUNTIF(G:G,B38)&gt;1,Relay!$E$2,Relay!$E$1),IF(AND(COUNTIF(G:G,B38)&gt;1,COUNTA(A38)&gt;0),Relay!$E$5,Relay!$E$4)))</f>
        <v>#N/A</v>
      </c>
      <c r="I38" s="8">
        <f t="shared" si="1"/>
        <v>0</v>
      </c>
      <c r="J38" s="35"/>
      <c r="K38" s="35"/>
      <c r="L38" s="35"/>
      <c r="M38" s="35"/>
      <c r="N38" s="10" t="e">
        <f>IF(H38=June!$E$2,"N",IF(AND(COUNTIF(B:B,B38)=1,D38&gt;14),"Y","N"))</f>
        <v>#N/A</v>
      </c>
      <c r="O38" s="55" t="str">
        <f>IF(COUNT(June[[#This Row],[Date]])&gt;0,IF(June[[#This Row],[Date]]&gt;14,"Yes","No"),"N/A")</f>
        <v>N/A</v>
      </c>
      <c r="P38" s="55"/>
      <c r="Q38" s="5">
        <f>Relay!A37</f>
        <v>0</v>
      </c>
      <c r="R38" s="5">
        <f>Relay!B37</f>
        <v>36</v>
      </c>
      <c r="S38" s="8">
        <f>SUMIF(June[SysID],R38,June[Pay Amount])+IF(May[After the 14th?]="Yes",SUMIF(May[SysID],R38,May[Pay Amount]),0)</f>
        <v>0</v>
      </c>
      <c r="T38" s="8"/>
      <c r="U38" s="5" t="str">
        <f t="shared" si="2"/>
        <v>N</v>
      </c>
      <c r="X38" s="56"/>
      <c r="Y38" s="56"/>
      <c r="Z38" s="56"/>
      <c r="AA38" s="56"/>
      <c r="AC38" s="56"/>
    </row>
    <row r="39" spans="1:29" x14ac:dyDescent="0.25">
      <c r="A39" s="35"/>
      <c r="B39" s="5" t="e">
        <f>VLOOKUP(A39,Relay!$A$1:$B$50,2,FALSE)</f>
        <v>#N/A</v>
      </c>
      <c r="C39" s="5" t="e">
        <f>VLOOKUP(A39,Relay!$A$2:$C$51,3,FALSE)</f>
        <v>#N/A</v>
      </c>
      <c r="D39" s="39"/>
      <c r="E39" s="35"/>
      <c r="F39" s="35" t="str">
        <f t="shared" si="0"/>
        <v>INS</v>
      </c>
      <c r="G39" s="5" t="e">
        <f>IF(OR(E39="Jeopardy",E39="APP Moonlighting",E39="Differential Pay"),"",June[[#This Row],[SysID]])</f>
        <v>#N/A</v>
      </c>
      <c r="H39" s="5" t="e">
        <f>IF(E39="Jeopardy",IF(C39="MD",Relay!$E$7,Relay!$E$8),IF(C39="MD",IF(COUNTIF(G:G,B39)&gt;1,Relay!$E$2,Relay!$E$1),IF(AND(COUNTIF(G:G,B39)&gt;1,COUNTA(A39)&gt;0),Relay!$E$5,Relay!$E$4)))</f>
        <v>#N/A</v>
      </c>
      <c r="I39" s="8">
        <f t="shared" si="1"/>
        <v>0</v>
      </c>
      <c r="J39" s="35"/>
      <c r="K39" s="35"/>
      <c r="L39" s="35"/>
      <c r="M39" s="35"/>
      <c r="N39" s="10" t="e">
        <f>IF(H39=June!$E$2,"N",IF(AND(COUNTIF(B:B,B39)=1,D39&gt;14),"Y","N"))</f>
        <v>#N/A</v>
      </c>
      <c r="O39" s="55" t="str">
        <f>IF(COUNT(June[[#This Row],[Date]])&gt;0,IF(June[[#This Row],[Date]]&gt;14,"Yes","No"),"N/A")</f>
        <v>N/A</v>
      </c>
      <c r="P39" s="55"/>
      <c r="Q39" s="5">
        <f>Relay!A38</f>
        <v>0</v>
      </c>
      <c r="R39" s="5">
        <f>Relay!B38</f>
        <v>37</v>
      </c>
      <c r="S39" s="8">
        <f>SUMIF(June[SysID],R39,June[Pay Amount])+IF(May[After the 14th?]="Yes",SUMIF(May[SysID],R39,May[Pay Amount]),0)</f>
        <v>0</v>
      </c>
      <c r="T39" s="8"/>
      <c r="U39" s="5" t="str">
        <f t="shared" si="2"/>
        <v>N</v>
      </c>
      <c r="X39" s="56"/>
      <c r="Y39" s="56"/>
      <c r="Z39" s="56"/>
      <c r="AA39" s="56"/>
      <c r="AC39" s="56"/>
    </row>
    <row r="40" spans="1:29" x14ac:dyDescent="0.25">
      <c r="A40" s="35"/>
      <c r="B40" s="5" t="e">
        <f>VLOOKUP(A40,Relay!$A$1:$B$50,2,FALSE)</f>
        <v>#N/A</v>
      </c>
      <c r="C40" s="5" t="e">
        <f>VLOOKUP(A40,Relay!$A$2:$C$51,3,FALSE)</f>
        <v>#N/A</v>
      </c>
      <c r="D40" s="39"/>
      <c r="E40" s="35"/>
      <c r="F40" s="35" t="str">
        <f t="shared" si="0"/>
        <v>INS</v>
      </c>
      <c r="G40" s="5" t="e">
        <f>IF(OR(E40="Jeopardy",E40="APP Moonlighting",E40="Differential Pay"),"",June[[#This Row],[SysID]])</f>
        <v>#N/A</v>
      </c>
      <c r="H40" s="5" t="e">
        <f>IF(E40="Jeopardy",IF(C40="MD",Relay!$E$7,Relay!$E$8),IF(C40="MD",IF(COUNTIF(G:G,B40)&gt;1,Relay!$E$2,Relay!$E$1),IF(AND(COUNTIF(G:G,B40)&gt;1,COUNTA(A40)&gt;0),Relay!$E$5,Relay!$E$4)))</f>
        <v>#N/A</v>
      </c>
      <c r="I40" s="8">
        <f t="shared" si="1"/>
        <v>0</v>
      </c>
      <c r="J40" s="35"/>
      <c r="K40" s="35"/>
      <c r="L40" s="35"/>
      <c r="M40" s="35"/>
      <c r="N40" s="10" t="e">
        <f>IF(H40=June!$E$2,"N",IF(AND(COUNTIF(B:B,B40)=1,D40&gt;14),"Y","N"))</f>
        <v>#N/A</v>
      </c>
      <c r="O40" s="55" t="str">
        <f>IF(COUNT(June[[#This Row],[Date]])&gt;0,IF(June[[#This Row],[Date]]&gt;14,"Yes","No"),"N/A")</f>
        <v>N/A</v>
      </c>
      <c r="P40" s="55"/>
      <c r="Q40" s="5">
        <f>Relay!A39</f>
        <v>0</v>
      </c>
      <c r="R40" s="5">
        <f>Relay!B39</f>
        <v>38</v>
      </c>
      <c r="S40" s="8">
        <f>SUMIF(June[SysID],R40,June[Pay Amount])+IF(May[After the 14th?]="Yes",SUMIF(May[SysID],R40,May[Pay Amount]),0)</f>
        <v>0</v>
      </c>
      <c r="T40" s="8"/>
      <c r="U40" s="5" t="str">
        <f t="shared" si="2"/>
        <v>N</v>
      </c>
      <c r="X40" s="56"/>
      <c r="Y40" s="56"/>
      <c r="Z40" s="56"/>
      <c r="AA40" s="56"/>
      <c r="AC40" s="56"/>
    </row>
    <row r="41" spans="1:29" x14ac:dyDescent="0.25">
      <c r="A41" s="35"/>
      <c r="B41" s="5" t="e">
        <f>VLOOKUP(A41,Relay!$A$1:$B$50,2,FALSE)</f>
        <v>#N/A</v>
      </c>
      <c r="C41" s="5" t="e">
        <f>VLOOKUP(A41,Relay!$A$2:$C$51,3,FALSE)</f>
        <v>#N/A</v>
      </c>
      <c r="D41" s="39"/>
      <c r="E41" s="35"/>
      <c r="F41" s="35" t="str">
        <f t="shared" si="0"/>
        <v>INS</v>
      </c>
      <c r="G41" s="5" t="e">
        <f>IF(OR(E41="Jeopardy",E41="APP Moonlighting",E41="Differential Pay"),"",June[[#This Row],[SysID]])</f>
        <v>#N/A</v>
      </c>
      <c r="H41" s="5" t="e">
        <f>IF(E41="Jeopardy",IF(C41="MD",Relay!$E$7,Relay!$E$8),IF(C41="MD",IF(COUNTIF(G:G,B41)&gt;1,Relay!$E$2,Relay!$E$1),IF(AND(COUNTIF(G:G,B41)&gt;1,COUNTA(A41)&gt;0),Relay!$E$5,Relay!$E$4)))</f>
        <v>#N/A</v>
      </c>
      <c r="I41" s="8">
        <f t="shared" si="1"/>
        <v>0</v>
      </c>
      <c r="J41" s="35"/>
      <c r="K41" s="35"/>
      <c r="L41" s="35"/>
      <c r="M41" s="35"/>
      <c r="N41" s="10" t="e">
        <f>IF(H41=June!$E$2,"N",IF(AND(COUNTIF(B:B,B41)=1,D41&gt;14),"Y","N"))</f>
        <v>#N/A</v>
      </c>
      <c r="O41" s="55" t="str">
        <f>IF(COUNT(June[[#This Row],[Date]])&gt;0,IF(June[[#This Row],[Date]]&gt;14,"Yes","No"),"N/A")</f>
        <v>N/A</v>
      </c>
      <c r="P41" s="55"/>
      <c r="Q41" s="5">
        <f>Relay!A40</f>
        <v>0</v>
      </c>
      <c r="R41" s="5">
        <f>Relay!B40</f>
        <v>39</v>
      </c>
      <c r="S41" s="8">
        <f>SUMIF(June[SysID],R41,June[Pay Amount])+IF(May[After the 14th?]="Yes",SUMIF(May[SysID],R41,May[Pay Amount]),0)</f>
        <v>0</v>
      </c>
      <c r="T41" s="8"/>
      <c r="U41" s="5" t="str">
        <f t="shared" si="2"/>
        <v>N</v>
      </c>
      <c r="X41" s="56"/>
      <c r="Y41" s="56"/>
      <c r="Z41" s="56"/>
      <c r="AA41" s="56"/>
      <c r="AC41" s="56"/>
    </row>
    <row r="42" spans="1:29" x14ac:dyDescent="0.25">
      <c r="A42" s="35"/>
      <c r="B42" s="5" t="e">
        <f>VLOOKUP(A42,Relay!$A$1:$B$50,2,FALSE)</f>
        <v>#N/A</v>
      </c>
      <c r="C42" s="5" t="e">
        <f>VLOOKUP(A42,Relay!$A$2:$C$51,3,FALSE)</f>
        <v>#N/A</v>
      </c>
      <c r="D42" s="39"/>
      <c r="E42" s="35"/>
      <c r="F42" s="35" t="str">
        <f t="shared" si="0"/>
        <v>INS</v>
      </c>
      <c r="G42" s="5" t="e">
        <f>IF(OR(E42="Jeopardy",E42="APP Moonlighting",E42="Differential Pay"),"",June[[#This Row],[SysID]])</f>
        <v>#N/A</v>
      </c>
      <c r="H42" s="5" t="e">
        <f>IF(E42="Jeopardy",IF(C42="MD",Relay!$E$7,Relay!$E$8),IF(C42="MD",IF(COUNTIF(G:G,B42)&gt;1,Relay!$E$2,Relay!$E$1),IF(AND(COUNTIF(G:G,B42)&gt;1,COUNTA(A42)&gt;0),Relay!$E$5,Relay!$E$4)))</f>
        <v>#N/A</v>
      </c>
      <c r="I42" s="8">
        <f t="shared" si="1"/>
        <v>0</v>
      </c>
      <c r="J42" s="35"/>
      <c r="K42" s="35"/>
      <c r="L42" s="35"/>
      <c r="M42" s="35"/>
      <c r="N42" s="10" t="e">
        <f>IF(H42=June!$E$2,"N",IF(AND(COUNTIF(B:B,B42)=1,D42&gt;14),"Y","N"))</f>
        <v>#N/A</v>
      </c>
      <c r="O42" s="55" t="str">
        <f>IF(COUNT(June[[#This Row],[Date]])&gt;0,IF(June[[#This Row],[Date]]&gt;14,"Yes","No"),"N/A")</f>
        <v>N/A</v>
      </c>
      <c r="P42" s="55"/>
      <c r="Q42" s="5">
        <f>Relay!A41</f>
        <v>0</v>
      </c>
      <c r="R42" s="5">
        <f>Relay!B41</f>
        <v>40</v>
      </c>
      <c r="S42" s="8">
        <f>SUMIF(June[SysID],R42,June[Pay Amount])+IF(May[After the 14th?]="Yes",SUMIF(May[SysID],R42,May[Pay Amount]),0)</f>
        <v>0</v>
      </c>
      <c r="T42" s="8"/>
      <c r="U42" s="5" t="str">
        <f t="shared" si="2"/>
        <v>N</v>
      </c>
      <c r="X42" s="56"/>
      <c r="Y42" s="56"/>
      <c r="Z42" s="56"/>
      <c r="AA42" s="56"/>
      <c r="AC42" s="56"/>
    </row>
    <row r="43" spans="1:29" x14ac:dyDescent="0.25">
      <c r="A43" s="35"/>
      <c r="B43" s="5" t="e">
        <f>VLOOKUP(A43,Relay!$A$1:$B$50,2,FALSE)</f>
        <v>#N/A</v>
      </c>
      <c r="C43" s="5" t="e">
        <f>VLOOKUP(A43,Relay!$A$2:$C$51,3,FALSE)</f>
        <v>#N/A</v>
      </c>
      <c r="D43" s="39"/>
      <c r="E43" s="35"/>
      <c r="F43" s="35" t="str">
        <f t="shared" si="0"/>
        <v>INS</v>
      </c>
      <c r="G43" s="5" t="e">
        <f>IF(OR(E43="Jeopardy",E43="APP Moonlighting",E43="Differential Pay"),"",June[[#This Row],[SysID]])</f>
        <v>#N/A</v>
      </c>
      <c r="H43" s="5" t="e">
        <f>IF(E43="Jeopardy",IF(C43="MD",Relay!$E$7,Relay!$E$8),IF(C43="MD",IF(COUNTIF(G:G,B43)&gt;1,Relay!$E$2,Relay!$E$1),IF(AND(COUNTIF(G:G,B43)&gt;1,COUNTA(A43)&gt;0),Relay!$E$5,Relay!$E$4)))</f>
        <v>#N/A</v>
      </c>
      <c r="I43" s="8">
        <f t="shared" si="1"/>
        <v>0</v>
      </c>
      <c r="J43" s="35"/>
      <c r="K43" s="35"/>
      <c r="L43" s="35"/>
      <c r="M43" s="35"/>
      <c r="N43" s="10" t="e">
        <f>IF(H43=June!$E$2,"N",IF(AND(COUNTIF(B:B,B43)=1,D43&gt;14),"Y","N"))</f>
        <v>#N/A</v>
      </c>
      <c r="O43" s="55" t="str">
        <f>IF(COUNT(June[[#This Row],[Date]])&gt;0,IF(June[[#This Row],[Date]]&gt;14,"Yes","No"),"N/A")</f>
        <v>N/A</v>
      </c>
      <c r="P43" s="55"/>
      <c r="Q43" s="5">
        <f>Relay!A42</f>
        <v>0</v>
      </c>
      <c r="R43" s="5">
        <f>Relay!B42</f>
        <v>41</v>
      </c>
      <c r="S43" s="8">
        <f>SUMIF(June[SysID],R43,June[Pay Amount])+IF(May[After the 14th?]="Yes",SUMIF(May[SysID],R43,May[Pay Amount]),0)</f>
        <v>0</v>
      </c>
      <c r="T43" s="8"/>
      <c r="U43" s="5" t="str">
        <f t="shared" si="2"/>
        <v>N</v>
      </c>
      <c r="X43" s="56"/>
      <c r="Y43" s="56"/>
      <c r="Z43" s="56"/>
      <c r="AA43" s="56"/>
      <c r="AC43" s="56"/>
    </row>
    <row r="44" spans="1:29" x14ac:dyDescent="0.25">
      <c r="A44" s="35"/>
      <c r="B44" s="5" t="e">
        <f>VLOOKUP(A44,Relay!$A$1:$B$50,2,FALSE)</f>
        <v>#N/A</v>
      </c>
      <c r="C44" s="5" t="e">
        <f>VLOOKUP(A44,Relay!$A$2:$C$51,3,FALSE)</f>
        <v>#N/A</v>
      </c>
      <c r="D44" s="39"/>
      <c r="E44" s="35"/>
      <c r="F44" s="35" t="str">
        <f t="shared" si="0"/>
        <v>INS</v>
      </c>
      <c r="G44" s="5" t="e">
        <f>IF(OR(E44="Jeopardy",E44="APP Moonlighting",E44="Differential Pay"),"",June[[#This Row],[SysID]])</f>
        <v>#N/A</v>
      </c>
      <c r="H44" s="5" t="e">
        <f>IF(E44="Jeopardy",IF(C44="MD",Relay!$E$7,Relay!$E$8),IF(C44="MD",IF(COUNTIF(G:G,B44)&gt;1,Relay!$E$2,Relay!$E$1),IF(AND(COUNTIF(G:G,B44)&gt;1,COUNTA(A44)&gt;0),Relay!$E$5,Relay!$E$4)))</f>
        <v>#N/A</v>
      </c>
      <c r="I44" s="8">
        <f t="shared" si="1"/>
        <v>0</v>
      </c>
      <c r="J44" s="35"/>
      <c r="K44" s="35"/>
      <c r="L44" s="35"/>
      <c r="M44" s="35"/>
      <c r="N44" s="10" t="e">
        <f>IF(H44=June!$E$2,"N",IF(AND(COUNTIF(B:B,B44)=1,D44&gt;14),"Y","N"))</f>
        <v>#N/A</v>
      </c>
      <c r="O44" s="55" t="str">
        <f>IF(COUNT(June[[#This Row],[Date]])&gt;0,IF(June[[#This Row],[Date]]&gt;14,"Yes","No"),"N/A")</f>
        <v>N/A</v>
      </c>
      <c r="P44" s="55"/>
      <c r="Q44" s="5">
        <f>Relay!A43</f>
        <v>0</v>
      </c>
      <c r="R44" s="5">
        <f>Relay!B43</f>
        <v>42</v>
      </c>
      <c r="S44" s="8">
        <f>SUMIF(June[SysID],R44,June[Pay Amount])+IF(May[After the 14th?]="Yes",SUMIF(May[SysID],R44,May[Pay Amount]),0)</f>
        <v>0</v>
      </c>
      <c r="T44" s="8"/>
      <c r="U44" s="5" t="str">
        <f t="shared" si="2"/>
        <v>N</v>
      </c>
      <c r="X44" s="56"/>
      <c r="Y44" s="56"/>
      <c r="Z44" s="56"/>
      <c r="AA44" s="56"/>
      <c r="AC44" s="56"/>
    </row>
    <row r="45" spans="1:29" x14ac:dyDescent="0.25">
      <c r="A45" s="35"/>
      <c r="B45" s="5" t="e">
        <f>VLOOKUP(A45,Relay!$A$1:$B$50,2,FALSE)</f>
        <v>#N/A</v>
      </c>
      <c r="C45" s="5" t="e">
        <f>VLOOKUP(A45,Relay!$A$2:$C$51,3,FALSE)</f>
        <v>#N/A</v>
      </c>
      <c r="D45" s="39"/>
      <c r="E45" s="35"/>
      <c r="F45" s="35" t="str">
        <f t="shared" si="0"/>
        <v>INS</v>
      </c>
      <c r="G45" s="5" t="e">
        <f>IF(OR(E45="Jeopardy",E45="APP Moonlighting",E45="Differential Pay"),"",June[[#This Row],[SysID]])</f>
        <v>#N/A</v>
      </c>
      <c r="H45" s="5" t="e">
        <f>IF(E45="Jeopardy",IF(C45="MD",Relay!$E$7,Relay!$E$8),IF(C45="MD",IF(COUNTIF(G:G,B45)&gt;1,Relay!$E$2,Relay!$E$1),IF(AND(COUNTIF(G:G,B45)&gt;1,COUNTA(A45)&gt;0),Relay!$E$5,Relay!$E$4)))</f>
        <v>#N/A</v>
      </c>
      <c r="I45" s="8">
        <f t="shared" si="1"/>
        <v>0</v>
      </c>
      <c r="J45" s="35"/>
      <c r="K45" s="35"/>
      <c r="L45" s="35"/>
      <c r="M45" s="35"/>
      <c r="N45" s="10" t="e">
        <f>IF(H45=June!$E$2,"N",IF(AND(COUNTIF(B:B,B45)=1,D45&gt;14),"Y","N"))</f>
        <v>#N/A</v>
      </c>
      <c r="O45" s="55" t="str">
        <f>IF(COUNT(June[[#This Row],[Date]])&gt;0,IF(June[[#This Row],[Date]]&gt;14,"Yes","No"),"N/A")</f>
        <v>N/A</v>
      </c>
      <c r="P45" s="55"/>
      <c r="Q45" s="5">
        <f>Relay!A44</f>
        <v>0</v>
      </c>
      <c r="R45" s="5">
        <f>Relay!B44</f>
        <v>43</v>
      </c>
      <c r="S45" s="8">
        <f>SUMIF(June[SysID],R45,June[Pay Amount])+IF(May[After the 14th?]="Yes",SUMIF(May[SysID],R45,May[Pay Amount]),0)</f>
        <v>0</v>
      </c>
      <c r="T45" s="8"/>
      <c r="U45" s="5" t="str">
        <f t="shared" si="2"/>
        <v>N</v>
      </c>
      <c r="X45" s="56"/>
      <c r="Y45" s="56"/>
      <c r="Z45" s="56"/>
      <c r="AA45" s="56"/>
      <c r="AC45" s="56"/>
    </row>
    <row r="46" spans="1:29" x14ac:dyDescent="0.25">
      <c r="A46" s="35"/>
      <c r="B46" s="5" t="e">
        <f>VLOOKUP(A46,Relay!$A$1:$B$50,2,FALSE)</f>
        <v>#N/A</v>
      </c>
      <c r="C46" s="5" t="e">
        <f>VLOOKUP(A46,Relay!$A$2:$C$51,3,FALSE)</f>
        <v>#N/A</v>
      </c>
      <c r="D46" s="39"/>
      <c r="E46" s="35"/>
      <c r="F46" s="35" t="str">
        <f t="shared" si="0"/>
        <v>INS</v>
      </c>
      <c r="G46" s="5" t="e">
        <f>IF(OR(E46="Jeopardy",E46="APP Moonlighting",E46="Differential Pay"),"",June[[#This Row],[SysID]])</f>
        <v>#N/A</v>
      </c>
      <c r="H46" s="5" t="e">
        <f>IF(E46="Jeopardy",IF(C46="MD",Relay!$E$7,Relay!$E$8),IF(C46="MD",IF(COUNTIF(G:G,B46)&gt;1,Relay!$E$2,Relay!$E$1),IF(AND(COUNTIF(G:G,B46)&gt;1,COUNTA(A46)&gt;0),Relay!$E$5,Relay!$E$4)))</f>
        <v>#N/A</v>
      </c>
      <c r="I46" s="8">
        <f t="shared" si="1"/>
        <v>0</v>
      </c>
      <c r="J46" s="35"/>
      <c r="K46" s="35"/>
      <c r="L46" s="35"/>
      <c r="M46" s="35"/>
      <c r="N46" s="10" t="e">
        <f>IF(H46=June!$E$2,"N",IF(AND(COUNTIF(B:B,B46)=1,D46&gt;14),"Y","N"))</f>
        <v>#N/A</v>
      </c>
      <c r="O46" s="55" t="str">
        <f>IF(COUNT(June[[#This Row],[Date]])&gt;0,IF(June[[#This Row],[Date]]&gt;14,"Yes","No"),"N/A")</f>
        <v>N/A</v>
      </c>
      <c r="P46" s="55"/>
      <c r="Q46" s="5">
        <f>Relay!A45</f>
        <v>0</v>
      </c>
      <c r="R46" s="5">
        <f>Relay!B45</f>
        <v>44</v>
      </c>
      <c r="S46" s="8">
        <f>SUMIF(June[SysID],R46,June[Pay Amount])+IF(May[After the 14th?]="Yes",SUMIF(May[SysID],R46,May[Pay Amount]),0)</f>
        <v>0</v>
      </c>
      <c r="T46" s="8"/>
      <c r="U46" s="5" t="str">
        <f t="shared" si="2"/>
        <v>N</v>
      </c>
      <c r="X46" s="56"/>
      <c r="Y46" s="56"/>
      <c r="Z46" s="56"/>
      <c r="AA46" s="56"/>
      <c r="AC46" s="56"/>
    </row>
    <row r="47" spans="1:29" x14ac:dyDescent="0.25">
      <c r="A47" s="35"/>
      <c r="B47" s="5" t="e">
        <f>VLOOKUP(A47,Relay!$A$1:$B$50,2,FALSE)</f>
        <v>#N/A</v>
      </c>
      <c r="C47" s="5" t="e">
        <f>VLOOKUP(A47,Relay!$A$2:$C$51,3,FALSE)</f>
        <v>#N/A</v>
      </c>
      <c r="D47" s="39"/>
      <c r="E47" s="35"/>
      <c r="F47" s="35" t="str">
        <f t="shared" si="0"/>
        <v>INS</v>
      </c>
      <c r="G47" s="5" t="e">
        <f>IF(OR(E47="Jeopardy",E47="APP Moonlighting",E47="Differential Pay"),"",June[[#This Row],[SysID]])</f>
        <v>#N/A</v>
      </c>
      <c r="H47" s="5" t="e">
        <f>IF(E47="Jeopardy",IF(C47="MD",Relay!$E$7,Relay!$E$8),IF(C47="MD",IF(COUNTIF(G:G,B47)&gt;1,Relay!$E$2,Relay!$E$1),IF(AND(COUNTIF(G:G,B47)&gt;1,COUNTA(A47)&gt;0),Relay!$E$5,Relay!$E$4)))</f>
        <v>#N/A</v>
      </c>
      <c r="I47" s="8">
        <f t="shared" si="1"/>
        <v>0</v>
      </c>
      <c r="J47" s="35"/>
      <c r="K47" s="35"/>
      <c r="L47" s="35"/>
      <c r="M47" s="35"/>
      <c r="N47" s="10" t="e">
        <f>IF(H47=June!$E$2,"N",IF(AND(COUNTIF(B:B,B47)=1,D47&gt;14),"Y","N"))</f>
        <v>#N/A</v>
      </c>
      <c r="O47" s="55" t="str">
        <f>IF(COUNT(June[[#This Row],[Date]])&gt;0,IF(June[[#This Row],[Date]]&gt;14,"Yes","No"),"N/A")</f>
        <v>N/A</v>
      </c>
      <c r="P47" s="55"/>
      <c r="Q47" s="5">
        <f>Relay!A46</f>
        <v>0</v>
      </c>
      <c r="R47" s="5">
        <f>Relay!B46</f>
        <v>45</v>
      </c>
      <c r="S47" s="8">
        <f>SUMIF(June[SysID],R47,June[Pay Amount])+IF(May[After the 14th?]="Yes",SUMIF(May[SysID],R47,May[Pay Amount]),0)</f>
        <v>0</v>
      </c>
      <c r="T47" s="8"/>
      <c r="U47" s="5" t="str">
        <f t="shared" si="2"/>
        <v>N</v>
      </c>
      <c r="X47" s="56"/>
      <c r="Y47" s="56"/>
      <c r="Z47" s="56"/>
      <c r="AA47" s="56"/>
      <c r="AC47" s="56"/>
    </row>
    <row r="48" spans="1:29" x14ac:dyDescent="0.25">
      <c r="A48" s="35"/>
      <c r="B48" s="5" t="e">
        <f>VLOOKUP(A48,Relay!$A$1:$B$50,2,FALSE)</f>
        <v>#N/A</v>
      </c>
      <c r="C48" s="5" t="e">
        <f>VLOOKUP(A48,Relay!$A$2:$C$51,3,FALSE)</f>
        <v>#N/A</v>
      </c>
      <c r="D48" s="39"/>
      <c r="E48" s="35"/>
      <c r="F48" s="35" t="str">
        <f t="shared" si="0"/>
        <v>INS</v>
      </c>
      <c r="G48" s="5" t="e">
        <f>IF(OR(E48="Jeopardy",E48="APP Moonlighting",E48="Differential Pay"),"",June[[#This Row],[SysID]])</f>
        <v>#N/A</v>
      </c>
      <c r="H48" s="5" t="e">
        <f>IF(E48="Jeopardy",IF(C48="MD",Relay!$E$7,Relay!$E$8),IF(C48="MD",IF(COUNTIF(G:G,B48)&gt;1,Relay!$E$2,Relay!$E$1),IF(AND(COUNTIF(G:G,B48)&gt;1,COUNTA(A48)&gt;0),Relay!$E$5,Relay!$E$4)))</f>
        <v>#N/A</v>
      </c>
      <c r="I48" s="8">
        <f t="shared" si="1"/>
        <v>0</v>
      </c>
      <c r="J48" s="35"/>
      <c r="K48" s="35"/>
      <c r="L48" s="35"/>
      <c r="M48" s="35"/>
      <c r="N48" s="10" t="e">
        <f>IF(H48=June!$E$2,"N",IF(AND(COUNTIF(B:B,B48)=1,D48&gt;14),"Y","N"))</f>
        <v>#N/A</v>
      </c>
      <c r="O48" s="55" t="str">
        <f>IF(COUNT(June[[#This Row],[Date]])&gt;0,IF(June[[#This Row],[Date]]&gt;14,"Yes","No"),"N/A")</f>
        <v>N/A</v>
      </c>
      <c r="P48" s="55"/>
      <c r="Q48" s="5">
        <f>Relay!A47</f>
        <v>0</v>
      </c>
      <c r="R48" s="5">
        <f>Relay!B47</f>
        <v>46</v>
      </c>
      <c r="S48" s="8">
        <f>SUMIF(June[SysID],R48,June[Pay Amount])+IF(May[After the 14th?]="Yes",SUMIF(May[SysID],R48,May[Pay Amount]),0)</f>
        <v>0</v>
      </c>
      <c r="T48" s="8"/>
      <c r="U48" s="5" t="str">
        <f t="shared" si="2"/>
        <v>N</v>
      </c>
      <c r="X48" s="56"/>
      <c r="Y48" s="56"/>
      <c r="Z48" s="56"/>
      <c r="AA48" s="56"/>
      <c r="AC48" s="56"/>
    </row>
    <row r="49" spans="1:29" x14ac:dyDescent="0.25">
      <c r="A49" s="35"/>
      <c r="B49" s="5" t="e">
        <f>VLOOKUP(A49,Relay!$A$1:$B$50,2,FALSE)</f>
        <v>#N/A</v>
      </c>
      <c r="C49" s="5" t="e">
        <f>VLOOKUP(A49,Relay!$A$2:$C$51,3,FALSE)</f>
        <v>#N/A</v>
      </c>
      <c r="D49" s="39"/>
      <c r="E49" s="35"/>
      <c r="F49" s="35" t="str">
        <f t="shared" si="0"/>
        <v>INS</v>
      </c>
      <c r="G49" s="5" t="e">
        <f>IF(OR(E49="Jeopardy",E49="APP Moonlighting",E49="Differential Pay"),"",June[[#This Row],[SysID]])</f>
        <v>#N/A</v>
      </c>
      <c r="H49" s="5" t="e">
        <f>IF(E49="Jeopardy",IF(C49="MD",Relay!$E$7,Relay!$E$8),IF(C49="MD",IF(COUNTIF(G:G,B49)&gt;1,Relay!$E$2,Relay!$E$1),IF(AND(COUNTIF(G:G,B49)&gt;1,COUNTA(A49)&gt;0),Relay!$E$5,Relay!$E$4)))</f>
        <v>#N/A</v>
      </c>
      <c r="I49" s="8">
        <f t="shared" si="1"/>
        <v>0</v>
      </c>
      <c r="J49" s="35"/>
      <c r="K49" s="35"/>
      <c r="L49" s="35"/>
      <c r="M49" s="35"/>
      <c r="N49" s="10" t="e">
        <f>IF(H49=June!$E$2,"N",IF(AND(COUNTIF(B:B,B49)=1,D49&gt;14),"Y","N"))</f>
        <v>#N/A</v>
      </c>
      <c r="O49" s="55" t="str">
        <f>IF(COUNT(June[[#This Row],[Date]])&gt;0,IF(June[[#This Row],[Date]]&gt;14,"Yes","No"),"N/A")</f>
        <v>N/A</v>
      </c>
      <c r="P49" s="55"/>
      <c r="Q49" s="5">
        <f>Relay!A48</f>
        <v>0</v>
      </c>
      <c r="R49" s="5">
        <f>Relay!B48</f>
        <v>47</v>
      </c>
      <c r="S49" s="8">
        <f>SUMIF(June[SysID],R49,June[Pay Amount])+IF(May[After the 14th?]="Yes",SUMIF(May[SysID],R49,May[Pay Amount]),0)</f>
        <v>0</v>
      </c>
      <c r="T49" s="8"/>
      <c r="U49" s="5" t="str">
        <f t="shared" si="2"/>
        <v>N</v>
      </c>
      <c r="X49" s="56"/>
      <c r="Y49" s="56"/>
      <c r="Z49" s="56"/>
      <c r="AA49" s="56"/>
      <c r="AC49" s="56"/>
    </row>
    <row r="50" spans="1:29" x14ac:dyDescent="0.25">
      <c r="A50" s="35"/>
      <c r="B50" s="5" t="e">
        <f>VLOOKUP(A50,Relay!$A$1:$B$50,2,FALSE)</f>
        <v>#N/A</v>
      </c>
      <c r="C50" s="5" t="e">
        <f>VLOOKUP(A50,Relay!$A$2:$C$51,3,FALSE)</f>
        <v>#N/A</v>
      </c>
      <c r="D50" s="39"/>
      <c r="E50" s="35"/>
      <c r="F50" s="35" t="str">
        <f t="shared" si="0"/>
        <v>INS</v>
      </c>
      <c r="G50" s="5" t="e">
        <f>IF(OR(E50="Jeopardy",E50="APP Moonlighting",E50="Differential Pay"),"",June[[#This Row],[SysID]])</f>
        <v>#N/A</v>
      </c>
      <c r="H50" s="5" t="e">
        <f>IF(E50="Jeopardy",IF(C50="MD",Relay!$E$7,Relay!$E$8),IF(C50="MD",IF(COUNTIF(G:G,B50)&gt;1,Relay!$E$2,Relay!$E$1),IF(AND(COUNTIF(G:G,B50)&gt;1,COUNTA(A50)&gt;0),Relay!$E$5,Relay!$E$4)))</f>
        <v>#N/A</v>
      </c>
      <c r="I50" s="8">
        <f t="shared" si="1"/>
        <v>0</v>
      </c>
      <c r="J50" s="35"/>
      <c r="K50" s="35"/>
      <c r="L50" s="35"/>
      <c r="M50" s="35"/>
      <c r="N50" s="10" t="e">
        <f>IF(H50=June!$E$2,"N",IF(AND(COUNTIF(B:B,B50)=1,D50&gt;14),"Y","N"))</f>
        <v>#N/A</v>
      </c>
      <c r="O50" s="55" t="str">
        <f>IF(COUNT(June[[#This Row],[Date]])&gt;0,IF(June[[#This Row],[Date]]&gt;14,"Yes","No"),"N/A")</f>
        <v>N/A</v>
      </c>
      <c r="P50" s="55"/>
      <c r="Q50" s="5">
        <f>Relay!A49</f>
        <v>0</v>
      </c>
      <c r="R50" s="5">
        <f>Relay!B49</f>
        <v>48</v>
      </c>
      <c r="S50" s="8">
        <f>SUMIF(June[SysID],R50,June[Pay Amount])+IF(May[After the 14th?]="Yes",SUMIF(May[SysID],R50,May[Pay Amount]),0)</f>
        <v>0</v>
      </c>
      <c r="T50" s="8"/>
      <c r="U50" s="5" t="str">
        <f t="shared" si="2"/>
        <v>N</v>
      </c>
      <c r="X50" s="56"/>
      <c r="Y50" s="56"/>
      <c r="Z50" s="56"/>
      <c r="AA50" s="56"/>
      <c r="AC50" s="56"/>
    </row>
    <row r="51" spans="1:29" x14ac:dyDescent="0.25">
      <c r="A51" s="35"/>
      <c r="B51" s="32" t="e">
        <f>VLOOKUP(A51,Relay!$A$1:$B$50,2,FALSE)</f>
        <v>#N/A</v>
      </c>
      <c r="C51" s="32" t="e">
        <f>VLOOKUP(A51,Relay!$A$2:$C$101,3,FALSE)</f>
        <v>#N/A</v>
      </c>
      <c r="D51" s="39"/>
      <c r="E51" s="35"/>
      <c r="F51" s="58" t="str">
        <f t="shared" si="0"/>
        <v>INS</v>
      </c>
      <c r="G51" s="32" t="e">
        <f>IF(OR(E51="Jeopardy",E51="APP Moonlighting",E51="Differential Pay"),"",June[[#This Row],[SysID]])</f>
        <v>#N/A</v>
      </c>
      <c r="H51" s="32" t="e">
        <f>IF(E51="Jeopardy",IF(C51="MD",Relay!$E$7,Relay!$E$8),IF(C51="MD",IF(COUNTIF(G:G,B51)&gt;1,Relay!$E$2,Relay!$E$1),IF(AND(COUNTIF(G:G,B51)&gt;1,COUNTA(A51)&gt;0),Relay!$E$5,Relay!$E$4)))</f>
        <v>#N/A</v>
      </c>
      <c r="I51" s="8">
        <f t="shared" si="1"/>
        <v>0</v>
      </c>
      <c r="J51" s="35"/>
      <c r="K51" s="35"/>
      <c r="L51" s="35"/>
      <c r="M51" s="35"/>
      <c r="N51" s="32" t="e">
        <f>IF(H51=June!$E$2,"N",IF(AND(COUNTIF(B:B,B51)=1,D51&gt;14),"Y","N"))</f>
        <v>#N/A</v>
      </c>
      <c r="O51" s="55" t="str">
        <f>IF(COUNT(June[[#This Row],[Date]])&gt;0,IF(June[[#This Row],[Date]]&gt;14,"Yes","No"),"N/A")</f>
        <v>N/A</v>
      </c>
      <c r="P51" s="55"/>
      <c r="Q51" s="5">
        <f>Relay!A50</f>
        <v>0</v>
      </c>
      <c r="R51" s="5">
        <f>Relay!B50</f>
        <v>49</v>
      </c>
      <c r="S51" s="8">
        <f>SUMIF(June[SysID],R51,June[Pay Amount])+IF(May[After the 14th?]="Yes",SUMIF(May[SysID],R51,May[Pay Amount]),0)</f>
        <v>0</v>
      </c>
      <c r="T51" s="8"/>
      <c r="U51" s="5" t="str">
        <f t="shared" si="2"/>
        <v>N</v>
      </c>
      <c r="X51" s="56"/>
      <c r="Y51" s="56"/>
      <c r="Z51" s="56"/>
      <c r="AA51" s="56"/>
      <c r="AC51" s="56"/>
    </row>
    <row r="52" spans="1:29" x14ac:dyDescent="0.25">
      <c r="A52" s="35"/>
      <c r="B52" s="32" t="e">
        <f>VLOOKUP(A52,Relay!$A$1:$B$50,2,FALSE)</f>
        <v>#N/A</v>
      </c>
      <c r="C52" s="32" t="e">
        <f>VLOOKUP(A52,Relay!$A$2:$C$101,3,FALSE)</f>
        <v>#N/A</v>
      </c>
      <c r="D52" s="39"/>
      <c r="E52" s="35"/>
      <c r="F52" s="58" t="str">
        <f t="shared" si="0"/>
        <v>INS</v>
      </c>
      <c r="G52" s="32" t="e">
        <f>IF(OR(E52="Jeopardy",E52="APP Moonlighting",E52="Differential Pay"),"",June[[#This Row],[SysID]])</f>
        <v>#N/A</v>
      </c>
      <c r="H52" s="32" t="e">
        <f>IF(E52="Jeopardy",IF(C52="MD",Relay!$E$7,Relay!$E$8),IF(C52="MD",IF(COUNTIF(G:G,B52)&gt;1,Relay!$E$2,Relay!$E$1),IF(AND(COUNTIF(G:G,B52)&gt;1,COUNTA(A52)&gt;0),Relay!$E$5,Relay!$E$4)))</f>
        <v>#N/A</v>
      </c>
      <c r="I52" s="8">
        <f t="shared" si="1"/>
        <v>0</v>
      </c>
      <c r="J52" s="35"/>
      <c r="K52" s="35"/>
      <c r="L52" s="35"/>
      <c r="M52" s="35"/>
      <c r="N52" s="32" t="e">
        <f>IF(H52=June!$E$2,"N",IF(AND(COUNTIF(B:B,B52)=1,D52&gt;14),"Y","N"))</f>
        <v>#N/A</v>
      </c>
      <c r="O52" s="55" t="str">
        <f>IF(COUNT(June[[#This Row],[Date]])&gt;0,IF(June[[#This Row],[Date]]&gt;14,"Yes","No"),"N/A")</f>
        <v>N/A</v>
      </c>
      <c r="P52" s="55"/>
      <c r="Q52" s="5">
        <f>Relay!A51</f>
        <v>0</v>
      </c>
      <c r="R52" s="5">
        <f>Relay!B51</f>
        <v>50</v>
      </c>
      <c r="S52" s="8">
        <f>SUMIF(June[SysID],R52,June[Pay Amount])+IF(May[After the 14th?]="Yes",SUMIF(May[SysID],R52,May[Pay Amount]),0)</f>
        <v>0</v>
      </c>
      <c r="T52" s="8"/>
      <c r="U52" s="5" t="str">
        <f t="shared" si="2"/>
        <v>N</v>
      </c>
      <c r="X52" s="56"/>
      <c r="Y52" s="56"/>
      <c r="Z52" s="56"/>
      <c r="AA52" s="56"/>
      <c r="AC52" s="56"/>
    </row>
    <row r="53" spans="1:29" x14ac:dyDescent="0.25">
      <c r="A53" s="35"/>
      <c r="B53" s="32" t="e">
        <f>VLOOKUP(A53,Relay!$A$1:$B$50,2,FALSE)</f>
        <v>#N/A</v>
      </c>
      <c r="C53" s="32" t="e">
        <f>VLOOKUP(A53,Relay!$A$2:$C$101,3,FALSE)</f>
        <v>#N/A</v>
      </c>
      <c r="D53" s="39"/>
      <c r="E53" s="35"/>
      <c r="F53" s="58" t="str">
        <f t="shared" si="0"/>
        <v>INS</v>
      </c>
      <c r="G53" s="32" t="e">
        <f>IF(OR(E53="Jeopardy",E53="APP Moonlighting",E53="Differential Pay"),"",June[[#This Row],[SysID]])</f>
        <v>#N/A</v>
      </c>
      <c r="H53" s="32" t="e">
        <f>IF(E53="Jeopardy",IF(C53="MD",Relay!$E$7,Relay!$E$8),IF(C53="MD",IF(COUNTIF(G:G,B53)&gt;1,Relay!$E$2,Relay!$E$1),IF(AND(COUNTIF(G:G,B53)&gt;1,COUNTA(A53)&gt;0),Relay!$E$5,Relay!$E$4)))</f>
        <v>#N/A</v>
      </c>
      <c r="I53" s="8">
        <f t="shared" si="1"/>
        <v>0</v>
      </c>
      <c r="J53" s="35"/>
      <c r="K53" s="35"/>
      <c r="L53" s="35"/>
      <c r="M53" s="35"/>
      <c r="N53" s="32" t="e">
        <f>IF(H53=June!$E$2,"N",IF(AND(COUNTIF(B:B,B53)=1,D53&gt;14),"Y","N"))</f>
        <v>#N/A</v>
      </c>
      <c r="O53" s="55" t="str">
        <f>IF(COUNT(June[[#This Row],[Date]])&gt;0,IF(June[[#This Row],[Date]]&gt;14,"Yes","No"),"N/A")</f>
        <v>N/A</v>
      </c>
      <c r="P53" s="55"/>
      <c r="Q53" s="5">
        <f>Relay!A52</f>
        <v>0</v>
      </c>
      <c r="R53" s="5">
        <f>Relay!B52</f>
        <v>51</v>
      </c>
      <c r="S53" s="8">
        <f>SUMIF(June[SysID],R53,June[Pay Amount])+IF(May[After the 14th?]="Yes",SUMIF(May[SysID],R53,May[Pay Amount]),0)</f>
        <v>0</v>
      </c>
      <c r="T53" s="8"/>
      <c r="U53" s="5" t="str">
        <f t="shared" si="2"/>
        <v>N</v>
      </c>
      <c r="X53" s="56"/>
      <c r="Y53" s="56"/>
      <c r="Z53" s="56"/>
      <c r="AA53" s="56"/>
      <c r="AC53" s="56"/>
    </row>
    <row r="54" spans="1:29" x14ac:dyDescent="0.25">
      <c r="A54" s="35"/>
      <c r="B54" s="32" t="e">
        <f>VLOOKUP(A54,Relay!$A$1:$B$50,2,FALSE)</f>
        <v>#N/A</v>
      </c>
      <c r="C54" s="32" t="e">
        <f>VLOOKUP(A54,Relay!$A$2:$C$101,3,FALSE)</f>
        <v>#N/A</v>
      </c>
      <c r="D54" s="39"/>
      <c r="E54" s="35"/>
      <c r="F54" s="58" t="str">
        <f t="shared" si="0"/>
        <v>INS</v>
      </c>
      <c r="G54" s="32" t="e">
        <f>IF(OR(E54="Jeopardy",E54="APP Moonlighting",E54="Differential Pay"),"",June[[#This Row],[SysID]])</f>
        <v>#N/A</v>
      </c>
      <c r="H54" s="32" t="e">
        <f>IF(E54="Jeopardy",IF(C54="MD",Relay!$E$7,Relay!$E$8),IF(C54="MD",IF(COUNTIF(G:G,B54)&gt;1,Relay!$E$2,Relay!$E$1),IF(AND(COUNTIF(G:G,B54)&gt;1,COUNTA(A54)&gt;0),Relay!$E$5,Relay!$E$4)))</f>
        <v>#N/A</v>
      </c>
      <c r="I54" s="8">
        <f t="shared" si="1"/>
        <v>0</v>
      </c>
      <c r="J54" s="35"/>
      <c r="K54" s="35"/>
      <c r="L54" s="35"/>
      <c r="M54" s="35"/>
      <c r="N54" s="32" t="e">
        <f>IF(H54=June!$E$2,"N",IF(AND(COUNTIF(B:B,B54)=1,D54&gt;14),"Y","N"))</f>
        <v>#N/A</v>
      </c>
      <c r="O54" s="55" t="str">
        <f>IF(COUNT(June[[#This Row],[Date]])&gt;0,IF(June[[#This Row],[Date]]&gt;14,"Yes","No"),"N/A")</f>
        <v>N/A</v>
      </c>
      <c r="P54" s="55"/>
      <c r="Q54" s="5">
        <f>Relay!A53</f>
        <v>0</v>
      </c>
      <c r="R54" s="5">
        <f>Relay!B53</f>
        <v>52</v>
      </c>
      <c r="S54" s="8">
        <f>SUMIF(June[SysID],R54,June[Pay Amount])+IF(May[After the 14th?]="Yes",SUMIF(May[SysID],R54,May[Pay Amount]),0)</f>
        <v>0</v>
      </c>
      <c r="T54" s="8"/>
      <c r="U54" s="5" t="str">
        <f t="shared" si="2"/>
        <v>N</v>
      </c>
      <c r="X54" s="56"/>
      <c r="Y54" s="56"/>
      <c r="Z54" s="56"/>
      <c r="AA54" s="56"/>
      <c r="AC54" s="56"/>
    </row>
    <row r="55" spans="1:29" x14ac:dyDescent="0.25">
      <c r="A55" s="35"/>
      <c r="B55" s="32" t="e">
        <f>VLOOKUP(A55,Relay!$A$1:$B$50,2,FALSE)</f>
        <v>#N/A</v>
      </c>
      <c r="C55" s="32" t="e">
        <f>VLOOKUP(A55,Relay!$A$2:$C$101,3,FALSE)</f>
        <v>#N/A</v>
      </c>
      <c r="D55" s="39"/>
      <c r="E55" s="35"/>
      <c r="F55" s="58" t="str">
        <f t="shared" si="0"/>
        <v>INS</v>
      </c>
      <c r="G55" s="32" t="e">
        <f>IF(OR(E55="Jeopardy",E55="APP Moonlighting",E55="Differential Pay"),"",June[[#This Row],[SysID]])</f>
        <v>#N/A</v>
      </c>
      <c r="H55" s="32" t="e">
        <f>IF(E55="Jeopardy",IF(C55="MD",Relay!$E$7,Relay!$E$8),IF(C55="MD",IF(COUNTIF(G:G,B55)&gt;1,Relay!$E$2,Relay!$E$1),IF(AND(COUNTIF(G:G,B55)&gt;1,COUNTA(A55)&gt;0),Relay!$E$5,Relay!$E$4)))</f>
        <v>#N/A</v>
      </c>
      <c r="I55" s="8">
        <f t="shared" si="1"/>
        <v>0</v>
      </c>
      <c r="J55" s="35"/>
      <c r="K55" s="35"/>
      <c r="L55" s="35"/>
      <c r="M55" s="35"/>
      <c r="N55" s="32" t="e">
        <f>IF(H55=June!$E$2,"N",IF(AND(COUNTIF(B:B,B55)=1,D55&gt;14),"Y","N"))</f>
        <v>#N/A</v>
      </c>
      <c r="O55" s="55" t="str">
        <f>IF(COUNT(June[[#This Row],[Date]])&gt;0,IF(June[[#This Row],[Date]]&gt;14,"Yes","No"),"N/A")</f>
        <v>N/A</v>
      </c>
      <c r="P55" s="55"/>
      <c r="Q55" s="5">
        <f>Relay!A54</f>
        <v>0</v>
      </c>
      <c r="R55" s="5">
        <f>Relay!B54</f>
        <v>53</v>
      </c>
      <c r="S55" s="8">
        <f>SUMIF(June[SysID],R55,June[Pay Amount])+IF(May[After the 14th?]="Yes",SUMIF(May[SysID],R55,May[Pay Amount]),0)</f>
        <v>0</v>
      </c>
      <c r="T55" s="8"/>
      <c r="U55" s="5" t="str">
        <f t="shared" si="2"/>
        <v>N</v>
      </c>
      <c r="X55" s="56"/>
      <c r="Y55" s="56"/>
      <c r="Z55" s="56"/>
      <c r="AA55" s="56"/>
      <c r="AC55" s="56"/>
    </row>
    <row r="56" spans="1:29" x14ac:dyDescent="0.25">
      <c r="A56" s="35"/>
      <c r="B56" s="32" t="e">
        <f>VLOOKUP(A56,Relay!$A$1:$B$50,2,FALSE)</f>
        <v>#N/A</v>
      </c>
      <c r="C56" s="32" t="e">
        <f>VLOOKUP(A56,Relay!$A$2:$C$101,3,FALSE)</f>
        <v>#N/A</v>
      </c>
      <c r="D56" s="39"/>
      <c r="E56" s="35"/>
      <c r="F56" s="58" t="str">
        <f t="shared" si="0"/>
        <v>INS</v>
      </c>
      <c r="G56" s="32" t="e">
        <f>IF(OR(E56="Jeopardy",E56="APP Moonlighting",E56="Differential Pay"),"",June[[#This Row],[SysID]])</f>
        <v>#N/A</v>
      </c>
      <c r="H56" s="32" t="e">
        <f>IF(E56="Jeopardy",IF(C56="MD",Relay!$E$7,Relay!$E$8),IF(C56="MD",IF(COUNTIF(G:G,B56)&gt;1,Relay!$E$2,Relay!$E$1),IF(AND(COUNTIF(G:G,B56)&gt;1,COUNTA(A56)&gt;0),Relay!$E$5,Relay!$E$4)))</f>
        <v>#N/A</v>
      </c>
      <c r="I56" s="8">
        <f t="shared" si="1"/>
        <v>0</v>
      </c>
      <c r="J56" s="35"/>
      <c r="K56" s="35"/>
      <c r="L56" s="35"/>
      <c r="M56" s="35"/>
      <c r="N56" s="32" t="e">
        <f>IF(H56=June!$E$2,"N",IF(AND(COUNTIF(B:B,B56)=1,D56&gt;14),"Y","N"))</f>
        <v>#N/A</v>
      </c>
      <c r="O56" s="55" t="str">
        <f>IF(COUNT(June[[#This Row],[Date]])&gt;0,IF(June[[#This Row],[Date]]&gt;14,"Yes","No"),"N/A")</f>
        <v>N/A</v>
      </c>
      <c r="P56" s="55"/>
      <c r="Q56" s="5">
        <f>Relay!A55</f>
        <v>0</v>
      </c>
      <c r="R56" s="5">
        <f>Relay!B55</f>
        <v>54</v>
      </c>
      <c r="S56" s="8">
        <f>SUMIF(June[SysID],R56,June[Pay Amount])+IF(May[After the 14th?]="Yes",SUMIF(May[SysID],R56,May[Pay Amount]),0)</f>
        <v>0</v>
      </c>
      <c r="T56" s="8"/>
      <c r="U56" s="5" t="str">
        <f t="shared" si="2"/>
        <v>N</v>
      </c>
      <c r="X56" s="56"/>
      <c r="Y56" s="56"/>
      <c r="Z56" s="56"/>
      <c r="AA56" s="56"/>
      <c r="AC56" s="56"/>
    </row>
    <row r="57" spans="1:29" x14ac:dyDescent="0.25">
      <c r="A57" s="35"/>
      <c r="B57" s="32" t="e">
        <f>VLOOKUP(A57,Relay!$A$1:$B$50,2,FALSE)</f>
        <v>#N/A</v>
      </c>
      <c r="C57" s="32" t="e">
        <f>VLOOKUP(A57,Relay!$A$2:$C$101,3,FALSE)</f>
        <v>#N/A</v>
      </c>
      <c r="D57" s="39"/>
      <c r="E57" s="35"/>
      <c r="F57" s="58" t="str">
        <f t="shared" si="0"/>
        <v>INS</v>
      </c>
      <c r="G57" s="32" t="e">
        <f>IF(OR(E57="Jeopardy",E57="APP Moonlighting",E57="Differential Pay"),"",June[[#This Row],[SysID]])</f>
        <v>#N/A</v>
      </c>
      <c r="H57" s="32" t="e">
        <f>IF(E57="Jeopardy",IF(C57="MD",Relay!$E$7,Relay!$E$8),IF(C57="MD",IF(COUNTIF(G:G,B57)&gt;1,Relay!$E$2,Relay!$E$1),IF(AND(COUNTIF(G:G,B57)&gt;1,COUNTA(A57)&gt;0),Relay!$E$5,Relay!$E$4)))</f>
        <v>#N/A</v>
      </c>
      <c r="I57" s="8">
        <f t="shared" si="1"/>
        <v>0</v>
      </c>
      <c r="J57" s="35"/>
      <c r="K57" s="35"/>
      <c r="L57" s="35"/>
      <c r="M57" s="35"/>
      <c r="N57" s="32" t="e">
        <f>IF(H57=June!$E$2,"N",IF(AND(COUNTIF(B:B,B57)=1,D57&gt;14),"Y","N"))</f>
        <v>#N/A</v>
      </c>
      <c r="O57" s="55" t="str">
        <f>IF(COUNT(June[[#This Row],[Date]])&gt;0,IF(June[[#This Row],[Date]]&gt;14,"Yes","No"),"N/A")</f>
        <v>N/A</v>
      </c>
      <c r="P57" s="55"/>
      <c r="Q57" s="5">
        <f>Relay!A56</f>
        <v>0</v>
      </c>
      <c r="R57" s="5">
        <f>Relay!B56</f>
        <v>55</v>
      </c>
      <c r="S57" s="8">
        <f>SUMIF(June[SysID],R57,June[Pay Amount])+IF(May[After the 14th?]="Yes",SUMIF(May[SysID],R57,May[Pay Amount]),0)</f>
        <v>0</v>
      </c>
      <c r="T57" s="8"/>
      <c r="U57" s="5" t="str">
        <f t="shared" si="2"/>
        <v>N</v>
      </c>
      <c r="X57" s="56"/>
      <c r="Y57" s="56"/>
      <c r="Z57" s="56"/>
      <c r="AA57" s="56"/>
      <c r="AC57" s="56"/>
    </row>
    <row r="58" spans="1:29" x14ac:dyDescent="0.25">
      <c r="A58" s="35"/>
      <c r="B58" s="32" t="e">
        <f>VLOOKUP(A58,Relay!$A$1:$B$50,2,FALSE)</f>
        <v>#N/A</v>
      </c>
      <c r="C58" s="32" t="e">
        <f>VLOOKUP(A58,Relay!$A$2:$C$101,3,FALSE)</f>
        <v>#N/A</v>
      </c>
      <c r="D58" s="39"/>
      <c r="E58" s="35"/>
      <c r="F58" s="58" t="str">
        <f t="shared" si="0"/>
        <v>INS</v>
      </c>
      <c r="G58" s="32" t="e">
        <f>IF(OR(E58="Jeopardy",E58="APP Moonlighting",E58="Differential Pay"),"",June[[#This Row],[SysID]])</f>
        <v>#N/A</v>
      </c>
      <c r="H58" s="32" t="e">
        <f>IF(E58="Jeopardy",IF(C58="MD",Relay!$E$7,Relay!$E$8),IF(C58="MD",IF(COUNTIF(G:G,B58)&gt;1,Relay!$E$2,Relay!$E$1),IF(AND(COUNTIF(G:G,B58)&gt;1,COUNTA(A58)&gt;0),Relay!$E$5,Relay!$E$4)))</f>
        <v>#N/A</v>
      </c>
      <c r="I58" s="8">
        <f t="shared" si="1"/>
        <v>0</v>
      </c>
      <c r="J58" s="35"/>
      <c r="K58" s="35"/>
      <c r="L58" s="35"/>
      <c r="M58" s="35"/>
      <c r="N58" s="32" t="e">
        <f>IF(H58=June!$E$2,"N",IF(AND(COUNTIF(B:B,B58)=1,D58&gt;14),"Y","N"))</f>
        <v>#N/A</v>
      </c>
      <c r="O58" s="55" t="str">
        <f>IF(COUNT(June[[#This Row],[Date]])&gt;0,IF(June[[#This Row],[Date]]&gt;14,"Yes","No"),"N/A")</f>
        <v>N/A</v>
      </c>
      <c r="P58" s="55"/>
      <c r="Q58" s="5">
        <f>Relay!A57</f>
        <v>0</v>
      </c>
      <c r="R58" s="5">
        <f>Relay!B57</f>
        <v>56</v>
      </c>
      <c r="S58" s="8">
        <f>SUMIF(June[SysID],R58,June[Pay Amount])+IF(May[After the 14th?]="Yes",SUMIF(May[SysID],R58,May[Pay Amount]),0)</f>
        <v>0</v>
      </c>
      <c r="T58" s="8"/>
      <c r="U58" s="5" t="str">
        <f t="shared" si="2"/>
        <v>N</v>
      </c>
      <c r="X58" s="56"/>
      <c r="Y58" s="56"/>
      <c r="Z58" s="56"/>
      <c r="AA58" s="56"/>
      <c r="AC58" s="56"/>
    </row>
    <row r="59" spans="1:29" x14ac:dyDescent="0.25">
      <c r="A59" s="35"/>
      <c r="B59" s="32" t="e">
        <f>VLOOKUP(A59,Relay!$A$1:$B$50,2,FALSE)</f>
        <v>#N/A</v>
      </c>
      <c r="C59" s="32" t="e">
        <f>VLOOKUP(A59,Relay!$A$2:$C$101,3,FALSE)</f>
        <v>#N/A</v>
      </c>
      <c r="D59" s="39"/>
      <c r="E59" s="35"/>
      <c r="F59" s="58" t="str">
        <f t="shared" si="0"/>
        <v>INS</v>
      </c>
      <c r="G59" s="32" t="e">
        <f>IF(OR(E59="Jeopardy",E59="APP Moonlighting",E59="Differential Pay"),"",June[[#This Row],[SysID]])</f>
        <v>#N/A</v>
      </c>
      <c r="H59" s="32" t="e">
        <f>IF(E59="Jeopardy",IF(C59="MD",Relay!$E$7,Relay!$E$8),IF(C59="MD",IF(COUNTIF(G:G,B59)&gt;1,Relay!$E$2,Relay!$E$1),IF(AND(COUNTIF(G:G,B59)&gt;1,COUNTA(A59)&gt;0),Relay!$E$5,Relay!$E$4)))</f>
        <v>#N/A</v>
      </c>
      <c r="I59" s="8">
        <f t="shared" si="1"/>
        <v>0</v>
      </c>
      <c r="J59" s="35"/>
      <c r="K59" s="35"/>
      <c r="L59" s="35"/>
      <c r="M59" s="35"/>
      <c r="N59" s="32" t="e">
        <f>IF(H59=June!$E$2,"N",IF(AND(COUNTIF(B:B,B59)=1,D59&gt;14),"Y","N"))</f>
        <v>#N/A</v>
      </c>
      <c r="O59" s="55" t="str">
        <f>IF(COUNT(June[[#This Row],[Date]])&gt;0,IF(June[[#This Row],[Date]]&gt;14,"Yes","No"),"N/A")</f>
        <v>N/A</v>
      </c>
      <c r="P59" s="55"/>
      <c r="Q59" s="5">
        <f>Relay!A58</f>
        <v>0</v>
      </c>
      <c r="R59" s="5">
        <f>Relay!B58</f>
        <v>57</v>
      </c>
      <c r="S59" s="8">
        <f>SUMIF(June[SysID],R59,June[Pay Amount])+IF(May[After the 14th?]="Yes",SUMIF(May[SysID],R59,May[Pay Amount]),0)</f>
        <v>0</v>
      </c>
      <c r="T59" s="8"/>
      <c r="U59" s="5" t="str">
        <f t="shared" si="2"/>
        <v>N</v>
      </c>
      <c r="X59" s="56"/>
      <c r="Y59" s="56"/>
      <c r="Z59" s="56"/>
      <c r="AA59" s="56"/>
      <c r="AC59" s="56"/>
    </row>
    <row r="60" spans="1:29" x14ac:dyDescent="0.25">
      <c r="A60" s="35"/>
      <c r="B60" s="32" t="e">
        <f>VLOOKUP(A60,Relay!$A$1:$B$50,2,FALSE)</f>
        <v>#N/A</v>
      </c>
      <c r="C60" s="32" t="e">
        <f>VLOOKUP(A60,Relay!$A$2:$C$101,3,FALSE)</f>
        <v>#N/A</v>
      </c>
      <c r="D60" s="39"/>
      <c r="E60" s="35"/>
      <c r="F60" s="58" t="str">
        <f t="shared" si="0"/>
        <v>INS</v>
      </c>
      <c r="G60" s="32" t="e">
        <f>IF(OR(E60="Jeopardy",E60="APP Moonlighting",E60="Differential Pay"),"",June[[#This Row],[SysID]])</f>
        <v>#N/A</v>
      </c>
      <c r="H60" s="32" t="e">
        <f>IF(E60="Jeopardy",IF(C60="MD",Relay!$E$7,Relay!$E$8),IF(C60="MD",IF(COUNTIF(G:G,B60)&gt;1,Relay!$E$2,Relay!$E$1),IF(AND(COUNTIF(G:G,B60)&gt;1,COUNTA(A60)&gt;0),Relay!$E$5,Relay!$E$4)))</f>
        <v>#N/A</v>
      </c>
      <c r="I60" s="8">
        <f t="shared" si="1"/>
        <v>0</v>
      </c>
      <c r="J60" s="35"/>
      <c r="K60" s="35"/>
      <c r="L60" s="35"/>
      <c r="M60" s="35"/>
      <c r="N60" s="32" t="e">
        <f>IF(H60=June!$E$2,"N",IF(AND(COUNTIF(B:B,B60)=1,D60&gt;14),"Y","N"))</f>
        <v>#N/A</v>
      </c>
      <c r="O60" s="55" t="str">
        <f>IF(COUNT(June[[#This Row],[Date]])&gt;0,IF(June[[#This Row],[Date]]&gt;14,"Yes","No"),"N/A")</f>
        <v>N/A</v>
      </c>
      <c r="P60" s="55"/>
      <c r="Q60" s="5">
        <f>Relay!A59</f>
        <v>0</v>
      </c>
      <c r="R60" s="5">
        <f>Relay!B59</f>
        <v>58</v>
      </c>
      <c r="S60" s="8">
        <f>SUMIF(June[SysID],R60,June[Pay Amount])+IF(May[After the 14th?]="Yes",SUMIF(May[SysID],R60,May[Pay Amount]),0)</f>
        <v>0</v>
      </c>
      <c r="T60" s="8"/>
      <c r="U60" s="5" t="str">
        <f t="shared" si="2"/>
        <v>N</v>
      </c>
      <c r="X60" s="56"/>
      <c r="Y60" s="56"/>
      <c r="Z60" s="56"/>
      <c r="AA60" s="56"/>
      <c r="AC60" s="56"/>
    </row>
    <row r="61" spans="1:29" x14ac:dyDescent="0.25">
      <c r="A61" s="35"/>
      <c r="B61" s="32" t="e">
        <f>VLOOKUP(A61,Relay!$A$1:$B$50,2,FALSE)</f>
        <v>#N/A</v>
      </c>
      <c r="C61" s="32" t="e">
        <f>VLOOKUP(A61,Relay!$A$2:$C$101,3,FALSE)</f>
        <v>#N/A</v>
      </c>
      <c r="D61" s="39"/>
      <c r="E61" s="35"/>
      <c r="F61" s="58" t="str">
        <f t="shared" si="0"/>
        <v>INS</v>
      </c>
      <c r="G61" s="32" t="e">
        <f>IF(OR(E61="Jeopardy",E61="APP Moonlighting",E61="Differential Pay"),"",June[[#This Row],[SysID]])</f>
        <v>#N/A</v>
      </c>
      <c r="H61" s="32" t="e">
        <f>IF(E61="Jeopardy",IF(C61="MD",Relay!$E$7,Relay!$E$8),IF(C61="MD",IF(COUNTIF(G:G,B61)&gt;1,Relay!$E$2,Relay!$E$1),IF(AND(COUNTIF(G:G,B61)&gt;1,COUNTA(A61)&gt;0),Relay!$E$5,Relay!$E$4)))</f>
        <v>#N/A</v>
      </c>
      <c r="I61" s="8">
        <f t="shared" si="1"/>
        <v>0</v>
      </c>
      <c r="J61" s="35"/>
      <c r="K61" s="35"/>
      <c r="L61" s="35"/>
      <c r="M61" s="35"/>
      <c r="N61" s="32" t="e">
        <f>IF(H61=June!$E$2,"N",IF(AND(COUNTIF(B:B,B61)=1,D61&gt;14),"Y","N"))</f>
        <v>#N/A</v>
      </c>
      <c r="O61" s="55" t="str">
        <f>IF(COUNT(June[[#This Row],[Date]])&gt;0,IF(June[[#This Row],[Date]]&gt;14,"Yes","No"),"N/A")</f>
        <v>N/A</v>
      </c>
      <c r="P61" s="55"/>
      <c r="Q61" s="5">
        <f>Relay!A60</f>
        <v>0</v>
      </c>
      <c r="R61" s="5">
        <f>Relay!B60</f>
        <v>59</v>
      </c>
      <c r="S61" s="8">
        <f>SUMIF(June[SysID],R61,June[Pay Amount])+IF(May[After the 14th?]="Yes",SUMIF(May[SysID],R61,May[Pay Amount]),0)</f>
        <v>0</v>
      </c>
      <c r="T61" s="8"/>
      <c r="U61" s="5" t="str">
        <f t="shared" si="2"/>
        <v>N</v>
      </c>
      <c r="X61" s="56"/>
      <c r="Y61" s="56"/>
      <c r="Z61" s="56"/>
      <c r="AA61" s="56"/>
      <c r="AC61" s="56"/>
    </row>
    <row r="62" spans="1:29" x14ac:dyDescent="0.25">
      <c r="A62" s="35"/>
      <c r="B62" s="32" t="e">
        <f>VLOOKUP(A62,Relay!$A$1:$B$50,2,FALSE)</f>
        <v>#N/A</v>
      </c>
      <c r="C62" s="32" t="e">
        <f>VLOOKUP(A62,Relay!$A$2:$C$101,3,FALSE)</f>
        <v>#N/A</v>
      </c>
      <c r="D62" s="39"/>
      <c r="E62" s="35"/>
      <c r="F62" s="58" t="str">
        <f t="shared" si="0"/>
        <v>INS</v>
      </c>
      <c r="G62" s="32" t="e">
        <f>IF(OR(E62="Jeopardy",E62="APP Moonlighting",E62="Differential Pay"),"",June[[#This Row],[SysID]])</f>
        <v>#N/A</v>
      </c>
      <c r="H62" s="32" t="e">
        <f>IF(E62="Jeopardy",IF(C62="MD",Relay!$E$7,Relay!$E$8),IF(C62="MD",IF(COUNTIF(G:G,B62)&gt;1,Relay!$E$2,Relay!$E$1),IF(AND(COUNTIF(G:G,B62)&gt;1,COUNTA(A62)&gt;0),Relay!$E$5,Relay!$E$4)))</f>
        <v>#N/A</v>
      </c>
      <c r="I62" s="8">
        <f t="shared" si="1"/>
        <v>0</v>
      </c>
      <c r="J62" s="35"/>
      <c r="K62" s="35"/>
      <c r="L62" s="35"/>
      <c r="M62" s="35"/>
      <c r="N62" s="32" t="e">
        <f>IF(H62=June!$E$2,"N",IF(AND(COUNTIF(B:B,B62)=1,D62&gt;14),"Y","N"))</f>
        <v>#N/A</v>
      </c>
      <c r="O62" s="55" t="str">
        <f>IF(COUNT(June[[#This Row],[Date]])&gt;0,IF(June[[#This Row],[Date]]&gt;14,"Yes","No"),"N/A")</f>
        <v>N/A</v>
      </c>
      <c r="P62" s="55"/>
      <c r="Q62" s="5">
        <f>Relay!A61</f>
        <v>0</v>
      </c>
      <c r="R62" s="5">
        <f>Relay!B61</f>
        <v>60</v>
      </c>
      <c r="S62" s="8">
        <f>SUMIF(June[SysID],R62,June[Pay Amount])+IF(May[After the 14th?]="Yes",SUMIF(May[SysID],R62,May[Pay Amount]),0)</f>
        <v>0</v>
      </c>
      <c r="T62" s="8"/>
      <c r="U62" s="5" t="str">
        <f t="shared" si="2"/>
        <v>N</v>
      </c>
      <c r="X62" s="56"/>
      <c r="Y62" s="56"/>
      <c r="Z62" s="56"/>
      <c r="AA62" s="56"/>
      <c r="AC62" s="56"/>
    </row>
    <row r="63" spans="1:29" x14ac:dyDescent="0.25">
      <c r="A63" s="35"/>
      <c r="B63" s="32" t="e">
        <f>VLOOKUP(A63,Relay!$A$1:$B$50,2,FALSE)</f>
        <v>#N/A</v>
      </c>
      <c r="C63" s="32" t="e">
        <f>VLOOKUP(A63,Relay!$A$2:$C$101,3,FALSE)</f>
        <v>#N/A</v>
      </c>
      <c r="D63" s="39"/>
      <c r="E63" s="35"/>
      <c r="F63" s="58" t="str">
        <f t="shared" si="0"/>
        <v>INS</v>
      </c>
      <c r="G63" s="32" t="e">
        <f>IF(OR(E63="Jeopardy",E63="APP Moonlighting",E63="Differential Pay"),"",June[[#This Row],[SysID]])</f>
        <v>#N/A</v>
      </c>
      <c r="H63" s="32" t="e">
        <f>IF(E63="Jeopardy",IF(C63="MD",Relay!$E$7,Relay!$E$8),IF(C63="MD",IF(COUNTIF(G:G,B63)&gt;1,Relay!$E$2,Relay!$E$1),IF(AND(COUNTIF(G:G,B63)&gt;1,COUNTA(A63)&gt;0),Relay!$E$5,Relay!$E$4)))</f>
        <v>#N/A</v>
      </c>
      <c r="I63" s="8">
        <f t="shared" si="1"/>
        <v>0</v>
      </c>
      <c r="J63" s="35"/>
      <c r="K63" s="35"/>
      <c r="L63" s="35"/>
      <c r="M63" s="35"/>
      <c r="N63" s="32" t="e">
        <f>IF(H63=June!$E$2,"N",IF(AND(COUNTIF(B:B,B63)=1,D63&gt;14),"Y","N"))</f>
        <v>#N/A</v>
      </c>
      <c r="O63" s="55" t="str">
        <f>IF(COUNT(June[[#This Row],[Date]])&gt;0,IF(June[[#This Row],[Date]]&gt;14,"Yes","No"),"N/A")</f>
        <v>N/A</v>
      </c>
      <c r="P63" s="55"/>
      <c r="Q63" s="5">
        <f>Relay!A62</f>
        <v>0</v>
      </c>
      <c r="R63" s="5">
        <f>Relay!B62</f>
        <v>61</v>
      </c>
      <c r="S63" s="8">
        <f>SUMIF(June[SysID],R63,June[Pay Amount])+IF(May[After the 14th?]="Yes",SUMIF(May[SysID],R63,May[Pay Amount]),0)</f>
        <v>0</v>
      </c>
      <c r="T63" s="8"/>
      <c r="U63" s="5" t="str">
        <f t="shared" si="2"/>
        <v>N</v>
      </c>
      <c r="X63" s="56"/>
      <c r="Y63" s="56"/>
      <c r="Z63" s="56"/>
      <c r="AA63" s="56"/>
      <c r="AC63" s="56"/>
    </row>
    <row r="64" spans="1:29" x14ac:dyDescent="0.25">
      <c r="A64" s="35"/>
      <c r="B64" s="32" t="e">
        <f>VLOOKUP(A64,Relay!$A$1:$B$50,2,FALSE)</f>
        <v>#N/A</v>
      </c>
      <c r="C64" s="32" t="e">
        <f>VLOOKUP(A64,Relay!$A$2:$C$101,3,FALSE)</f>
        <v>#N/A</v>
      </c>
      <c r="D64" s="39"/>
      <c r="E64" s="35"/>
      <c r="F64" s="58" t="str">
        <f t="shared" si="0"/>
        <v>INS</v>
      </c>
      <c r="G64" s="32" t="e">
        <f>IF(OR(E64="Jeopardy",E64="APP Moonlighting",E64="Differential Pay"),"",June[[#This Row],[SysID]])</f>
        <v>#N/A</v>
      </c>
      <c r="H64" s="32" t="e">
        <f>IF(E64="Jeopardy",IF(C64="MD",Relay!$E$7,Relay!$E$8),IF(C64="MD",IF(COUNTIF(G:G,B64)&gt;1,Relay!$E$2,Relay!$E$1),IF(AND(COUNTIF(G:G,B64)&gt;1,COUNTA(A64)&gt;0),Relay!$E$5,Relay!$E$4)))</f>
        <v>#N/A</v>
      </c>
      <c r="I64" s="8">
        <f t="shared" si="1"/>
        <v>0</v>
      </c>
      <c r="J64" s="35"/>
      <c r="K64" s="35"/>
      <c r="L64" s="35"/>
      <c r="M64" s="35"/>
      <c r="N64" s="32" t="e">
        <f>IF(H64=June!$E$2,"N",IF(AND(COUNTIF(B:B,B64)=1,D64&gt;14),"Y","N"))</f>
        <v>#N/A</v>
      </c>
      <c r="O64" s="55" t="str">
        <f>IF(COUNT(June[[#This Row],[Date]])&gt;0,IF(June[[#This Row],[Date]]&gt;14,"Yes","No"),"N/A")</f>
        <v>N/A</v>
      </c>
      <c r="P64" s="55"/>
      <c r="Q64" s="5">
        <f>Relay!A63</f>
        <v>0</v>
      </c>
      <c r="R64" s="5">
        <f>Relay!B63</f>
        <v>62</v>
      </c>
      <c r="S64" s="8">
        <f>SUMIF(June[SysID],R64,June[Pay Amount])+IF(May[After the 14th?]="Yes",SUMIF(May[SysID],R64,May[Pay Amount]),0)</f>
        <v>0</v>
      </c>
      <c r="T64" s="8"/>
      <c r="U64" s="5" t="str">
        <f t="shared" si="2"/>
        <v>N</v>
      </c>
      <c r="X64" s="56"/>
      <c r="Y64" s="56"/>
      <c r="Z64" s="56"/>
      <c r="AA64" s="56"/>
      <c r="AC64" s="56"/>
    </row>
    <row r="65" spans="1:29" x14ac:dyDescent="0.25">
      <c r="A65" s="35"/>
      <c r="B65" s="32" t="e">
        <f>VLOOKUP(A65,Relay!$A$1:$B$50,2,FALSE)</f>
        <v>#N/A</v>
      </c>
      <c r="C65" s="32" t="e">
        <f>VLOOKUP(A65,Relay!$A$2:$C$101,3,FALSE)</f>
        <v>#N/A</v>
      </c>
      <c r="D65" s="39"/>
      <c r="E65" s="35"/>
      <c r="F65" s="58" t="str">
        <f t="shared" si="0"/>
        <v>INS</v>
      </c>
      <c r="G65" s="32" t="e">
        <f>IF(OR(E65="Jeopardy",E65="APP Moonlighting",E65="Differential Pay"),"",June[[#This Row],[SysID]])</f>
        <v>#N/A</v>
      </c>
      <c r="H65" s="32" t="e">
        <f>IF(E65="Jeopardy",IF(C65="MD",Relay!$E$7,Relay!$E$8),IF(C65="MD",IF(COUNTIF(G:G,B65)&gt;1,Relay!$E$2,Relay!$E$1),IF(AND(COUNTIF(G:G,B65)&gt;1,COUNTA(A65)&gt;0),Relay!$E$5,Relay!$E$4)))</f>
        <v>#N/A</v>
      </c>
      <c r="I65" s="8">
        <f t="shared" si="1"/>
        <v>0</v>
      </c>
      <c r="J65" s="35"/>
      <c r="K65" s="35"/>
      <c r="L65" s="35"/>
      <c r="M65" s="35"/>
      <c r="N65" s="32" t="e">
        <f>IF(H65=June!$E$2,"N",IF(AND(COUNTIF(B:B,B65)=1,D65&gt;14),"Y","N"))</f>
        <v>#N/A</v>
      </c>
      <c r="O65" s="55" t="str">
        <f>IF(COUNT(June[[#This Row],[Date]])&gt;0,IF(June[[#This Row],[Date]]&gt;14,"Yes","No"),"N/A")</f>
        <v>N/A</v>
      </c>
      <c r="P65" s="55"/>
      <c r="Q65" s="5">
        <f>Relay!A64</f>
        <v>0</v>
      </c>
      <c r="R65" s="5">
        <f>Relay!B64</f>
        <v>63</v>
      </c>
      <c r="S65" s="8">
        <f>SUMIF(June[SysID],R65,June[Pay Amount])+IF(May[After the 14th?]="Yes",SUMIF(May[SysID],R65,May[Pay Amount]),0)</f>
        <v>0</v>
      </c>
      <c r="T65" s="8"/>
      <c r="U65" s="5" t="str">
        <f t="shared" si="2"/>
        <v>N</v>
      </c>
      <c r="X65" s="56"/>
      <c r="Y65" s="56"/>
      <c r="Z65" s="56"/>
      <c r="AA65" s="56"/>
      <c r="AC65" s="56"/>
    </row>
    <row r="66" spans="1:29" x14ac:dyDescent="0.25">
      <c r="A66" s="35"/>
      <c r="B66" s="32" t="e">
        <f>VLOOKUP(A66,Relay!$A$1:$B$50,2,FALSE)</f>
        <v>#N/A</v>
      </c>
      <c r="C66" s="32" t="e">
        <f>VLOOKUP(A66,Relay!$A$2:$C$101,3,FALSE)</f>
        <v>#N/A</v>
      </c>
      <c r="D66" s="39"/>
      <c r="E66" s="35"/>
      <c r="F66" s="58" t="str">
        <f t="shared" si="0"/>
        <v>INS</v>
      </c>
      <c r="G66" s="32" t="e">
        <f>IF(OR(E66="Jeopardy",E66="APP Moonlighting",E66="Differential Pay"),"",June[[#This Row],[SysID]])</f>
        <v>#N/A</v>
      </c>
      <c r="H66" s="32" t="e">
        <f>IF(E66="Jeopardy",IF(C66="MD",Relay!$E$7,Relay!$E$8),IF(C66="MD",IF(COUNTIF(G:G,B66)&gt;1,Relay!$E$2,Relay!$E$1),IF(AND(COUNTIF(G:G,B66)&gt;1,COUNTA(A66)&gt;0),Relay!$E$5,Relay!$E$4)))</f>
        <v>#N/A</v>
      </c>
      <c r="I66" s="8">
        <f t="shared" si="1"/>
        <v>0</v>
      </c>
      <c r="J66" s="35"/>
      <c r="K66" s="35"/>
      <c r="L66" s="35"/>
      <c r="M66" s="35"/>
      <c r="N66" s="32" t="e">
        <f>IF(H66=June!$E$2,"N",IF(AND(COUNTIF(B:B,B66)=1,D66&gt;14),"Y","N"))</f>
        <v>#N/A</v>
      </c>
      <c r="O66" s="55" t="str">
        <f>IF(COUNT(June[[#This Row],[Date]])&gt;0,IF(June[[#This Row],[Date]]&gt;14,"Yes","No"),"N/A")</f>
        <v>N/A</v>
      </c>
      <c r="P66" s="55"/>
      <c r="Q66" s="5">
        <f>Relay!A65</f>
        <v>0</v>
      </c>
      <c r="R66" s="5">
        <f>Relay!B65</f>
        <v>64</v>
      </c>
      <c r="S66" s="8">
        <f>SUMIF(June[SysID],R66,June[Pay Amount])+IF(May[After the 14th?]="Yes",SUMIF(May[SysID],R66,May[Pay Amount]),0)</f>
        <v>0</v>
      </c>
      <c r="T66" s="8"/>
      <c r="U66" s="5" t="str">
        <f t="shared" si="2"/>
        <v>N</v>
      </c>
      <c r="X66" s="56"/>
      <c r="Y66" s="56"/>
      <c r="Z66" s="56"/>
      <c r="AA66" s="56"/>
      <c r="AC66" s="56"/>
    </row>
    <row r="67" spans="1:29" x14ac:dyDescent="0.25">
      <c r="A67" s="35"/>
      <c r="B67" s="32" t="e">
        <f>VLOOKUP(A67,Relay!$A$1:$B$50,2,FALSE)</f>
        <v>#N/A</v>
      </c>
      <c r="C67" s="32" t="e">
        <f>VLOOKUP(A67,Relay!$A$2:$C$101,3,FALSE)</f>
        <v>#N/A</v>
      </c>
      <c r="D67" s="39"/>
      <c r="E67" s="35"/>
      <c r="F67" s="58" t="str">
        <f t="shared" ref="F67:F103" si="3">IF(E67="Moonlighting", 12, "INS")</f>
        <v>INS</v>
      </c>
      <c r="G67" s="32" t="e">
        <f>IF(OR(E67="Jeopardy",E67="APP Moonlighting",E67="Differential Pay"),"",June[[#This Row],[SysID]])</f>
        <v>#N/A</v>
      </c>
      <c r="H67" s="32" t="e">
        <f>IF(E67="Jeopardy",IF(C67="MD",Relay!$E$7,Relay!$E$8),IF(C67="MD",IF(COUNTIF(G:G,B67)&gt;1,Relay!$E$2,Relay!$E$1),IF(AND(COUNTIF(G:G,B67)&gt;1,COUNTA(A67)&gt;0),Relay!$E$5,Relay!$E$4)))</f>
        <v>#N/A</v>
      </c>
      <c r="I67" s="8">
        <f t="shared" ref="I67:I103" si="4">IF(COUNTA(A67)&gt;0,H67*F67,0)</f>
        <v>0</v>
      </c>
      <c r="J67" s="35"/>
      <c r="K67" s="35"/>
      <c r="L67" s="35"/>
      <c r="M67" s="35"/>
      <c r="N67" s="32" t="e">
        <f>IF(H67=June!$E$2,"N",IF(AND(COUNTIF(B:B,B67)=1,D67&gt;14),"Y","N"))</f>
        <v>#N/A</v>
      </c>
      <c r="O67" s="55" t="str">
        <f>IF(COUNT(June[[#This Row],[Date]])&gt;0,IF(June[[#This Row],[Date]]&gt;14,"Yes","No"),"N/A")</f>
        <v>N/A</v>
      </c>
      <c r="P67" s="55"/>
      <c r="Q67" s="5">
        <f>Relay!A66</f>
        <v>0</v>
      </c>
      <c r="R67" s="5">
        <f>Relay!B66</f>
        <v>65</v>
      </c>
      <c r="S67" s="8">
        <f>SUMIF(June[SysID],R67,June[Pay Amount])+IF(May[After the 14th?]="Yes",SUMIF(May[SysID],R67,May[Pay Amount]),0)</f>
        <v>0</v>
      </c>
      <c r="T67" s="8"/>
      <c r="U67" s="5" t="str">
        <f t="shared" ref="U67:U103" si="5">IF(S67=T67,"N","Y")</f>
        <v>N</v>
      </c>
      <c r="X67" s="56"/>
      <c r="Y67" s="56"/>
      <c r="Z67" s="56"/>
      <c r="AA67" s="56"/>
      <c r="AC67" s="56"/>
    </row>
    <row r="68" spans="1:29" x14ac:dyDescent="0.25">
      <c r="A68" s="35"/>
      <c r="B68" s="32" t="e">
        <f>VLOOKUP(A68,Relay!$A$1:$B$50,2,FALSE)</f>
        <v>#N/A</v>
      </c>
      <c r="C68" s="32" t="e">
        <f>VLOOKUP(A68,Relay!$A$2:$C$101,3,FALSE)</f>
        <v>#N/A</v>
      </c>
      <c r="D68" s="39"/>
      <c r="E68" s="35"/>
      <c r="F68" s="58" t="str">
        <f t="shared" si="3"/>
        <v>INS</v>
      </c>
      <c r="G68" s="32" t="e">
        <f>IF(OR(E68="Jeopardy",E68="APP Moonlighting",E68="Differential Pay"),"",June[[#This Row],[SysID]])</f>
        <v>#N/A</v>
      </c>
      <c r="H68" s="32" t="e">
        <f>IF(E68="Jeopardy",IF(C68="MD",Relay!$E$7,Relay!$E$8),IF(C68="MD",IF(COUNTIF(G:G,B68)&gt;1,Relay!$E$2,Relay!$E$1),IF(AND(COUNTIF(G:G,B68)&gt;1,COUNTA(A68)&gt;0),Relay!$E$5,Relay!$E$4)))</f>
        <v>#N/A</v>
      </c>
      <c r="I68" s="8">
        <f t="shared" si="4"/>
        <v>0</v>
      </c>
      <c r="J68" s="35"/>
      <c r="K68" s="35"/>
      <c r="L68" s="35"/>
      <c r="M68" s="35"/>
      <c r="N68" s="32" t="e">
        <f>IF(H68=June!$E$2,"N",IF(AND(COUNTIF(B:B,B68)=1,D68&gt;14),"Y","N"))</f>
        <v>#N/A</v>
      </c>
      <c r="O68" s="55" t="str">
        <f>IF(COUNT(June[[#This Row],[Date]])&gt;0,IF(June[[#This Row],[Date]]&gt;14,"Yes","No"),"N/A")</f>
        <v>N/A</v>
      </c>
      <c r="P68" s="55"/>
      <c r="Q68" s="5">
        <f>Relay!A67</f>
        <v>0</v>
      </c>
      <c r="R68" s="5">
        <f>Relay!B67</f>
        <v>66</v>
      </c>
      <c r="S68" s="8">
        <f>SUMIF(June[SysID],R68,June[Pay Amount])+IF(May[After the 14th?]="Yes",SUMIF(May[SysID],R68,May[Pay Amount]),0)</f>
        <v>0</v>
      </c>
      <c r="T68" s="8"/>
      <c r="U68" s="5" t="str">
        <f t="shared" si="5"/>
        <v>N</v>
      </c>
      <c r="X68" s="56"/>
      <c r="Y68" s="56"/>
      <c r="Z68" s="56"/>
      <c r="AA68" s="56"/>
      <c r="AC68" s="56"/>
    </row>
    <row r="69" spans="1:29" x14ac:dyDescent="0.25">
      <c r="A69" s="35"/>
      <c r="B69" s="32" t="e">
        <f>VLOOKUP(A69,Relay!$A$1:$B$50,2,FALSE)</f>
        <v>#N/A</v>
      </c>
      <c r="C69" s="32" t="e">
        <f>VLOOKUP(A69,Relay!$A$2:$C$101,3,FALSE)</f>
        <v>#N/A</v>
      </c>
      <c r="D69" s="39"/>
      <c r="E69" s="35"/>
      <c r="F69" s="58" t="str">
        <f t="shared" si="3"/>
        <v>INS</v>
      </c>
      <c r="G69" s="32" t="e">
        <f>IF(OR(E69="Jeopardy",E69="APP Moonlighting",E69="Differential Pay"),"",June[[#This Row],[SysID]])</f>
        <v>#N/A</v>
      </c>
      <c r="H69" s="32" t="e">
        <f>IF(E69="Jeopardy",IF(C69="MD",Relay!$E$7,Relay!$E$8),IF(C69="MD",IF(COUNTIF(G:G,B69)&gt;1,Relay!$E$2,Relay!$E$1),IF(AND(COUNTIF(G:G,B69)&gt;1,COUNTA(A69)&gt;0),Relay!$E$5,Relay!$E$4)))</f>
        <v>#N/A</v>
      </c>
      <c r="I69" s="8">
        <f t="shared" si="4"/>
        <v>0</v>
      </c>
      <c r="J69" s="35"/>
      <c r="K69" s="35"/>
      <c r="L69" s="35"/>
      <c r="M69" s="35"/>
      <c r="N69" s="32" t="e">
        <f>IF(H69=June!$E$2,"N",IF(AND(COUNTIF(B:B,B69)=1,D69&gt;14),"Y","N"))</f>
        <v>#N/A</v>
      </c>
      <c r="O69" s="55" t="str">
        <f>IF(COUNT(June[[#This Row],[Date]])&gt;0,IF(June[[#This Row],[Date]]&gt;14,"Yes","No"),"N/A")</f>
        <v>N/A</v>
      </c>
      <c r="P69" s="55"/>
      <c r="Q69" s="5">
        <f>Relay!A68</f>
        <v>0</v>
      </c>
      <c r="R69" s="5">
        <f>Relay!B68</f>
        <v>67</v>
      </c>
      <c r="S69" s="8">
        <f>SUMIF(June[SysID],R69,June[Pay Amount])+IF(May[After the 14th?]="Yes",SUMIF(May[SysID],R69,May[Pay Amount]),0)</f>
        <v>0</v>
      </c>
      <c r="T69" s="8"/>
      <c r="U69" s="5" t="str">
        <f t="shared" si="5"/>
        <v>N</v>
      </c>
      <c r="X69" s="56"/>
      <c r="Y69" s="56"/>
      <c r="Z69" s="56"/>
      <c r="AA69" s="56"/>
      <c r="AC69" s="56"/>
    </row>
    <row r="70" spans="1:29" x14ac:dyDescent="0.25">
      <c r="A70" s="35"/>
      <c r="B70" s="32" t="e">
        <f>VLOOKUP(A70,Relay!$A$1:$B$50,2,FALSE)</f>
        <v>#N/A</v>
      </c>
      <c r="C70" s="32" t="e">
        <f>VLOOKUP(A70,Relay!$A$2:$C$101,3,FALSE)</f>
        <v>#N/A</v>
      </c>
      <c r="D70" s="39"/>
      <c r="E70" s="35"/>
      <c r="F70" s="58" t="str">
        <f t="shared" si="3"/>
        <v>INS</v>
      </c>
      <c r="G70" s="32" t="e">
        <f>IF(OR(E70="Jeopardy",E70="APP Moonlighting",E70="Differential Pay"),"",June[[#This Row],[SysID]])</f>
        <v>#N/A</v>
      </c>
      <c r="H70" s="32" t="e">
        <f>IF(E70="Jeopardy",IF(C70="MD",Relay!$E$7,Relay!$E$8),IF(C70="MD",IF(COUNTIF(G:G,B70)&gt;1,Relay!$E$2,Relay!$E$1),IF(AND(COUNTIF(G:G,B70)&gt;1,COUNTA(A70)&gt;0),Relay!$E$5,Relay!$E$4)))</f>
        <v>#N/A</v>
      </c>
      <c r="I70" s="8">
        <f t="shared" si="4"/>
        <v>0</v>
      </c>
      <c r="J70" s="35"/>
      <c r="K70" s="35"/>
      <c r="L70" s="35"/>
      <c r="M70" s="35"/>
      <c r="N70" s="32" t="e">
        <f>IF(H70=June!$E$2,"N",IF(AND(COUNTIF(B:B,B70)=1,D70&gt;14),"Y","N"))</f>
        <v>#N/A</v>
      </c>
      <c r="O70" s="55" t="str">
        <f>IF(COUNT(June[[#This Row],[Date]])&gt;0,IF(June[[#This Row],[Date]]&gt;14,"Yes","No"),"N/A")</f>
        <v>N/A</v>
      </c>
      <c r="P70" s="55"/>
      <c r="Q70" s="5">
        <f>Relay!A69</f>
        <v>0</v>
      </c>
      <c r="R70" s="5">
        <f>Relay!B69</f>
        <v>68</v>
      </c>
      <c r="S70" s="8">
        <f>SUMIF(June[SysID],R70,June[Pay Amount])+IF(May[After the 14th?]="Yes",SUMIF(May[SysID],R70,May[Pay Amount]),0)</f>
        <v>0</v>
      </c>
      <c r="T70" s="8"/>
      <c r="U70" s="5" t="str">
        <f t="shared" si="5"/>
        <v>N</v>
      </c>
      <c r="X70" s="56"/>
      <c r="Y70" s="56"/>
      <c r="Z70" s="56"/>
      <c r="AA70" s="56"/>
      <c r="AC70" s="56"/>
    </row>
    <row r="71" spans="1:29" x14ac:dyDescent="0.25">
      <c r="A71" s="35"/>
      <c r="B71" s="32" t="e">
        <f>VLOOKUP(A71,Relay!$A$1:$B$50,2,FALSE)</f>
        <v>#N/A</v>
      </c>
      <c r="C71" s="32" t="e">
        <f>VLOOKUP(A71,Relay!$A$2:$C$101,3,FALSE)</f>
        <v>#N/A</v>
      </c>
      <c r="D71" s="39"/>
      <c r="E71" s="35"/>
      <c r="F71" s="58" t="str">
        <f t="shared" si="3"/>
        <v>INS</v>
      </c>
      <c r="G71" s="32" t="e">
        <f>IF(OR(E71="Jeopardy",E71="APP Moonlighting",E71="Differential Pay"),"",June[[#This Row],[SysID]])</f>
        <v>#N/A</v>
      </c>
      <c r="H71" s="32" t="e">
        <f>IF(E71="Jeopardy",IF(C71="MD",Relay!$E$7,Relay!$E$8),IF(C71="MD",IF(COUNTIF(G:G,B71)&gt;1,Relay!$E$2,Relay!$E$1),IF(AND(COUNTIF(G:G,B71)&gt;1,COUNTA(A71)&gt;0),Relay!$E$5,Relay!$E$4)))</f>
        <v>#N/A</v>
      </c>
      <c r="I71" s="8">
        <f t="shared" si="4"/>
        <v>0</v>
      </c>
      <c r="J71" s="35"/>
      <c r="K71" s="35"/>
      <c r="L71" s="35"/>
      <c r="M71" s="35"/>
      <c r="N71" s="32" t="e">
        <f>IF(H71=June!$E$2,"N",IF(AND(COUNTIF(B:B,B71)=1,D71&gt;14),"Y","N"))</f>
        <v>#N/A</v>
      </c>
      <c r="O71" s="55" t="str">
        <f>IF(COUNT(June[[#This Row],[Date]])&gt;0,IF(June[[#This Row],[Date]]&gt;14,"Yes","No"),"N/A")</f>
        <v>N/A</v>
      </c>
      <c r="P71" s="55"/>
      <c r="Q71" s="5">
        <f>Relay!A70</f>
        <v>0</v>
      </c>
      <c r="R71" s="5">
        <f>Relay!B70</f>
        <v>69</v>
      </c>
      <c r="S71" s="8">
        <f>SUMIF(June[SysID],R71,June[Pay Amount])+IF(May[After the 14th?]="Yes",SUMIF(May[SysID],R71,May[Pay Amount]),0)</f>
        <v>0</v>
      </c>
      <c r="T71" s="8"/>
      <c r="U71" s="5" t="str">
        <f t="shared" si="5"/>
        <v>N</v>
      </c>
      <c r="X71" s="56"/>
      <c r="Y71" s="56"/>
      <c r="Z71" s="56"/>
      <c r="AA71" s="56"/>
      <c r="AC71" s="56"/>
    </row>
    <row r="72" spans="1:29" x14ac:dyDescent="0.25">
      <c r="A72" s="35"/>
      <c r="B72" s="32" t="e">
        <f>VLOOKUP(A72,Relay!$A$1:$B$50,2,FALSE)</f>
        <v>#N/A</v>
      </c>
      <c r="C72" s="32" t="e">
        <f>VLOOKUP(A72,Relay!$A$2:$C$101,3,FALSE)</f>
        <v>#N/A</v>
      </c>
      <c r="D72" s="39"/>
      <c r="E72" s="35"/>
      <c r="F72" s="58" t="str">
        <f t="shared" si="3"/>
        <v>INS</v>
      </c>
      <c r="G72" s="32" t="e">
        <f>IF(OR(E72="Jeopardy",E72="APP Moonlighting",E72="Differential Pay"),"",June[[#This Row],[SysID]])</f>
        <v>#N/A</v>
      </c>
      <c r="H72" s="32" t="e">
        <f>IF(E72="Jeopardy",IF(C72="MD",Relay!$E$7,Relay!$E$8),IF(C72="MD",IF(COUNTIF(G:G,B72)&gt;1,Relay!$E$2,Relay!$E$1),IF(AND(COUNTIF(G:G,B72)&gt;1,COUNTA(A72)&gt;0),Relay!$E$5,Relay!$E$4)))</f>
        <v>#N/A</v>
      </c>
      <c r="I72" s="8">
        <f t="shared" si="4"/>
        <v>0</v>
      </c>
      <c r="J72" s="35"/>
      <c r="K72" s="35"/>
      <c r="L72" s="35"/>
      <c r="M72" s="35"/>
      <c r="N72" s="32" t="e">
        <f>IF(H72=June!$E$2,"N",IF(AND(COUNTIF(B:B,B72)=1,D72&gt;14),"Y","N"))</f>
        <v>#N/A</v>
      </c>
      <c r="O72" s="55" t="str">
        <f>IF(COUNT(June[[#This Row],[Date]])&gt;0,IF(June[[#This Row],[Date]]&gt;14,"Yes","No"),"N/A")</f>
        <v>N/A</v>
      </c>
      <c r="P72" s="55"/>
      <c r="Q72" s="5">
        <f>Relay!A71</f>
        <v>0</v>
      </c>
      <c r="R72" s="5">
        <f>Relay!B71</f>
        <v>70</v>
      </c>
      <c r="S72" s="8">
        <f>SUMIF(June[SysID],R72,June[Pay Amount])+IF(May[After the 14th?]="Yes",SUMIF(May[SysID],R72,May[Pay Amount]),0)</f>
        <v>0</v>
      </c>
      <c r="T72" s="8"/>
      <c r="U72" s="5" t="str">
        <f t="shared" si="5"/>
        <v>N</v>
      </c>
      <c r="X72" s="56"/>
      <c r="Y72" s="56"/>
      <c r="Z72" s="56"/>
      <c r="AA72" s="56"/>
      <c r="AC72" s="56"/>
    </row>
    <row r="73" spans="1:29" x14ac:dyDescent="0.25">
      <c r="A73" s="35"/>
      <c r="B73" s="32" t="e">
        <f>VLOOKUP(A73,Relay!$A$1:$B$50,2,FALSE)</f>
        <v>#N/A</v>
      </c>
      <c r="C73" s="32" t="e">
        <f>VLOOKUP(A73,Relay!$A$2:$C$101,3,FALSE)</f>
        <v>#N/A</v>
      </c>
      <c r="D73" s="39"/>
      <c r="E73" s="35"/>
      <c r="F73" s="58" t="str">
        <f t="shared" si="3"/>
        <v>INS</v>
      </c>
      <c r="G73" s="32" t="e">
        <f>IF(OR(E73="Jeopardy",E73="APP Moonlighting",E73="Differential Pay"),"",June[[#This Row],[SysID]])</f>
        <v>#N/A</v>
      </c>
      <c r="H73" s="32" t="e">
        <f>IF(E73="Jeopardy",IF(C73="MD",Relay!$E$7,Relay!$E$8),IF(C73="MD",IF(COUNTIF(G:G,B73)&gt;1,Relay!$E$2,Relay!$E$1),IF(AND(COUNTIF(G:G,B73)&gt;1,COUNTA(A73)&gt;0),Relay!$E$5,Relay!$E$4)))</f>
        <v>#N/A</v>
      </c>
      <c r="I73" s="8">
        <f t="shared" si="4"/>
        <v>0</v>
      </c>
      <c r="J73" s="35"/>
      <c r="K73" s="35"/>
      <c r="L73" s="35"/>
      <c r="M73" s="35"/>
      <c r="N73" s="32" t="e">
        <f>IF(H73=June!$E$2,"N",IF(AND(COUNTIF(B:B,B73)=1,D73&gt;14),"Y","N"))</f>
        <v>#N/A</v>
      </c>
      <c r="O73" s="55" t="str">
        <f>IF(COUNT(June[[#This Row],[Date]])&gt;0,IF(June[[#This Row],[Date]]&gt;14,"Yes","No"),"N/A")</f>
        <v>N/A</v>
      </c>
      <c r="P73" s="55"/>
      <c r="Q73" s="5">
        <f>Relay!A72</f>
        <v>0</v>
      </c>
      <c r="R73" s="5">
        <f>Relay!B72</f>
        <v>71</v>
      </c>
      <c r="S73" s="8">
        <f>SUMIF(June[SysID],R73,June[Pay Amount])+IF(May[After the 14th?]="Yes",SUMIF(May[SysID],R73,May[Pay Amount]),0)</f>
        <v>0</v>
      </c>
      <c r="T73" s="8"/>
      <c r="U73" s="5" t="str">
        <f t="shared" si="5"/>
        <v>N</v>
      </c>
      <c r="X73" s="56"/>
      <c r="Y73" s="56"/>
      <c r="Z73" s="56"/>
      <c r="AA73" s="56"/>
      <c r="AC73" s="56"/>
    </row>
    <row r="74" spans="1:29" x14ac:dyDescent="0.25">
      <c r="A74" s="35"/>
      <c r="B74" s="32" t="e">
        <f>VLOOKUP(A74,Relay!$A$1:$B$50,2,FALSE)</f>
        <v>#N/A</v>
      </c>
      <c r="C74" s="32" t="e">
        <f>VLOOKUP(A74,Relay!$A$2:$C$101,3,FALSE)</f>
        <v>#N/A</v>
      </c>
      <c r="D74" s="39"/>
      <c r="E74" s="35"/>
      <c r="F74" s="58" t="str">
        <f t="shared" si="3"/>
        <v>INS</v>
      </c>
      <c r="G74" s="32" t="e">
        <f>IF(OR(E74="Jeopardy",E74="APP Moonlighting",E74="Differential Pay"),"",June[[#This Row],[SysID]])</f>
        <v>#N/A</v>
      </c>
      <c r="H74" s="32" t="e">
        <f>IF(E74="Jeopardy",IF(C74="MD",Relay!$E$7,Relay!$E$8),IF(C74="MD",IF(COUNTIF(G:G,B74)&gt;1,Relay!$E$2,Relay!$E$1),IF(AND(COUNTIF(G:G,B74)&gt;1,COUNTA(A74)&gt;0),Relay!$E$5,Relay!$E$4)))</f>
        <v>#N/A</v>
      </c>
      <c r="I74" s="8">
        <f t="shared" si="4"/>
        <v>0</v>
      </c>
      <c r="J74" s="35"/>
      <c r="K74" s="35"/>
      <c r="L74" s="35"/>
      <c r="M74" s="35"/>
      <c r="N74" s="32" t="e">
        <f>IF(H74=June!$E$2,"N",IF(AND(COUNTIF(B:B,B74)=1,D74&gt;14),"Y","N"))</f>
        <v>#N/A</v>
      </c>
      <c r="O74" s="55" t="str">
        <f>IF(COUNT(June[[#This Row],[Date]])&gt;0,IF(June[[#This Row],[Date]]&gt;14,"Yes","No"),"N/A")</f>
        <v>N/A</v>
      </c>
      <c r="P74" s="55"/>
      <c r="Q74" s="5">
        <f>Relay!A73</f>
        <v>0</v>
      </c>
      <c r="R74" s="5">
        <f>Relay!B73</f>
        <v>72</v>
      </c>
      <c r="S74" s="8">
        <f>SUMIF(June[SysID],R74,June[Pay Amount])+IF(May[After the 14th?]="Yes",SUMIF(May[SysID],R74,May[Pay Amount]),0)</f>
        <v>0</v>
      </c>
      <c r="T74" s="8"/>
      <c r="U74" s="5" t="str">
        <f t="shared" si="5"/>
        <v>N</v>
      </c>
      <c r="X74" s="56"/>
      <c r="Y74" s="56"/>
      <c r="Z74" s="56"/>
      <c r="AA74" s="56"/>
      <c r="AC74" s="56"/>
    </row>
    <row r="75" spans="1:29" x14ac:dyDescent="0.25">
      <c r="A75" s="35"/>
      <c r="B75" s="32" t="e">
        <f>VLOOKUP(A75,Relay!$A$1:$B$50,2,FALSE)</f>
        <v>#N/A</v>
      </c>
      <c r="C75" s="32" t="e">
        <f>VLOOKUP(A75,Relay!$A$2:$C$101,3,FALSE)</f>
        <v>#N/A</v>
      </c>
      <c r="D75" s="39"/>
      <c r="E75" s="35"/>
      <c r="F75" s="58" t="str">
        <f t="shared" si="3"/>
        <v>INS</v>
      </c>
      <c r="G75" s="32" t="e">
        <f>IF(OR(E75="Jeopardy",E75="APP Moonlighting",E75="Differential Pay"),"",June[[#This Row],[SysID]])</f>
        <v>#N/A</v>
      </c>
      <c r="H75" s="32" t="e">
        <f>IF(E75="Jeopardy",IF(C75="MD",Relay!$E$7,Relay!$E$8),IF(C75="MD",IF(COUNTIF(G:G,B75)&gt;1,Relay!$E$2,Relay!$E$1),IF(AND(COUNTIF(G:G,B75)&gt;1,COUNTA(A75)&gt;0),Relay!$E$5,Relay!$E$4)))</f>
        <v>#N/A</v>
      </c>
      <c r="I75" s="8">
        <f t="shared" si="4"/>
        <v>0</v>
      </c>
      <c r="J75" s="35"/>
      <c r="K75" s="35"/>
      <c r="L75" s="35"/>
      <c r="M75" s="35"/>
      <c r="N75" s="32" t="e">
        <f>IF(H75=June!$E$2,"N",IF(AND(COUNTIF(B:B,B75)=1,D75&gt;14),"Y","N"))</f>
        <v>#N/A</v>
      </c>
      <c r="O75" s="55" t="str">
        <f>IF(COUNT(June[[#This Row],[Date]])&gt;0,IF(June[[#This Row],[Date]]&gt;14,"Yes","No"),"N/A")</f>
        <v>N/A</v>
      </c>
      <c r="P75" s="55"/>
      <c r="Q75" s="5">
        <f>Relay!A74</f>
        <v>0</v>
      </c>
      <c r="R75" s="5">
        <f>Relay!B74</f>
        <v>73</v>
      </c>
      <c r="S75" s="8">
        <f>SUMIF(June[SysID],R75,June[Pay Amount])+IF(May[After the 14th?]="Yes",SUMIF(May[SysID],R75,May[Pay Amount]),0)</f>
        <v>0</v>
      </c>
      <c r="T75" s="8"/>
      <c r="U75" s="5" t="str">
        <f t="shared" si="5"/>
        <v>N</v>
      </c>
      <c r="X75" s="56"/>
      <c r="Y75" s="56"/>
      <c r="Z75" s="56"/>
      <c r="AA75" s="56"/>
      <c r="AC75" s="56"/>
    </row>
    <row r="76" spans="1:29" x14ac:dyDescent="0.25">
      <c r="A76" s="35"/>
      <c r="B76" s="32" t="e">
        <f>VLOOKUP(A76,Relay!$A$1:$B$50,2,FALSE)</f>
        <v>#N/A</v>
      </c>
      <c r="C76" s="32" t="e">
        <f>VLOOKUP(A76,Relay!$A$2:$C$101,3,FALSE)</f>
        <v>#N/A</v>
      </c>
      <c r="D76" s="39"/>
      <c r="E76" s="35"/>
      <c r="F76" s="58" t="str">
        <f t="shared" si="3"/>
        <v>INS</v>
      </c>
      <c r="G76" s="32" t="e">
        <f>IF(OR(E76="Jeopardy",E76="APP Moonlighting",E76="Differential Pay"),"",June[[#This Row],[SysID]])</f>
        <v>#N/A</v>
      </c>
      <c r="H76" s="32" t="e">
        <f>IF(E76="Jeopardy",IF(C76="MD",Relay!$E$7,Relay!$E$8),IF(C76="MD",IF(COUNTIF(G:G,B76)&gt;1,Relay!$E$2,Relay!$E$1),IF(AND(COUNTIF(G:G,B76)&gt;1,COUNTA(A76)&gt;0),Relay!$E$5,Relay!$E$4)))</f>
        <v>#N/A</v>
      </c>
      <c r="I76" s="8">
        <f t="shared" si="4"/>
        <v>0</v>
      </c>
      <c r="J76" s="35"/>
      <c r="K76" s="35"/>
      <c r="L76" s="35"/>
      <c r="M76" s="35"/>
      <c r="N76" s="32" t="e">
        <f>IF(H76=June!$E$2,"N",IF(AND(COUNTIF(B:B,B76)=1,D76&gt;14),"Y","N"))</f>
        <v>#N/A</v>
      </c>
      <c r="O76" s="55" t="str">
        <f>IF(COUNT(June[[#This Row],[Date]])&gt;0,IF(June[[#This Row],[Date]]&gt;14,"Yes","No"),"N/A")</f>
        <v>N/A</v>
      </c>
      <c r="P76" s="55"/>
      <c r="Q76" s="5">
        <f>Relay!A75</f>
        <v>0</v>
      </c>
      <c r="R76" s="5">
        <f>Relay!B75</f>
        <v>74</v>
      </c>
      <c r="S76" s="8">
        <f>SUMIF(June[SysID],R76,June[Pay Amount])+IF(May[After the 14th?]="Yes",SUMIF(May[SysID],R76,May[Pay Amount]),0)</f>
        <v>0</v>
      </c>
      <c r="T76" s="8"/>
      <c r="U76" s="5" t="str">
        <f t="shared" si="5"/>
        <v>N</v>
      </c>
      <c r="X76" s="56"/>
      <c r="Y76" s="56"/>
      <c r="Z76" s="56"/>
      <c r="AA76" s="56"/>
      <c r="AC76" s="56"/>
    </row>
    <row r="77" spans="1:29" x14ac:dyDescent="0.25">
      <c r="A77" s="35"/>
      <c r="B77" s="32" t="e">
        <f>VLOOKUP(A77,Relay!$A$1:$B$50,2,FALSE)</f>
        <v>#N/A</v>
      </c>
      <c r="C77" s="32" t="e">
        <f>VLOOKUP(A77,Relay!$A$2:$C$101,3,FALSE)</f>
        <v>#N/A</v>
      </c>
      <c r="D77" s="39"/>
      <c r="E77" s="35"/>
      <c r="F77" s="58" t="str">
        <f t="shared" si="3"/>
        <v>INS</v>
      </c>
      <c r="G77" s="32" t="e">
        <f>IF(OR(E77="Jeopardy",E77="APP Moonlighting",E77="Differential Pay"),"",June[[#This Row],[SysID]])</f>
        <v>#N/A</v>
      </c>
      <c r="H77" s="32" t="e">
        <f>IF(E77="Jeopardy",IF(C77="MD",Relay!$E$7,Relay!$E$8),IF(C77="MD",IF(COUNTIF(G:G,B77)&gt;1,Relay!$E$2,Relay!$E$1),IF(AND(COUNTIF(G:G,B77)&gt;1,COUNTA(A77)&gt;0),Relay!$E$5,Relay!$E$4)))</f>
        <v>#N/A</v>
      </c>
      <c r="I77" s="8">
        <f t="shared" si="4"/>
        <v>0</v>
      </c>
      <c r="J77" s="35"/>
      <c r="K77" s="35"/>
      <c r="L77" s="35"/>
      <c r="M77" s="35"/>
      <c r="N77" s="32" t="e">
        <f>IF(H77=June!$E$2,"N",IF(AND(COUNTIF(B:B,B77)=1,D77&gt;14),"Y","N"))</f>
        <v>#N/A</v>
      </c>
      <c r="O77" s="55" t="str">
        <f>IF(COUNT(June[[#This Row],[Date]])&gt;0,IF(June[[#This Row],[Date]]&gt;14,"Yes","No"),"N/A")</f>
        <v>N/A</v>
      </c>
      <c r="P77" s="55"/>
      <c r="Q77" s="5">
        <f>Relay!A76</f>
        <v>0</v>
      </c>
      <c r="R77" s="5">
        <f>Relay!B76</f>
        <v>75</v>
      </c>
      <c r="S77" s="8">
        <f>SUMIF(June[SysID],R77,June[Pay Amount])+IF(May[After the 14th?]="Yes",SUMIF(May[SysID],R77,May[Pay Amount]),0)</f>
        <v>0</v>
      </c>
      <c r="T77" s="8"/>
      <c r="U77" s="5" t="str">
        <f t="shared" si="5"/>
        <v>N</v>
      </c>
      <c r="X77" s="56"/>
      <c r="Y77" s="56"/>
      <c r="Z77" s="56"/>
      <c r="AA77" s="56"/>
      <c r="AC77" s="56"/>
    </row>
    <row r="78" spans="1:29" x14ac:dyDescent="0.25">
      <c r="A78" s="35"/>
      <c r="B78" s="32" t="e">
        <f>VLOOKUP(A78,Relay!$A$1:$B$50,2,FALSE)</f>
        <v>#N/A</v>
      </c>
      <c r="C78" s="32" t="e">
        <f>VLOOKUP(A78,Relay!$A$2:$C$101,3,FALSE)</f>
        <v>#N/A</v>
      </c>
      <c r="D78" s="39"/>
      <c r="E78" s="35"/>
      <c r="F78" s="58" t="str">
        <f t="shared" si="3"/>
        <v>INS</v>
      </c>
      <c r="G78" s="32" t="e">
        <f>IF(OR(E78="Jeopardy",E78="APP Moonlighting",E78="Differential Pay"),"",June[[#This Row],[SysID]])</f>
        <v>#N/A</v>
      </c>
      <c r="H78" s="32" t="e">
        <f>IF(E78="Jeopardy",IF(C78="MD",Relay!$E$7,Relay!$E$8),IF(C78="MD",IF(COUNTIF(G:G,B78)&gt;1,Relay!$E$2,Relay!$E$1),IF(AND(COUNTIF(G:G,B78)&gt;1,COUNTA(A78)&gt;0),Relay!$E$5,Relay!$E$4)))</f>
        <v>#N/A</v>
      </c>
      <c r="I78" s="8">
        <f t="shared" si="4"/>
        <v>0</v>
      </c>
      <c r="J78" s="35"/>
      <c r="K78" s="35"/>
      <c r="L78" s="35"/>
      <c r="M78" s="35"/>
      <c r="N78" s="32" t="e">
        <f>IF(H78=June!$E$2,"N",IF(AND(COUNTIF(B:B,B78)=1,D78&gt;14),"Y","N"))</f>
        <v>#N/A</v>
      </c>
      <c r="O78" s="55" t="str">
        <f>IF(COUNT(June[[#This Row],[Date]])&gt;0,IF(June[[#This Row],[Date]]&gt;14,"Yes","No"),"N/A")</f>
        <v>N/A</v>
      </c>
      <c r="P78" s="55"/>
      <c r="Q78" s="5">
        <f>Relay!A77</f>
        <v>0</v>
      </c>
      <c r="R78" s="5">
        <f>Relay!B77</f>
        <v>76</v>
      </c>
      <c r="S78" s="8">
        <f>SUMIF(June[SysID],R78,June[Pay Amount])+IF(May[After the 14th?]="Yes",SUMIF(May[SysID],R78,May[Pay Amount]),0)</f>
        <v>0</v>
      </c>
      <c r="T78" s="8"/>
      <c r="U78" s="5" t="str">
        <f t="shared" si="5"/>
        <v>N</v>
      </c>
      <c r="X78" s="56"/>
      <c r="Y78" s="56"/>
      <c r="Z78" s="56"/>
      <c r="AA78" s="56"/>
      <c r="AC78" s="56"/>
    </row>
    <row r="79" spans="1:29" x14ac:dyDescent="0.25">
      <c r="A79" s="35"/>
      <c r="B79" s="32" t="e">
        <f>VLOOKUP(A79,Relay!$A$1:$B$50,2,FALSE)</f>
        <v>#N/A</v>
      </c>
      <c r="C79" s="32" t="e">
        <f>VLOOKUP(A79,Relay!$A$2:$C$101,3,FALSE)</f>
        <v>#N/A</v>
      </c>
      <c r="D79" s="39"/>
      <c r="E79" s="35"/>
      <c r="F79" s="58" t="str">
        <f t="shared" si="3"/>
        <v>INS</v>
      </c>
      <c r="G79" s="32" t="e">
        <f>IF(OR(E79="Jeopardy",E79="APP Moonlighting",E79="Differential Pay"),"",June[[#This Row],[SysID]])</f>
        <v>#N/A</v>
      </c>
      <c r="H79" s="32" t="e">
        <f>IF(E79="Jeopardy",IF(C79="MD",Relay!$E$7,Relay!$E$8),IF(C79="MD",IF(COUNTIF(G:G,B79)&gt;1,Relay!$E$2,Relay!$E$1),IF(AND(COUNTIF(G:G,B79)&gt;1,COUNTA(A79)&gt;0),Relay!$E$5,Relay!$E$4)))</f>
        <v>#N/A</v>
      </c>
      <c r="I79" s="8">
        <f t="shared" si="4"/>
        <v>0</v>
      </c>
      <c r="J79" s="35"/>
      <c r="K79" s="35"/>
      <c r="L79" s="35"/>
      <c r="M79" s="35"/>
      <c r="N79" s="32" t="e">
        <f>IF(H79=June!$E$2,"N",IF(AND(COUNTIF(B:B,B79)=1,D79&gt;14),"Y","N"))</f>
        <v>#N/A</v>
      </c>
      <c r="O79" s="55" t="str">
        <f>IF(COUNT(June[[#This Row],[Date]])&gt;0,IF(June[[#This Row],[Date]]&gt;14,"Yes","No"),"N/A")</f>
        <v>N/A</v>
      </c>
      <c r="P79" s="55"/>
      <c r="Q79" s="5">
        <f>Relay!A78</f>
        <v>0</v>
      </c>
      <c r="R79" s="5">
        <f>Relay!B78</f>
        <v>77</v>
      </c>
      <c r="S79" s="8">
        <f>SUMIF(June[SysID],R79,June[Pay Amount])+IF(May[After the 14th?]="Yes",SUMIF(May[SysID],R79,May[Pay Amount]),0)</f>
        <v>0</v>
      </c>
      <c r="T79" s="8"/>
      <c r="U79" s="5" t="str">
        <f t="shared" si="5"/>
        <v>N</v>
      </c>
      <c r="X79" s="56"/>
      <c r="Y79" s="56"/>
      <c r="Z79" s="56"/>
      <c r="AA79" s="56"/>
      <c r="AC79" s="56"/>
    </row>
    <row r="80" spans="1:29" x14ac:dyDescent="0.25">
      <c r="A80" s="35"/>
      <c r="B80" s="32" t="e">
        <f>VLOOKUP(A80,Relay!$A$1:$B$50,2,FALSE)</f>
        <v>#N/A</v>
      </c>
      <c r="C80" s="32" t="e">
        <f>VLOOKUP(A80,Relay!$A$2:$C$101,3,FALSE)</f>
        <v>#N/A</v>
      </c>
      <c r="D80" s="39"/>
      <c r="E80" s="35"/>
      <c r="F80" s="58" t="str">
        <f t="shared" si="3"/>
        <v>INS</v>
      </c>
      <c r="G80" s="32" t="e">
        <f>IF(OR(E80="Jeopardy",E80="APP Moonlighting",E80="Differential Pay"),"",June[[#This Row],[SysID]])</f>
        <v>#N/A</v>
      </c>
      <c r="H80" s="32" t="e">
        <f>IF(E80="Jeopardy",IF(C80="MD",Relay!$E$7,Relay!$E$8),IF(C80="MD",IF(COUNTIF(G:G,B80)&gt;1,Relay!$E$2,Relay!$E$1),IF(AND(COUNTIF(G:G,B80)&gt;1,COUNTA(A80)&gt;0),Relay!$E$5,Relay!$E$4)))</f>
        <v>#N/A</v>
      </c>
      <c r="I80" s="8">
        <f t="shared" si="4"/>
        <v>0</v>
      </c>
      <c r="J80" s="35"/>
      <c r="K80" s="35"/>
      <c r="L80" s="35"/>
      <c r="M80" s="35"/>
      <c r="N80" s="32" t="e">
        <f>IF(H80=June!$E$2,"N",IF(AND(COUNTIF(B:B,B80)=1,D80&gt;14),"Y","N"))</f>
        <v>#N/A</v>
      </c>
      <c r="O80" s="55" t="str">
        <f>IF(COUNT(June[[#This Row],[Date]])&gt;0,IF(June[[#This Row],[Date]]&gt;14,"Yes","No"),"N/A")</f>
        <v>N/A</v>
      </c>
      <c r="P80" s="55"/>
      <c r="Q80" s="5">
        <f>Relay!A79</f>
        <v>0</v>
      </c>
      <c r="R80" s="5">
        <f>Relay!B79</f>
        <v>78</v>
      </c>
      <c r="S80" s="8">
        <f>SUMIF(June[SysID],R80,June[Pay Amount])+IF(May[After the 14th?]="Yes",SUMIF(May[SysID],R80,May[Pay Amount]),0)</f>
        <v>0</v>
      </c>
      <c r="T80" s="8"/>
      <c r="U80" s="5" t="str">
        <f t="shared" si="5"/>
        <v>N</v>
      </c>
      <c r="X80" s="56"/>
      <c r="Y80" s="56"/>
      <c r="Z80" s="56"/>
      <c r="AA80" s="56"/>
      <c r="AC80" s="56"/>
    </row>
    <row r="81" spans="1:29" x14ac:dyDescent="0.25">
      <c r="A81" s="35"/>
      <c r="B81" s="32" t="e">
        <f>VLOOKUP(A81,Relay!$A$1:$B$50,2,FALSE)</f>
        <v>#N/A</v>
      </c>
      <c r="C81" s="32" t="e">
        <f>VLOOKUP(A81,Relay!$A$2:$C$101,3,FALSE)</f>
        <v>#N/A</v>
      </c>
      <c r="D81" s="39"/>
      <c r="E81" s="35"/>
      <c r="F81" s="58" t="str">
        <f t="shared" si="3"/>
        <v>INS</v>
      </c>
      <c r="G81" s="32" t="e">
        <f>IF(OR(E81="Jeopardy",E81="APP Moonlighting",E81="Differential Pay"),"",June[[#This Row],[SysID]])</f>
        <v>#N/A</v>
      </c>
      <c r="H81" s="32" t="e">
        <f>IF(E81="Jeopardy",IF(C81="MD",Relay!$E$7,Relay!$E$8),IF(C81="MD",IF(COUNTIF(G:G,B81)&gt;1,Relay!$E$2,Relay!$E$1),IF(AND(COUNTIF(G:G,B81)&gt;1,COUNTA(A81)&gt;0),Relay!$E$5,Relay!$E$4)))</f>
        <v>#N/A</v>
      </c>
      <c r="I81" s="8">
        <f t="shared" si="4"/>
        <v>0</v>
      </c>
      <c r="J81" s="35"/>
      <c r="K81" s="35"/>
      <c r="L81" s="35"/>
      <c r="M81" s="35"/>
      <c r="N81" s="32" t="e">
        <f>IF(H81=June!$E$2,"N",IF(AND(COUNTIF(B:B,B81)=1,D81&gt;14),"Y","N"))</f>
        <v>#N/A</v>
      </c>
      <c r="O81" s="55" t="str">
        <f>IF(COUNT(June[[#This Row],[Date]])&gt;0,IF(June[[#This Row],[Date]]&gt;14,"Yes","No"),"N/A")</f>
        <v>N/A</v>
      </c>
      <c r="P81" s="55"/>
      <c r="Q81" s="5">
        <f>Relay!A80</f>
        <v>0</v>
      </c>
      <c r="R81" s="5">
        <f>Relay!B80</f>
        <v>79</v>
      </c>
      <c r="S81" s="8">
        <f>SUMIF(June[SysID],R81,June[Pay Amount])+IF(May[After the 14th?]="Yes",SUMIF(May[SysID],R81,May[Pay Amount]),0)</f>
        <v>0</v>
      </c>
      <c r="T81" s="8"/>
      <c r="U81" s="5" t="str">
        <f t="shared" si="5"/>
        <v>N</v>
      </c>
      <c r="X81" s="56"/>
      <c r="Y81" s="56"/>
      <c r="Z81" s="56"/>
      <c r="AA81" s="56"/>
      <c r="AC81" s="56"/>
    </row>
    <row r="82" spans="1:29" x14ac:dyDescent="0.25">
      <c r="A82" s="35"/>
      <c r="B82" s="32" t="e">
        <f>VLOOKUP(A82,Relay!$A$1:$B$50,2,FALSE)</f>
        <v>#N/A</v>
      </c>
      <c r="C82" s="32" t="e">
        <f>VLOOKUP(A82,Relay!$A$2:$C$101,3,FALSE)</f>
        <v>#N/A</v>
      </c>
      <c r="D82" s="39"/>
      <c r="E82" s="35"/>
      <c r="F82" s="58" t="str">
        <f t="shared" si="3"/>
        <v>INS</v>
      </c>
      <c r="G82" s="32" t="e">
        <f>IF(OR(E82="Jeopardy",E82="APP Moonlighting",E82="Differential Pay"),"",June[[#This Row],[SysID]])</f>
        <v>#N/A</v>
      </c>
      <c r="H82" s="32" t="e">
        <f>IF(E82="Jeopardy",IF(C82="MD",Relay!$E$7,Relay!$E$8),IF(C82="MD",IF(COUNTIF(G:G,B82)&gt;1,Relay!$E$2,Relay!$E$1),IF(AND(COUNTIF(G:G,B82)&gt;1,COUNTA(A82)&gt;0),Relay!$E$5,Relay!$E$4)))</f>
        <v>#N/A</v>
      </c>
      <c r="I82" s="8">
        <f t="shared" si="4"/>
        <v>0</v>
      </c>
      <c r="J82" s="35"/>
      <c r="K82" s="35"/>
      <c r="L82" s="35"/>
      <c r="M82" s="35"/>
      <c r="N82" s="32" t="e">
        <f>IF(H82=June!$E$2,"N",IF(AND(COUNTIF(B:B,B82)=1,D82&gt;14),"Y","N"))</f>
        <v>#N/A</v>
      </c>
      <c r="O82" s="55" t="str">
        <f>IF(COUNT(June[[#This Row],[Date]])&gt;0,IF(June[[#This Row],[Date]]&gt;14,"Yes","No"),"N/A")</f>
        <v>N/A</v>
      </c>
      <c r="P82" s="55"/>
      <c r="Q82" s="5">
        <f>Relay!A81</f>
        <v>0</v>
      </c>
      <c r="R82" s="5">
        <f>Relay!B81</f>
        <v>80</v>
      </c>
      <c r="S82" s="8">
        <f>SUMIF(June[SysID],R82,June[Pay Amount])+IF(May[After the 14th?]="Yes",SUMIF(May[SysID],R82,May[Pay Amount]),0)</f>
        <v>0</v>
      </c>
      <c r="T82" s="8"/>
      <c r="U82" s="5" t="str">
        <f t="shared" si="5"/>
        <v>N</v>
      </c>
      <c r="X82" s="56"/>
      <c r="Y82" s="56"/>
      <c r="Z82" s="56"/>
      <c r="AA82" s="56"/>
      <c r="AC82" s="56"/>
    </row>
    <row r="83" spans="1:29" x14ac:dyDescent="0.25">
      <c r="A83" s="35"/>
      <c r="B83" s="32" t="e">
        <f>VLOOKUP(A83,Relay!$A$1:$B$50,2,FALSE)</f>
        <v>#N/A</v>
      </c>
      <c r="C83" s="32" t="e">
        <f>VLOOKUP(A83,Relay!$A$2:$C$101,3,FALSE)</f>
        <v>#N/A</v>
      </c>
      <c r="D83" s="39"/>
      <c r="E83" s="35"/>
      <c r="F83" s="58" t="str">
        <f t="shared" si="3"/>
        <v>INS</v>
      </c>
      <c r="G83" s="32" t="e">
        <f>IF(OR(E83="Jeopardy",E83="APP Moonlighting",E83="Differential Pay"),"",June[[#This Row],[SysID]])</f>
        <v>#N/A</v>
      </c>
      <c r="H83" s="32" t="e">
        <f>IF(E83="Jeopardy",IF(C83="MD",Relay!$E$7,Relay!$E$8),IF(C83="MD",IF(COUNTIF(G:G,B83)&gt;1,Relay!$E$2,Relay!$E$1),IF(AND(COUNTIF(G:G,B83)&gt;1,COUNTA(A83)&gt;0),Relay!$E$5,Relay!$E$4)))</f>
        <v>#N/A</v>
      </c>
      <c r="I83" s="8">
        <f t="shared" si="4"/>
        <v>0</v>
      </c>
      <c r="J83" s="35"/>
      <c r="K83" s="35"/>
      <c r="L83" s="35"/>
      <c r="M83" s="35"/>
      <c r="N83" s="32" t="e">
        <f>IF(H83=June!$E$2,"N",IF(AND(COUNTIF(B:B,B83)=1,D83&gt;14),"Y","N"))</f>
        <v>#N/A</v>
      </c>
      <c r="O83" s="55" t="str">
        <f>IF(COUNT(June[[#This Row],[Date]])&gt;0,IF(June[[#This Row],[Date]]&gt;14,"Yes","No"),"N/A")</f>
        <v>N/A</v>
      </c>
      <c r="P83" s="55"/>
      <c r="Q83" s="5">
        <f>Relay!A82</f>
        <v>0</v>
      </c>
      <c r="R83" s="5">
        <f>Relay!B82</f>
        <v>81</v>
      </c>
      <c r="S83" s="8">
        <f>SUMIF(June[SysID],R83,June[Pay Amount])+IF(May[After the 14th?]="Yes",SUMIF(May[SysID],R83,May[Pay Amount]),0)</f>
        <v>0</v>
      </c>
      <c r="T83" s="8"/>
      <c r="U83" s="5" t="str">
        <f t="shared" si="5"/>
        <v>N</v>
      </c>
      <c r="X83" s="56"/>
      <c r="Y83" s="56"/>
      <c r="Z83" s="56"/>
      <c r="AA83" s="56"/>
      <c r="AC83" s="56"/>
    </row>
    <row r="84" spans="1:29" x14ac:dyDescent="0.25">
      <c r="A84" s="35"/>
      <c r="B84" s="32" t="e">
        <f>VLOOKUP(A84,Relay!$A$1:$B$50,2,FALSE)</f>
        <v>#N/A</v>
      </c>
      <c r="C84" s="32" t="e">
        <f>VLOOKUP(A84,Relay!$A$2:$C$101,3,FALSE)</f>
        <v>#N/A</v>
      </c>
      <c r="D84" s="39"/>
      <c r="E84" s="35"/>
      <c r="F84" s="58" t="str">
        <f t="shared" si="3"/>
        <v>INS</v>
      </c>
      <c r="G84" s="32" t="e">
        <f>IF(OR(E84="Jeopardy",E84="APP Moonlighting",E84="Differential Pay"),"",June[[#This Row],[SysID]])</f>
        <v>#N/A</v>
      </c>
      <c r="H84" s="32" t="e">
        <f>IF(E84="Jeopardy",IF(C84="MD",Relay!$E$7,Relay!$E$8),IF(C84="MD",IF(COUNTIF(G:G,B84)&gt;1,Relay!$E$2,Relay!$E$1),IF(AND(COUNTIF(G:G,B84)&gt;1,COUNTA(A84)&gt;0),Relay!$E$5,Relay!$E$4)))</f>
        <v>#N/A</v>
      </c>
      <c r="I84" s="8">
        <f t="shared" si="4"/>
        <v>0</v>
      </c>
      <c r="J84" s="35"/>
      <c r="K84" s="35"/>
      <c r="L84" s="35"/>
      <c r="M84" s="35"/>
      <c r="N84" s="32" t="e">
        <f>IF(H84=June!$E$2,"N",IF(AND(COUNTIF(B:B,B84)=1,D84&gt;14),"Y","N"))</f>
        <v>#N/A</v>
      </c>
      <c r="O84" s="55" t="str">
        <f>IF(COUNT(June[[#This Row],[Date]])&gt;0,IF(June[[#This Row],[Date]]&gt;14,"Yes","No"),"N/A")</f>
        <v>N/A</v>
      </c>
      <c r="P84" s="55"/>
      <c r="Q84" s="5">
        <f>Relay!A83</f>
        <v>0</v>
      </c>
      <c r="R84" s="5">
        <f>Relay!B83</f>
        <v>82</v>
      </c>
      <c r="S84" s="8">
        <f>SUMIF(June[SysID],R84,June[Pay Amount])+IF(May[After the 14th?]="Yes",SUMIF(May[SysID],R84,May[Pay Amount]),0)</f>
        <v>0</v>
      </c>
      <c r="T84" s="8"/>
      <c r="U84" s="5" t="str">
        <f t="shared" si="5"/>
        <v>N</v>
      </c>
      <c r="X84" s="56"/>
      <c r="Y84" s="56"/>
      <c r="Z84" s="56"/>
      <c r="AA84" s="56"/>
      <c r="AC84" s="56"/>
    </row>
    <row r="85" spans="1:29" x14ac:dyDescent="0.25">
      <c r="A85" s="35"/>
      <c r="B85" s="32" t="e">
        <f>VLOOKUP(A85,Relay!$A$1:$B$50,2,FALSE)</f>
        <v>#N/A</v>
      </c>
      <c r="C85" s="32" t="e">
        <f>VLOOKUP(A85,Relay!$A$2:$C$101,3,FALSE)</f>
        <v>#N/A</v>
      </c>
      <c r="D85" s="39"/>
      <c r="E85" s="35"/>
      <c r="F85" s="58" t="str">
        <f t="shared" si="3"/>
        <v>INS</v>
      </c>
      <c r="G85" s="32" t="e">
        <f>IF(OR(E85="Jeopardy",E85="APP Moonlighting",E85="Differential Pay"),"",June[[#This Row],[SysID]])</f>
        <v>#N/A</v>
      </c>
      <c r="H85" s="32" t="e">
        <f>IF(E85="Jeopardy",IF(C85="MD",Relay!$E$7,Relay!$E$8),IF(C85="MD",IF(COUNTIF(G:G,B85)&gt;1,Relay!$E$2,Relay!$E$1),IF(AND(COUNTIF(G:G,B85)&gt;1,COUNTA(A85)&gt;0),Relay!$E$5,Relay!$E$4)))</f>
        <v>#N/A</v>
      </c>
      <c r="I85" s="8">
        <f t="shared" si="4"/>
        <v>0</v>
      </c>
      <c r="J85" s="35"/>
      <c r="K85" s="35"/>
      <c r="L85" s="35"/>
      <c r="M85" s="35"/>
      <c r="N85" s="32" t="e">
        <f>IF(H85=June!$E$2,"N",IF(AND(COUNTIF(B:B,B85)=1,D85&gt;14),"Y","N"))</f>
        <v>#N/A</v>
      </c>
      <c r="O85" s="55" t="str">
        <f>IF(COUNT(June[[#This Row],[Date]])&gt;0,IF(June[[#This Row],[Date]]&gt;14,"Yes","No"),"N/A")</f>
        <v>N/A</v>
      </c>
      <c r="P85" s="55"/>
      <c r="Q85" s="5">
        <f>Relay!A84</f>
        <v>0</v>
      </c>
      <c r="R85" s="5">
        <f>Relay!B84</f>
        <v>83</v>
      </c>
      <c r="S85" s="8">
        <f>SUMIF(June[SysID],R85,June[Pay Amount])+IF(May[After the 14th?]="Yes",SUMIF(May[SysID],R85,May[Pay Amount]),0)</f>
        <v>0</v>
      </c>
      <c r="T85" s="8"/>
      <c r="U85" s="5" t="str">
        <f t="shared" si="5"/>
        <v>N</v>
      </c>
      <c r="X85" s="56"/>
      <c r="Y85" s="56"/>
      <c r="Z85" s="56"/>
      <c r="AA85" s="56"/>
      <c r="AC85" s="56"/>
    </row>
    <row r="86" spans="1:29" x14ac:dyDescent="0.25">
      <c r="A86" s="35"/>
      <c r="B86" s="32" t="e">
        <f>VLOOKUP(A86,Relay!$A$1:$B$50,2,FALSE)</f>
        <v>#N/A</v>
      </c>
      <c r="C86" s="32" t="e">
        <f>VLOOKUP(A86,Relay!$A$2:$C$101,3,FALSE)</f>
        <v>#N/A</v>
      </c>
      <c r="D86" s="39"/>
      <c r="E86" s="35"/>
      <c r="F86" s="58" t="str">
        <f t="shared" si="3"/>
        <v>INS</v>
      </c>
      <c r="G86" s="32" t="e">
        <f>IF(OR(E86="Jeopardy",E86="APP Moonlighting",E86="Differential Pay"),"",June[[#This Row],[SysID]])</f>
        <v>#N/A</v>
      </c>
      <c r="H86" s="32" t="e">
        <f>IF(E86="Jeopardy",IF(C86="MD",Relay!$E$7,Relay!$E$8),IF(C86="MD",IF(COUNTIF(G:G,B86)&gt;1,Relay!$E$2,Relay!$E$1),IF(AND(COUNTIF(G:G,B86)&gt;1,COUNTA(A86)&gt;0),Relay!$E$5,Relay!$E$4)))</f>
        <v>#N/A</v>
      </c>
      <c r="I86" s="8">
        <f t="shared" si="4"/>
        <v>0</v>
      </c>
      <c r="J86" s="35"/>
      <c r="K86" s="35"/>
      <c r="L86" s="35"/>
      <c r="M86" s="35"/>
      <c r="N86" s="32" t="e">
        <f>IF(H86=June!$E$2,"N",IF(AND(COUNTIF(B:B,B86)=1,D86&gt;14),"Y","N"))</f>
        <v>#N/A</v>
      </c>
      <c r="O86" s="55" t="str">
        <f>IF(COUNT(June[[#This Row],[Date]])&gt;0,IF(June[[#This Row],[Date]]&gt;14,"Yes","No"),"N/A")</f>
        <v>N/A</v>
      </c>
      <c r="P86" s="55"/>
      <c r="Q86" s="5">
        <f>Relay!A85</f>
        <v>0</v>
      </c>
      <c r="R86" s="5">
        <f>Relay!B85</f>
        <v>84</v>
      </c>
      <c r="S86" s="8">
        <f>SUMIF(June[SysID],R86,June[Pay Amount])+IF(May[After the 14th?]="Yes",SUMIF(May[SysID],R86,May[Pay Amount]),0)</f>
        <v>0</v>
      </c>
      <c r="T86" s="8"/>
      <c r="U86" s="5" t="str">
        <f t="shared" si="5"/>
        <v>N</v>
      </c>
      <c r="X86" s="56"/>
      <c r="Y86" s="56"/>
      <c r="Z86" s="56"/>
      <c r="AA86" s="56"/>
      <c r="AC86" s="56"/>
    </row>
    <row r="87" spans="1:29" x14ac:dyDescent="0.25">
      <c r="A87" s="35"/>
      <c r="B87" s="32" t="e">
        <f>VLOOKUP(A87,Relay!$A$1:$B$50,2,FALSE)</f>
        <v>#N/A</v>
      </c>
      <c r="C87" s="32" t="e">
        <f>VLOOKUP(A87,Relay!$A$2:$C$101,3,FALSE)</f>
        <v>#N/A</v>
      </c>
      <c r="D87" s="39"/>
      <c r="E87" s="35"/>
      <c r="F87" s="58" t="str">
        <f t="shared" si="3"/>
        <v>INS</v>
      </c>
      <c r="G87" s="32" t="e">
        <f>IF(OR(E87="Jeopardy",E87="APP Moonlighting",E87="Differential Pay"),"",June[[#This Row],[SysID]])</f>
        <v>#N/A</v>
      </c>
      <c r="H87" s="32" t="e">
        <f>IF(E87="Jeopardy",IF(C87="MD",Relay!$E$7,Relay!$E$8),IF(C87="MD",IF(COUNTIF(G:G,B87)&gt;1,Relay!$E$2,Relay!$E$1),IF(AND(COUNTIF(G:G,B87)&gt;1,COUNTA(A87)&gt;0),Relay!$E$5,Relay!$E$4)))</f>
        <v>#N/A</v>
      </c>
      <c r="I87" s="8">
        <f t="shared" si="4"/>
        <v>0</v>
      </c>
      <c r="J87" s="35"/>
      <c r="K87" s="35"/>
      <c r="L87" s="35"/>
      <c r="M87" s="35"/>
      <c r="N87" s="32" t="e">
        <f>IF(H87=June!$E$2,"N",IF(AND(COUNTIF(B:B,B87)=1,D87&gt;14),"Y","N"))</f>
        <v>#N/A</v>
      </c>
      <c r="O87" s="55" t="str">
        <f>IF(COUNT(June[[#This Row],[Date]])&gt;0,IF(June[[#This Row],[Date]]&gt;14,"Yes","No"),"N/A")</f>
        <v>N/A</v>
      </c>
      <c r="P87" s="55"/>
      <c r="Q87" s="5">
        <f>Relay!A86</f>
        <v>0</v>
      </c>
      <c r="R87" s="5">
        <f>Relay!B86</f>
        <v>85</v>
      </c>
      <c r="S87" s="8">
        <f>SUMIF(June[SysID],R87,June[Pay Amount])+IF(May[After the 14th?]="Yes",SUMIF(May[SysID],R87,May[Pay Amount]),0)</f>
        <v>0</v>
      </c>
      <c r="T87" s="8"/>
      <c r="U87" s="5" t="str">
        <f t="shared" si="5"/>
        <v>N</v>
      </c>
      <c r="X87" s="56"/>
      <c r="Y87" s="56"/>
      <c r="Z87" s="56"/>
      <c r="AA87" s="56"/>
      <c r="AC87" s="56"/>
    </row>
    <row r="88" spans="1:29" x14ac:dyDescent="0.25">
      <c r="A88" s="35"/>
      <c r="B88" s="32" t="e">
        <f>VLOOKUP(A88,Relay!$A$1:$B$50,2,FALSE)</f>
        <v>#N/A</v>
      </c>
      <c r="C88" s="32" t="e">
        <f>VLOOKUP(A88,Relay!$A$2:$C$101,3,FALSE)</f>
        <v>#N/A</v>
      </c>
      <c r="D88" s="39"/>
      <c r="E88" s="35"/>
      <c r="F88" s="58" t="str">
        <f t="shared" si="3"/>
        <v>INS</v>
      </c>
      <c r="G88" s="32" t="e">
        <f>IF(OR(E88="Jeopardy",E88="APP Moonlighting",E88="Differential Pay"),"",June[[#This Row],[SysID]])</f>
        <v>#N/A</v>
      </c>
      <c r="H88" s="32" t="e">
        <f>IF(E88="Jeopardy",IF(C88="MD",Relay!$E$7,Relay!$E$8),IF(C88="MD",IF(COUNTIF(G:G,B88)&gt;1,Relay!$E$2,Relay!$E$1),IF(AND(COUNTIF(G:G,B88)&gt;1,COUNTA(A88)&gt;0),Relay!$E$5,Relay!$E$4)))</f>
        <v>#N/A</v>
      </c>
      <c r="I88" s="8">
        <f t="shared" si="4"/>
        <v>0</v>
      </c>
      <c r="J88" s="35"/>
      <c r="K88" s="35"/>
      <c r="L88" s="35"/>
      <c r="M88" s="35"/>
      <c r="N88" s="32" t="e">
        <f>IF(H88=June!$E$2,"N",IF(AND(COUNTIF(B:B,B88)=1,D88&gt;14),"Y","N"))</f>
        <v>#N/A</v>
      </c>
      <c r="O88" s="55" t="str">
        <f>IF(COUNT(June[[#This Row],[Date]])&gt;0,IF(June[[#This Row],[Date]]&gt;14,"Yes","No"),"N/A")</f>
        <v>N/A</v>
      </c>
      <c r="P88" s="55"/>
      <c r="Q88" s="5">
        <f>Relay!A87</f>
        <v>0</v>
      </c>
      <c r="R88" s="5">
        <f>Relay!B87</f>
        <v>86</v>
      </c>
      <c r="S88" s="8">
        <f>SUMIF(June[SysID],R88,June[Pay Amount])+IF(May[After the 14th?]="Yes",SUMIF(May[SysID],R88,May[Pay Amount]),0)</f>
        <v>0</v>
      </c>
      <c r="T88" s="8"/>
      <c r="U88" s="5" t="str">
        <f t="shared" si="5"/>
        <v>N</v>
      </c>
      <c r="X88" s="56"/>
      <c r="Y88" s="56"/>
      <c r="Z88" s="56"/>
      <c r="AA88" s="56"/>
      <c r="AC88" s="56"/>
    </row>
    <row r="89" spans="1:29" x14ac:dyDescent="0.25">
      <c r="A89" s="35"/>
      <c r="B89" s="32" t="e">
        <f>VLOOKUP(A89,Relay!$A$1:$B$50,2,FALSE)</f>
        <v>#N/A</v>
      </c>
      <c r="C89" s="32" t="e">
        <f>VLOOKUP(A89,Relay!$A$2:$C$101,3,FALSE)</f>
        <v>#N/A</v>
      </c>
      <c r="D89" s="39"/>
      <c r="E89" s="35"/>
      <c r="F89" s="58" t="str">
        <f t="shared" si="3"/>
        <v>INS</v>
      </c>
      <c r="G89" s="32" t="e">
        <f>IF(OR(E89="Jeopardy",E89="APP Moonlighting",E89="Differential Pay"),"",June[[#This Row],[SysID]])</f>
        <v>#N/A</v>
      </c>
      <c r="H89" s="32" t="e">
        <f>IF(E89="Jeopardy",IF(C89="MD",Relay!$E$7,Relay!$E$8),IF(C89="MD",IF(COUNTIF(G:G,B89)&gt;1,Relay!$E$2,Relay!$E$1),IF(AND(COUNTIF(G:G,B89)&gt;1,COUNTA(A89)&gt;0),Relay!$E$5,Relay!$E$4)))</f>
        <v>#N/A</v>
      </c>
      <c r="I89" s="8">
        <f t="shared" si="4"/>
        <v>0</v>
      </c>
      <c r="J89" s="35"/>
      <c r="K89" s="35"/>
      <c r="L89" s="35"/>
      <c r="M89" s="35"/>
      <c r="N89" s="32" t="e">
        <f>IF(H89=June!$E$2,"N",IF(AND(COUNTIF(B:B,B89)=1,D89&gt;14),"Y","N"))</f>
        <v>#N/A</v>
      </c>
      <c r="O89" s="55" t="str">
        <f>IF(COUNT(June[[#This Row],[Date]])&gt;0,IF(June[[#This Row],[Date]]&gt;14,"Yes","No"),"N/A")</f>
        <v>N/A</v>
      </c>
      <c r="P89" s="55"/>
      <c r="Q89" s="5">
        <f>Relay!A88</f>
        <v>0</v>
      </c>
      <c r="R89" s="5">
        <f>Relay!B88</f>
        <v>87</v>
      </c>
      <c r="S89" s="8">
        <f>SUMIF(June[SysID],R89,June[Pay Amount])+IF(May[After the 14th?]="Yes",SUMIF(May[SysID],R89,May[Pay Amount]),0)</f>
        <v>0</v>
      </c>
      <c r="T89" s="8"/>
      <c r="U89" s="5" t="str">
        <f t="shared" si="5"/>
        <v>N</v>
      </c>
      <c r="X89" s="56"/>
      <c r="Y89" s="56"/>
      <c r="Z89" s="56"/>
      <c r="AA89" s="56"/>
      <c r="AC89" s="56"/>
    </row>
    <row r="90" spans="1:29" x14ac:dyDescent="0.25">
      <c r="A90" s="35"/>
      <c r="B90" s="32" t="e">
        <f>VLOOKUP(A90,Relay!$A$1:$B$50,2,FALSE)</f>
        <v>#N/A</v>
      </c>
      <c r="C90" s="32" t="e">
        <f>VLOOKUP(A90,Relay!$A$2:$C$101,3,FALSE)</f>
        <v>#N/A</v>
      </c>
      <c r="D90" s="39"/>
      <c r="E90" s="35"/>
      <c r="F90" s="58" t="str">
        <f t="shared" si="3"/>
        <v>INS</v>
      </c>
      <c r="G90" s="32" t="e">
        <f>IF(OR(E90="Jeopardy",E90="APP Moonlighting",E90="Differential Pay"),"",June[[#This Row],[SysID]])</f>
        <v>#N/A</v>
      </c>
      <c r="H90" s="32" t="e">
        <f>IF(E90="Jeopardy",IF(C90="MD",Relay!$E$7,Relay!$E$8),IF(C90="MD",IF(COUNTIF(G:G,B90)&gt;1,Relay!$E$2,Relay!$E$1),IF(AND(COUNTIF(G:G,B90)&gt;1,COUNTA(A90)&gt;0),Relay!$E$5,Relay!$E$4)))</f>
        <v>#N/A</v>
      </c>
      <c r="I90" s="8">
        <f t="shared" si="4"/>
        <v>0</v>
      </c>
      <c r="J90" s="35"/>
      <c r="K90" s="35"/>
      <c r="L90" s="35"/>
      <c r="M90" s="35"/>
      <c r="N90" s="32" t="e">
        <f>IF(H90=June!$E$2,"N",IF(AND(COUNTIF(B:B,B90)=1,D90&gt;14),"Y","N"))</f>
        <v>#N/A</v>
      </c>
      <c r="O90" s="55" t="str">
        <f>IF(COUNT(June[[#This Row],[Date]])&gt;0,IF(June[[#This Row],[Date]]&gt;14,"Yes","No"),"N/A")</f>
        <v>N/A</v>
      </c>
      <c r="P90" s="55"/>
      <c r="Q90" s="5">
        <f>Relay!A89</f>
        <v>0</v>
      </c>
      <c r="R90" s="5">
        <f>Relay!B89</f>
        <v>88</v>
      </c>
      <c r="S90" s="8">
        <f>SUMIF(June[SysID],R90,June[Pay Amount])+IF(May[After the 14th?]="Yes",SUMIF(May[SysID],R90,May[Pay Amount]),0)</f>
        <v>0</v>
      </c>
      <c r="T90" s="8"/>
      <c r="U90" s="5" t="str">
        <f t="shared" si="5"/>
        <v>N</v>
      </c>
      <c r="X90" s="56"/>
      <c r="Y90" s="56"/>
      <c r="Z90" s="56"/>
      <c r="AA90" s="56"/>
      <c r="AC90" s="56"/>
    </row>
    <row r="91" spans="1:29" x14ac:dyDescent="0.25">
      <c r="A91" s="35"/>
      <c r="B91" s="32" t="e">
        <f>VLOOKUP(A91,Relay!$A$1:$B$50,2,FALSE)</f>
        <v>#N/A</v>
      </c>
      <c r="C91" s="32" t="e">
        <f>VLOOKUP(A91,Relay!$A$2:$C$101,3,FALSE)</f>
        <v>#N/A</v>
      </c>
      <c r="D91" s="39"/>
      <c r="E91" s="35"/>
      <c r="F91" s="58" t="str">
        <f t="shared" si="3"/>
        <v>INS</v>
      </c>
      <c r="G91" s="32" t="e">
        <f>IF(OR(E91="Jeopardy",E91="APP Moonlighting",E91="Differential Pay"),"",June[[#This Row],[SysID]])</f>
        <v>#N/A</v>
      </c>
      <c r="H91" s="32" t="e">
        <f>IF(E91="Jeopardy",IF(C91="MD",Relay!$E$7,Relay!$E$8),IF(C91="MD",IF(COUNTIF(G:G,B91)&gt;1,Relay!$E$2,Relay!$E$1),IF(AND(COUNTIF(G:G,B91)&gt;1,COUNTA(A91)&gt;0),Relay!$E$5,Relay!$E$4)))</f>
        <v>#N/A</v>
      </c>
      <c r="I91" s="8">
        <f t="shared" si="4"/>
        <v>0</v>
      </c>
      <c r="J91" s="35"/>
      <c r="K91" s="35"/>
      <c r="L91" s="35"/>
      <c r="M91" s="35"/>
      <c r="N91" s="32" t="e">
        <f>IF(H91=June!$E$2,"N",IF(AND(COUNTIF(B:B,B91)=1,D91&gt;14),"Y","N"))</f>
        <v>#N/A</v>
      </c>
      <c r="O91" s="55" t="str">
        <f>IF(COUNT(June[[#This Row],[Date]])&gt;0,IF(June[[#This Row],[Date]]&gt;14,"Yes","No"),"N/A")</f>
        <v>N/A</v>
      </c>
      <c r="P91" s="55"/>
      <c r="Q91" s="5">
        <f>Relay!A90</f>
        <v>0</v>
      </c>
      <c r="R91" s="5">
        <f>Relay!B90</f>
        <v>89</v>
      </c>
      <c r="S91" s="8">
        <f>SUMIF(June[SysID],R91,June[Pay Amount])+IF(May[After the 14th?]="Yes",SUMIF(May[SysID],R91,May[Pay Amount]),0)</f>
        <v>0</v>
      </c>
      <c r="T91" s="8"/>
      <c r="U91" s="5" t="str">
        <f t="shared" si="5"/>
        <v>N</v>
      </c>
      <c r="X91" s="56"/>
      <c r="Y91" s="56"/>
      <c r="Z91" s="56"/>
      <c r="AA91" s="56"/>
      <c r="AC91" s="56"/>
    </row>
    <row r="92" spans="1:29" x14ac:dyDescent="0.25">
      <c r="A92" s="35"/>
      <c r="B92" s="32" t="e">
        <f>VLOOKUP(A92,Relay!$A$1:$B$50,2,FALSE)</f>
        <v>#N/A</v>
      </c>
      <c r="C92" s="32" t="e">
        <f>VLOOKUP(A92,Relay!$A$2:$C$101,3,FALSE)</f>
        <v>#N/A</v>
      </c>
      <c r="D92" s="39"/>
      <c r="E92" s="35"/>
      <c r="F92" s="58" t="str">
        <f t="shared" si="3"/>
        <v>INS</v>
      </c>
      <c r="G92" s="32" t="e">
        <f>IF(OR(E92="Jeopardy",E92="APP Moonlighting",E92="Differential Pay"),"",June[[#This Row],[SysID]])</f>
        <v>#N/A</v>
      </c>
      <c r="H92" s="32" t="e">
        <f>IF(E92="Jeopardy",IF(C92="MD",Relay!$E$7,Relay!$E$8),IF(C92="MD",IF(COUNTIF(G:G,B92)&gt;1,Relay!$E$2,Relay!$E$1),IF(AND(COUNTIF(G:G,B92)&gt;1,COUNTA(A92)&gt;0),Relay!$E$5,Relay!$E$4)))</f>
        <v>#N/A</v>
      </c>
      <c r="I92" s="8">
        <f t="shared" si="4"/>
        <v>0</v>
      </c>
      <c r="J92" s="35"/>
      <c r="K92" s="35"/>
      <c r="L92" s="35"/>
      <c r="M92" s="35"/>
      <c r="N92" s="32" t="e">
        <f>IF(H92=June!$E$2,"N",IF(AND(COUNTIF(B:B,B92)=1,D92&gt;14),"Y","N"))</f>
        <v>#N/A</v>
      </c>
      <c r="O92" s="55" t="str">
        <f>IF(COUNT(June[[#This Row],[Date]])&gt;0,IF(June[[#This Row],[Date]]&gt;14,"Yes","No"),"N/A")</f>
        <v>N/A</v>
      </c>
      <c r="P92" s="55"/>
      <c r="Q92" s="5">
        <f>Relay!A91</f>
        <v>0</v>
      </c>
      <c r="R92" s="5">
        <f>Relay!B91</f>
        <v>90</v>
      </c>
      <c r="S92" s="8">
        <f>SUMIF(June[SysID],R92,June[Pay Amount])+IF(May[After the 14th?]="Yes",SUMIF(May[SysID],R92,May[Pay Amount]),0)</f>
        <v>0</v>
      </c>
      <c r="T92" s="8"/>
      <c r="U92" s="5" t="str">
        <f t="shared" si="5"/>
        <v>N</v>
      </c>
      <c r="X92" s="56"/>
      <c r="Y92" s="56"/>
      <c r="Z92" s="56"/>
      <c r="AA92" s="56"/>
      <c r="AC92" s="56"/>
    </row>
    <row r="93" spans="1:29" x14ac:dyDescent="0.25">
      <c r="A93" s="35"/>
      <c r="B93" s="32" t="e">
        <f>VLOOKUP(A93,Relay!$A$1:$B$50,2,FALSE)</f>
        <v>#N/A</v>
      </c>
      <c r="C93" s="32" t="e">
        <f>VLOOKUP(A93,Relay!$A$2:$C$101,3,FALSE)</f>
        <v>#N/A</v>
      </c>
      <c r="D93" s="39"/>
      <c r="E93" s="35"/>
      <c r="F93" s="58" t="str">
        <f t="shared" si="3"/>
        <v>INS</v>
      </c>
      <c r="G93" s="32" t="e">
        <f>IF(OR(E93="Jeopardy",E93="APP Moonlighting",E93="Differential Pay"),"",June[[#This Row],[SysID]])</f>
        <v>#N/A</v>
      </c>
      <c r="H93" s="32" t="e">
        <f>IF(E93="Jeopardy",IF(C93="MD",Relay!$E$7,Relay!$E$8),IF(C93="MD",IF(COUNTIF(G:G,B93)&gt;1,Relay!$E$2,Relay!$E$1),IF(AND(COUNTIF(G:G,B93)&gt;1,COUNTA(A93)&gt;0),Relay!$E$5,Relay!$E$4)))</f>
        <v>#N/A</v>
      </c>
      <c r="I93" s="8">
        <f t="shared" si="4"/>
        <v>0</v>
      </c>
      <c r="J93" s="35"/>
      <c r="K93" s="35"/>
      <c r="L93" s="35"/>
      <c r="M93" s="35"/>
      <c r="N93" s="32" t="e">
        <f>IF(H93=June!$E$2,"N",IF(AND(COUNTIF(B:B,B93)=1,D93&gt;14),"Y","N"))</f>
        <v>#N/A</v>
      </c>
      <c r="O93" s="55" t="str">
        <f>IF(COUNT(June[[#This Row],[Date]])&gt;0,IF(June[[#This Row],[Date]]&gt;14,"Yes","No"),"N/A")</f>
        <v>N/A</v>
      </c>
      <c r="P93" s="55"/>
      <c r="Q93" s="5">
        <f>Relay!A92</f>
        <v>0</v>
      </c>
      <c r="R93" s="5">
        <f>Relay!B92</f>
        <v>91</v>
      </c>
      <c r="S93" s="8">
        <f>SUMIF(June[SysID],R93,June[Pay Amount])+IF(May[After the 14th?]="Yes",SUMIF(May[SysID],R93,May[Pay Amount]),0)</f>
        <v>0</v>
      </c>
      <c r="T93" s="8"/>
      <c r="U93" s="5" t="str">
        <f t="shared" si="5"/>
        <v>N</v>
      </c>
      <c r="X93" s="56"/>
      <c r="Y93" s="56"/>
      <c r="Z93" s="56"/>
      <c r="AA93" s="56"/>
      <c r="AC93" s="56"/>
    </row>
    <row r="94" spans="1:29" x14ac:dyDescent="0.25">
      <c r="A94" s="35"/>
      <c r="B94" s="32" t="e">
        <f>VLOOKUP(A94,Relay!$A$1:$B$50,2,FALSE)</f>
        <v>#N/A</v>
      </c>
      <c r="C94" s="32" t="e">
        <f>VLOOKUP(A94,Relay!$A$2:$C$101,3,FALSE)</f>
        <v>#N/A</v>
      </c>
      <c r="D94" s="39"/>
      <c r="E94" s="35"/>
      <c r="F94" s="58" t="str">
        <f t="shared" si="3"/>
        <v>INS</v>
      </c>
      <c r="G94" s="32" t="e">
        <f>IF(OR(E94="Jeopardy",E94="APP Moonlighting",E94="Differential Pay"),"",June[[#This Row],[SysID]])</f>
        <v>#N/A</v>
      </c>
      <c r="H94" s="32" t="e">
        <f>IF(E94="Jeopardy",IF(C94="MD",Relay!$E$7,Relay!$E$8),IF(C94="MD",IF(COUNTIF(G:G,B94)&gt;1,Relay!$E$2,Relay!$E$1),IF(AND(COUNTIF(G:G,B94)&gt;1,COUNTA(A94)&gt;0),Relay!$E$5,Relay!$E$4)))</f>
        <v>#N/A</v>
      </c>
      <c r="I94" s="8">
        <f t="shared" si="4"/>
        <v>0</v>
      </c>
      <c r="J94" s="35"/>
      <c r="K94" s="35"/>
      <c r="L94" s="35"/>
      <c r="M94" s="35"/>
      <c r="N94" s="32" t="e">
        <f>IF(H94=June!$E$2,"N",IF(AND(COUNTIF(B:B,B94)=1,D94&gt;14),"Y","N"))</f>
        <v>#N/A</v>
      </c>
      <c r="O94" s="55" t="str">
        <f>IF(COUNT(June[[#This Row],[Date]])&gt;0,IF(June[[#This Row],[Date]]&gt;14,"Yes","No"),"N/A")</f>
        <v>N/A</v>
      </c>
      <c r="P94" s="55"/>
      <c r="Q94" s="5">
        <f>Relay!A93</f>
        <v>0</v>
      </c>
      <c r="R94" s="5">
        <f>Relay!B93</f>
        <v>92</v>
      </c>
      <c r="S94" s="8">
        <f>SUMIF(June[SysID],R94,June[Pay Amount])+IF(May[After the 14th?]="Yes",SUMIF(May[SysID],R94,May[Pay Amount]),0)</f>
        <v>0</v>
      </c>
      <c r="T94" s="8"/>
      <c r="U94" s="5" t="str">
        <f t="shared" si="5"/>
        <v>N</v>
      </c>
      <c r="X94" s="56"/>
      <c r="Y94" s="56"/>
      <c r="Z94" s="56"/>
      <c r="AA94" s="56"/>
      <c r="AC94" s="56"/>
    </row>
    <row r="95" spans="1:29" x14ac:dyDescent="0.25">
      <c r="A95" s="35"/>
      <c r="B95" s="32" t="e">
        <f>VLOOKUP(A95,Relay!$A$1:$B$50,2,FALSE)</f>
        <v>#N/A</v>
      </c>
      <c r="C95" s="32" t="e">
        <f>VLOOKUP(A95,Relay!$A$2:$C$101,3,FALSE)</f>
        <v>#N/A</v>
      </c>
      <c r="D95" s="39"/>
      <c r="E95" s="35"/>
      <c r="F95" s="58" t="str">
        <f t="shared" si="3"/>
        <v>INS</v>
      </c>
      <c r="G95" s="32" t="e">
        <f>IF(OR(E95="Jeopardy",E95="APP Moonlighting",E95="Differential Pay"),"",June[[#This Row],[SysID]])</f>
        <v>#N/A</v>
      </c>
      <c r="H95" s="32" t="e">
        <f>IF(E95="Jeopardy",IF(C95="MD",Relay!$E$7,Relay!$E$8),IF(C95="MD",IF(COUNTIF(G:G,B95)&gt;1,Relay!$E$2,Relay!$E$1),IF(AND(COUNTIF(G:G,B95)&gt;1,COUNTA(A95)&gt;0),Relay!$E$5,Relay!$E$4)))</f>
        <v>#N/A</v>
      </c>
      <c r="I95" s="8">
        <f t="shared" si="4"/>
        <v>0</v>
      </c>
      <c r="J95" s="35"/>
      <c r="K95" s="35"/>
      <c r="L95" s="35"/>
      <c r="M95" s="35"/>
      <c r="N95" s="32" t="e">
        <f>IF(H95=June!$E$2,"N",IF(AND(COUNTIF(B:B,B95)=1,D95&gt;14),"Y","N"))</f>
        <v>#N/A</v>
      </c>
      <c r="O95" s="55" t="str">
        <f>IF(COUNT(June[[#This Row],[Date]])&gt;0,IF(June[[#This Row],[Date]]&gt;14,"Yes","No"),"N/A")</f>
        <v>N/A</v>
      </c>
      <c r="P95" s="55"/>
      <c r="Q95" s="5">
        <f>Relay!A94</f>
        <v>0</v>
      </c>
      <c r="R95" s="5">
        <f>Relay!B94</f>
        <v>93</v>
      </c>
      <c r="S95" s="8">
        <f>SUMIF(June[SysID],R95,June[Pay Amount])+IF(May[After the 14th?]="Yes",SUMIF(May[SysID],R95,May[Pay Amount]),0)</f>
        <v>0</v>
      </c>
      <c r="T95" s="8"/>
      <c r="U95" s="5" t="str">
        <f t="shared" si="5"/>
        <v>N</v>
      </c>
      <c r="X95" s="56"/>
      <c r="Y95" s="56"/>
      <c r="Z95" s="56"/>
      <c r="AA95" s="56"/>
      <c r="AC95" s="56"/>
    </row>
    <row r="96" spans="1:29" x14ac:dyDescent="0.25">
      <c r="A96" s="35"/>
      <c r="B96" s="32" t="e">
        <f>VLOOKUP(A96,Relay!$A$1:$B$50,2,FALSE)</f>
        <v>#N/A</v>
      </c>
      <c r="C96" s="32" t="e">
        <f>VLOOKUP(A96,Relay!$A$2:$C$101,3,FALSE)</f>
        <v>#N/A</v>
      </c>
      <c r="D96" s="39"/>
      <c r="E96" s="35"/>
      <c r="F96" s="58" t="str">
        <f t="shared" si="3"/>
        <v>INS</v>
      </c>
      <c r="G96" s="32" t="e">
        <f>IF(OR(E96="Jeopardy",E96="APP Moonlighting",E96="Differential Pay"),"",June[[#This Row],[SysID]])</f>
        <v>#N/A</v>
      </c>
      <c r="H96" s="32" t="e">
        <f>IF(E96="Jeopardy",IF(C96="MD",Relay!$E$7,Relay!$E$8),IF(C96="MD",IF(COUNTIF(G:G,B96)&gt;1,Relay!$E$2,Relay!$E$1),IF(AND(COUNTIF(G:G,B96)&gt;1,COUNTA(A96)&gt;0),Relay!$E$5,Relay!$E$4)))</f>
        <v>#N/A</v>
      </c>
      <c r="I96" s="8">
        <f t="shared" si="4"/>
        <v>0</v>
      </c>
      <c r="J96" s="35"/>
      <c r="K96" s="35"/>
      <c r="L96" s="35"/>
      <c r="M96" s="35"/>
      <c r="N96" s="32" t="e">
        <f>IF(H96=June!$E$2,"N",IF(AND(COUNTIF(B:B,B96)=1,D96&gt;14),"Y","N"))</f>
        <v>#N/A</v>
      </c>
      <c r="O96" s="55" t="str">
        <f>IF(COUNT(June[[#This Row],[Date]])&gt;0,IF(June[[#This Row],[Date]]&gt;14,"Yes","No"),"N/A")</f>
        <v>N/A</v>
      </c>
      <c r="P96" s="55"/>
      <c r="Q96" s="5">
        <f>Relay!A95</f>
        <v>0</v>
      </c>
      <c r="R96" s="5">
        <f>Relay!B95</f>
        <v>94</v>
      </c>
      <c r="S96" s="8">
        <f>SUMIF(June[SysID],R96,June[Pay Amount])+IF(May[After the 14th?]="Yes",SUMIF(May[SysID],R96,May[Pay Amount]),0)</f>
        <v>0</v>
      </c>
      <c r="T96" s="8"/>
      <c r="U96" s="5" t="str">
        <f t="shared" si="5"/>
        <v>N</v>
      </c>
      <c r="X96" s="56"/>
      <c r="Y96" s="56"/>
      <c r="Z96" s="56"/>
      <c r="AA96" s="56"/>
      <c r="AC96" s="56"/>
    </row>
    <row r="97" spans="1:29" x14ac:dyDescent="0.25">
      <c r="A97" s="35"/>
      <c r="B97" s="32" t="e">
        <f>VLOOKUP(A97,Relay!$A$1:$B$50,2,FALSE)</f>
        <v>#N/A</v>
      </c>
      <c r="C97" s="32" t="e">
        <f>VLOOKUP(A97,Relay!$A$2:$C$101,3,FALSE)</f>
        <v>#N/A</v>
      </c>
      <c r="D97" s="39"/>
      <c r="E97" s="35"/>
      <c r="F97" s="58" t="str">
        <f t="shared" si="3"/>
        <v>INS</v>
      </c>
      <c r="G97" s="32" t="e">
        <f>IF(OR(E97="Jeopardy",E97="APP Moonlighting",E97="Differential Pay"),"",June[[#This Row],[SysID]])</f>
        <v>#N/A</v>
      </c>
      <c r="H97" s="32" t="e">
        <f>IF(E97="Jeopardy",IF(C97="MD",Relay!$E$7,Relay!$E$8),IF(C97="MD",IF(COUNTIF(G:G,B97)&gt;1,Relay!$E$2,Relay!$E$1),IF(AND(COUNTIF(G:G,B97)&gt;1,COUNTA(A97)&gt;0),Relay!$E$5,Relay!$E$4)))</f>
        <v>#N/A</v>
      </c>
      <c r="I97" s="8">
        <f t="shared" si="4"/>
        <v>0</v>
      </c>
      <c r="J97" s="35"/>
      <c r="K97" s="35"/>
      <c r="L97" s="35"/>
      <c r="M97" s="35"/>
      <c r="N97" s="32" t="e">
        <f>IF(H97=June!$E$2,"N",IF(AND(COUNTIF(B:B,B97)=1,D97&gt;14),"Y","N"))</f>
        <v>#N/A</v>
      </c>
      <c r="O97" s="55" t="str">
        <f>IF(COUNT(June[[#This Row],[Date]])&gt;0,IF(June[[#This Row],[Date]]&gt;14,"Yes","No"),"N/A")</f>
        <v>N/A</v>
      </c>
      <c r="P97" s="55"/>
      <c r="Q97" s="5">
        <f>Relay!A96</f>
        <v>0</v>
      </c>
      <c r="R97" s="5">
        <f>Relay!B96</f>
        <v>95</v>
      </c>
      <c r="S97" s="8">
        <f>SUMIF(June[SysID],R97,June[Pay Amount])+IF(May[After the 14th?]="Yes",SUMIF(May[SysID],R97,May[Pay Amount]),0)</f>
        <v>0</v>
      </c>
      <c r="T97" s="8"/>
      <c r="U97" s="5" t="str">
        <f t="shared" si="5"/>
        <v>N</v>
      </c>
      <c r="X97" s="56"/>
      <c r="Y97" s="56"/>
      <c r="Z97" s="56"/>
      <c r="AA97" s="56"/>
      <c r="AC97" s="56"/>
    </row>
    <row r="98" spans="1:29" x14ac:dyDescent="0.25">
      <c r="A98" s="35"/>
      <c r="B98" s="32" t="e">
        <f>VLOOKUP(A98,Relay!$A$1:$B$50,2,FALSE)</f>
        <v>#N/A</v>
      </c>
      <c r="C98" s="32" t="e">
        <f>VLOOKUP(A98,Relay!$A$2:$C$101,3,FALSE)</f>
        <v>#N/A</v>
      </c>
      <c r="D98" s="39"/>
      <c r="E98" s="35"/>
      <c r="F98" s="58" t="str">
        <f t="shared" si="3"/>
        <v>INS</v>
      </c>
      <c r="G98" s="32" t="e">
        <f>IF(OR(E98="Jeopardy",E98="APP Moonlighting",E98="Differential Pay"),"",June[[#This Row],[SysID]])</f>
        <v>#N/A</v>
      </c>
      <c r="H98" s="32" t="e">
        <f>IF(E98="Jeopardy",IF(C98="MD",Relay!$E$7,Relay!$E$8),IF(C98="MD",IF(COUNTIF(G:G,B98)&gt;1,Relay!$E$2,Relay!$E$1),IF(AND(COUNTIF(G:G,B98)&gt;1,COUNTA(A98)&gt;0),Relay!$E$5,Relay!$E$4)))</f>
        <v>#N/A</v>
      </c>
      <c r="I98" s="8">
        <f t="shared" si="4"/>
        <v>0</v>
      </c>
      <c r="J98" s="35"/>
      <c r="K98" s="35"/>
      <c r="L98" s="35"/>
      <c r="M98" s="35"/>
      <c r="N98" s="32" t="e">
        <f>IF(H98=June!$E$2,"N",IF(AND(COUNTIF(B:B,B98)=1,D98&gt;14),"Y","N"))</f>
        <v>#N/A</v>
      </c>
      <c r="O98" s="55" t="str">
        <f>IF(COUNT(June[[#This Row],[Date]])&gt;0,IF(June[[#This Row],[Date]]&gt;14,"Yes","No"),"N/A")</f>
        <v>N/A</v>
      </c>
      <c r="P98" s="55"/>
      <c r="Q98" s="5">
        <f>Relay!A97</f>
        <v>0</v>
      </c>
      <c r="R98" s="5">
        <f>Relay!B97</f>
        <v>96</v>
      </c>
      <c r="S98" s="8">
        <f>SUMIF(June[SysID],R98,June[Pay Amount])+IF(May[After the 14th?]="Yes",SUMIF(May[SysID],R98,May[Pay Amount]),0)</f>
        <v>0</v>
      </c>
      <c r="T98" s="8"/>
      <c r="U98" s="5" t="str">
        <f t="shared" si="5"/>
        <v>N</v>
      </c>
      <c r="X98" s="56"/>
      <c r="Y98" s="56"/>
      <c r="Z98" s="56"/>
      <c r="AA98" s="56"/>
      <c r="AC98" s="56"/>
    </row>
    <row r="99" spans="1:29" x14ac:dyDescent="0.25">
      <c r="A99" s="35"/>
      <c r="B99" s="32" t="e">
        <f>VLOOKUP(A99,Relay!$A$1:$B$50,2,FALSE)</f>
        <v>#N/A</v>
      </c>
      <c r="C99" s="32" t="e">
        <f>VLOOKUP(A99,Relay!$A$2:$C$101,3,FALSE)</f>
        <v>#N/A</v>
      </c>
      <c r="D99" s="39"/>
      <c r="E99" s="35"/>
      <c r="F99" s="58" t="str">
        <f t="shared" si="3"/>
        <v>INS</v>
      </c>
      <c r="G99" s="32" t="e">
        <f>IF(OR(E99="Jeopardy",E99="APP Moonlighting",E99="Differential Pay"),"",June[[#This Row],[SysID]])</f>
        <v>#N/A</v>
      </c>
      <c r="H99" s="32" t="e">
        <f>IF(E99="Jeopardy",IF(C99="MD",Relay!$E$7,Relay!$E$8),IF(C99="MD",IF(COUNTIF(G:G,B99)&gt;1,Relay!$E$2,Relay!$E$1),IF(AND(COUNTIF(G:G,B99)&gt;1,COUNTA(A99)&gt;0),Relay!$E$5,Relay!$E$4)))</f>
        <v>#N/A</v>
      </c>
      <c r="I99" s="8">
        <f t="shared" si="4"/>
        <v>0</v>
      </c>
      <c r="J99" s="35"/>
      <c r="K99" s="35"/>
      <c r="L99" s="35"/>
      <c r="M99" s="35"/>
      <c r="N99" s="32" t="e">
        <f>IF(H99=June!$E$2,"N",IF(AND(COUNTIF(B:B,B99)=1,D99&gt;14),"Y","N"))</f>
        <v>#N/A</v>
      </c>
      <c r="O99" s="55" t="str">
        <f>IF(COUNT(June[[#This Row],[Date]])&gt;0,IF(June[[#This Row],[Date]]&gt;14,"Yes","No"),"N/A")</f>
        <v>N/A</v>
      </c>
      <c r="P99" s="55"/>
      <c r="Q99" s="5">
        <f>Relay!A98</f>
        <v>0</v>
      </c>
      <c r="R99" s="5">
        <f>Relay!B98</f>
        <v>97</v>
      </c>
      <c r="S99" s="8">
        <f>SUMIF(June[SysID],R99,June[Pay Amount])+IF(May[After the 14th?]="Yes",SUMIF(May[SysID],R99,May[Pay Amount]),0)</f>
        <v>0</v>
      </c>
      <c r="T99" s="8"/>
      <c r="U99" s="5" t="str">
        <f t="shared" si="5"/>
        <v>N</v>
      </c>
      <c r="X99" s="56"/>
      <c r="Y99" s="56"/>
      <c r="Z99" s="56"/>
      <c r="AA99" s="56"/>
      <c r="AC99" s="56"/>
    </row>
    <row r="100" spans="1:29" x14ac:dyDescent="0.25">
      <c r="A100" s="35"/>
      <c r="B100" s="32" t="e">
        <f>VLOOKUP(A100,Relay!$A$1:$B$50,2,FALSE)</f>
        <v>#N/A</v>
      </c>
      <c r="C100" s="32" t="e">
        <f>VLOOKUP(A100,Relay!$A$2:$C$101,3,FALSE)</f>
        <v>#N/A</v>
      </c>
      <c r="D100" s="39"/>
      <c r="E100" s="35"/>
      <c r="F100" s="58" t="str">
        <f t="shared" si="3"/>
        <v>INS</v>
      </c>
      <c r="G100" s="32" t="e">
        <f>IF(OR(E100="Jeopardy",E100="APP Moonlighting",E100="Differential Pay"),"",June[[#This Row],[SysID]])</f>
        <v>#N/A</v>
      </c>
      <c r="H100" s="32" t="e">
        <f>IF(E100="Jeopardy",IF(C100="MD",Relay!$E$7,Relay!$E$8),IF(C100="MD",IF(COUNTIF(G:G,B100)&gt;1,Relay!$E$2,Relay!$E$1),IF(AND(COUNTIF(G:G,B100)&gt;1,COUNTA(A100)&gt;0),Relay!$E$5,Relay!$E$4)))</f>
        <v>#N/A</v>
      </c>
      <c r="I100" s="8">
        <f t="shared" si="4"/>
        <v>0</v>
      </c>
      <c r="J100" s="35"/>
      <c r="K100" s="35"/>
      <c r="L100" s="35"/>
      <c r="M100" s="35"/>
      <c r="N100" s="32" t="e">
        <f>IF(H100=June!$E$2,"N",IF(AND(COUNTIF(B:B,B100)=1,D100&gt;14),"Y","N"))</f>
        <v>#N/A</v>
      </c>
      <c r="O100" s="55" t="str">
        <f>IF(COUNT(June[[#This Row],[Date]])&gt;0,IF(June[[#This Row],[Date]]&gt;14,"Yes","No"),"N/A")</f>
        <v>N/A</v>
      </c>
      <c r="P100" s="55"/>
      <c r="Q100" s="5">
        <f>Relay!A99</f>
        <v>0</v>
      </c>
      <c r="R100" s="5">
        <f>Relay!B99</f>
        <v>98</v>
      </c>
      <c r="S100" s="8">
        <f>SUMIF(June[SysID],R100,June[Pay Amount])+IF(May[After the 14th?]="Yes",SUMIF(May[SysID],R100,May[Pay Amount]),0)</f>
        <v>0</v>
      </c>
      <c r="T100" s="8"/>
      <c r="U100" s="5" t="str">
        <f t="shared" si="5"/>
        <v>N</v>
      </c>
      <c r="X100" s="56"/>
      <c r="Y100" s="56"/>
      <c r="Z100" s="56"/>
      <c r="AA100" s="56"/>
      <c r="AC100" s="56"/>
    </row>
    <row r="101" spans="1:29" x14ac:dyDescent="0.25">
      <c r="A101" s="35"/>
      <c r="B101" s="32" t="e">
        <f>VLOOKUP(A101,Relay!$A$1:$B$50,2,FALSE)</f>
        <v>#N/A</v>
      </c>
      <c r="C101" s="32" t="e">
        <f>VLOOKUP(A101,Relay!$A$2:$C$101,3,FALSE)</f>
        <v>#N/A</v>
      </c>
      <c r="D101" s="39"/>
      <c r="E101" s="35"/>
      <c r="F101" s="58" t="str">
        <f t="shared" si="3"/>
        <v>INS</v>
      </c>
      <c r="G101" s="32" t="e">
        <f>IF(OR(E101="Jeopardy",E101="APP Moonlighting",E101="Differential Pay"),"",June[[#This Row],[SysID]])</f>
        <v>#N/A</v>
      </c>
      <c r="H101" s="32" t="e">
        <f>IF(E101="Jeopardy",IF(C101="MD",Relay!$E$7,Relay!$E$8),IF(C101="MD",IF(COUNTIF(G:G,B101)&gt;1,Relay!$E$2,Relay!$E$1),IF(AND(COUNTIF(G:G,B101)&gt;1,COUNTA(A101)&gt;0),Relay!$E$5,Relay!$E$4)))</f>
        <v>#N/A</v>
      </c>
      <c r="I101" s="8">
        <f t="shared" si="4"/>
        <v>0</v>
      </c>
      <c r="J101" s="35"/>
      <c r="K101" s="35"/>
      <c r="L101" s="35"/>
      <c r="M101" s="35"/>
      <c r="N101" s="32" t="e">
        <f>IF(H101=June!$E$2,"N",IF(AND(COUNTIF(B:B,B101)=1,D101&gt;14),"Y","N"))</f>
        <v>#N/A</v>
      </c>
      <c r="O101" s="55" t="str">
        <f>IF(COUNT(June[[#This Row],[Date]])&gt;0,IF(June[[#This Row],[Date]]&gt;14,"Yes","No"),"N/A")</f>
        <v>N/A</v>
      </c>
      <c r="P101" s="55"/>
      <c r="Q101" s="5">
        <f>Relay!A100</f>
        <v>0</v>
      </c>
      <c r="R101" s="5">
        <f>Relay!B100</f>
        <v>99</v>
      </c>
      <c r="S101" s="8">
        <f>SUMIF(June[SysID],R101,June[Pay Amount])+IF(May[After the 14th?]="Yes",SUMIF(May[SysID],R101,May[Pay Amount]),0)</f>
        <v>0</v>
      </c>
      <c r="T101" s="8"/>
      <c r="U101" s="5" t="str">
        <f t="shared" si="5"/>
        <v>N</v>
      </c>
      <c r="X101" s="56"/>
      <c r="Y101" s="56"/>
      <c r="Z101" s="56"/>
      <c r="AA101" s="56"/>
      <c r="AC101" s="56"/>
    </row>
    <row r="102" spans="1:29" x14ac:dyDescent="0.25">
      <c r="A102" s="35"/>
      <c r="B102" s="32" t="e">
        <f>VLOOKUP(A102,Relay!$A$1:$B$50,2,FALSE)</f>
        <v>#N/A</v>
      </c>
      <c r="C102" s="32" t="e">
        <f>VLOOKUP(A102,Relay!$A$2:$C$101,3,FALSE)</f>
        <v>#N/A</v>
      </c>
      <c r="D102" s="39"/>
      <c r="E102" s="35"/>
      <c r="F102" s="58" t="str">
        <f t="shared" si="3"/>
        <v>INS</v>
      </c>
      <c r="G102" s="32" t="e">
        <f>IF(OR(E102="Jeopardy",E102="APP Moonlighting",E102="Differential Pay"),"",June[[#This Row],[SysID]])</f>
        <v>#N/A</v>
      </c>
      <c r="H102" s="32" t="e">
        <f>IF(E102="Jeopardy",IF(C102="MD",Relay!$E$7,Relay!$E$8),IF(C102="MD",IF(COUNTIF(G:G,B102)&gt;1,Relay!$E$2,Relay!$E$1),IF(AND(COUNTIF(G:G,B102)&gt;1,COUNTA(A102)&gt;0),Relay!$E$5,Relay!$E$4)))</f>
        <v>#N/A</v>
      </c>
      <c r="I102" s="8">
        <f t="shared" si="4"/>
        <v>0</v>
      </c>
      <c r="J102" s="35"/>
      <c r="K102" s="35"/>
      <c r="L102" s="35"/>
      <c r="M102" s="35"/>
      <c r="N102" s="32" t="e">
        <f>IF(H102=June!$E$2,"N",IF(AND(COUNTIF(B:B,B102)=1,D102&gt;14),"Y","N"))</f>
        <v>#N/A</v>
      </c>
      <c r="O102" s="55" t="str">
        <f>IF(COUNT(June[[#This Row],[Date]])&gt;0,IF(June[[#This Row],[Date]]&gt;14,"Yes","No"),"N/A")</f>
        <v>N/A</v>
      </c>
      <c r="P102" s="55"/>
      <c r="Q102" s="5">
        <f>Relay!A101</f>
        <v>0</v>
      </c>
      <c r="R102" s="5">
        <f>Relay!B101</f>
        <v>100</v>
      </c>
      <c r="S102" s="8">
        <f>SUMIF(June[SysID],R102,June[Pay Amount])+IF(May[After the 14th?]="Yes",SUMIF(May[SysID],R102,May[Pay Amount]),0)</f>
        <v>0</v>
      </c>
      <c r="T102" s="8"/>
      <c r="U102" s="5" t="str">
        <f t="shared" si="5"/>
        <v>N</v>
      </c>
      <c r="X102" s="56"/>
      <c r="Y102" s="56"/>
      <c r="Z102" s="56"/>
      <c r="AA102" s="56"/>
      <c r="AC102" s="56"/>
    </row>
    <row r="103" spans="1:29" x14ac:dyDescent="0.25">
      <c r="A103" s="35"/>
      <c r="B103" s="32" t="e">
        <f>VLOOKUP(A103,Relay!$A$1:$B$50,2,FALSE)</f>
        <v>#N/A</v>
      </c>
      <c r="C103" s="32" t="e">
        <f>VLOOKUP(A103,Relay!$A$2:$C$101,3,FALSE)</f>
        <v>#N/A</v>
      </c>
      <c r="D103" s="39"/>
      <c r="E103" s="35"/>
      <c r="F103" s="58" t="str">
        <f t="shared" si="3"/>
        <v>INS</v>
      </c>
      <c r="G103" s="32" t="e">
        <f>IF(OR(E103="Jeopardy",E103="APP Moonlighting",E103="Differential Pay"),"",June[[#This Row],[SysID]])</f>
        <v>#N/A</v>
      </c>
      <c r="H103" s="32" t="e">
        <f>IF(E103="Jeopardy",IF(C103="MD",Relay!$E$7,Relay!$E$8),IF(C103="MD",IF(COUNTIF(G:G,B103)&gt;1,Relay!$E$2,Relay!$E$1),IF(AND(COUNTIF(G:G,B103)&gt;1,COUNTA(A103)&gt;0),Relay!$E$5,Relay!$E$4)))</f>
        <v>#N/A</v>
      </c>
      <c r="I103" s="8">
        <f t="shared" si="4"/>
        <v>0</v>
      </c>
      <c r="J103" s="35"/>
      <c r="K103" s="35"/>
      <c r="L103" s="35"/>
      <c r="M103" s="35"/>
      <c r="N103" s="32" t="e">
        <f>IF(H103=June!$E$2,"N",IF(AND(COUNTIF(B:B,B103)=1,D103&gt;14),"Y","N"))</f>
        <v>#N/A</v>
      </c>
      <c r="O103" s="55" t="str">
        <f>IF(COUNT(June[[#This Row],[Date]])&gt;0,IF(June[[#This Row],[Date]]&gt;14,"Yes","No"),"N/A")</f>
        <v>N/A</v>
      </c>
      <c r="P103" s="55"/>
      <c r="Q103">
        <f>Relay!A102</f>
        <v>0</v>
      </c>
      <c r="R103">
        <f>Relay!B102</f>
        <v>0</v>
      </c>
      <c r="S103" s="9">
        <f>SUMIF(June[SysID],R103,June[Pay Amount])+IF(May[After the 14th?]="Yes",SUMIF(May[SysID],R103,May[Pay Amount]),0)</f>
        <v>0</v>
      </c>
      <c r="U103" s="5" t="str">
        <f t="shared" si="5"/>
        <v>N</v>
      </c>
      <c r="X103" s="56"/>
      <c r="Y103" s="56"/>
      <c r="Z103" s="56"/>
      <c r="AA103" s="56"/>
      <c r="AC103" s="56"/>
    </row>
  </sheetData>
  <conditionalFormatting sqref="N1:N1048576">
    <cfRule type="containsText" dxfId="39" priority="6" operator="containsText" text="Y">
      <formula>NOT(ISERROR(SEARCH("Y",N1)))</formula>
    </cfRule>
  </conditionalFormatting>
  <conditionalFormatting sqref="F1:G1048576">
    <cfRule type="containsText" dxfId="38" priority="5" operator="containsText" text="INS">
      <formula>NOT(ISERROR(SEARCH("INS",F1)))</formula>
    </cfRule>
  </conditionalFormatting>
  <conditionalFormatting sqref="O1:O1048576">
    <cfRule type="containsText" dxfId="37" priority="2" operator="containsText" text="yes">
      <formula>NOT(ISERROR(SEARCH("yes",O1)))</formula>
    </cfRule>
    <cfRule type="containsText" dxfId="36" priority="3" operator="containsText" text="no">
      <formula>NOT(ISERROR(SEARCH("no",O1)))</formula>
    </cfRule>
    <cfRule type="containsText" dxfId="35" priority="4" operator="containsText" text="/">
      <formula>NOT(ISERROR(SEARCH("/",O1)))</formula>
    </cfRule>
  </conditionalFormatting>
  <conditionalFormatting sqref="U1:U1048576">
    <cfRule type="containsText" dxfId="34" priority="1" operator="containsText" text="Y">
      <formula>NOT(ISERROR(SEARCH("Y",U1)))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Relay!$D$11:$D$16</xm:f>
          </x14:formula1>
          <xm:sqref>E3:E103</xm:sqref>
        </x14:dataValidation>
        <x14:dataValidation type="list" allowBlank="1" showInputMessage="1" showErrorMessage="1">
          <x14:formula1>
            <xm:f>Relay!$A$2:$A$101</xm:f>
          </x14:formula1>
          <xm:sqref>A3:A103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2"/>
  <sheetViews>
    <sheetView workbookViewId="0">
      <selection activeCell="F17" sqref="F17"/>
    </sheetView>
  </sheetViews>
  <sheetFormatPr defaultRowHeight="15" x14ac:dyDescent="0.25"/>
  <cols>
    <col min="1" max="1" width="20" bestFit="1" customWidth="1"/>
  </cols>
  <sheetData>
    <row r="1" spans="1:2" s="67" customFormat="1" x14ac:dyDescent="0.25">
      <c r="A1" s="65" t="s">
        <v>42</v>
      </c>
      <c r="B1" s="65"/>
    </row>
    <row r="2" spans="1:2" x14ac:dyDescent="0.25">
      <c r="A2" s="31" t="s">
        <v>17</v>
      </c>
      <c r="B2" t="s">
        <v>41</v>
      </c>
    </row>
    <row r="3" spans="1:2" x14ac:dyDescent="0.25">
      <c r="A3" s="31" t="s">
        <v>65</v>
      </c>
      <c r="B3" t="s">
        <v>66</v>
      </c>
    </row>
    <row r="4" spans="1:2" x14ac:dyDescent="0.25">
      <c r="A4" s="65" t="s">
        <v>43</v>
      </c>
      <c r="B4" s="64"/>
    </row>
    <row r="5" spans="1:2" x14ac:dyDescent="0.25">
      <c r="A5" s="31" t="s">
        <v>2</v>
      </c>
      <c r="B5" t="s">
        <v>44</v>
      </c>
    </row>
    <row r="6" spans="1:2" x14ac:dyDescent="0.25">
      <c r="A6" s="31" t="s">
        <v>4</v>
      </c>
      <c r="B6" t="s">
        <v>45</v>
      </c>
    </row>
    <row r="7" spans="1:2" x14ac:dyDescent="0.25">
      <c r="A7" s="31" t="s">
        <v>6</v>
      </c>
      <c r="B7" t="s">
        <v>46</v>
      </c>
    </row>
    <row r="8" spans="1:2" x14ac:dyDescent="0.25">
      <c r="A8" s="31" t="s">
        <v>7</v>
      </c>
      <c r="B8" t="s">
        <v>74</v>
      </c>
    </row>
    <row r="9" spans="1:2" x14ac:dyDescent="0.25">
      <c r="A9" s="31" t="s">
        <v>47</v>
      </c>
      <c r="B9" t="s">
        <v>64</v>
      </c>
    </row>
    <row r="10" spans="1:2" x14ac:dyDescent="0.25">
      <c r="A10" s="31" t="s">
        <v>48</v>
      </c>
      <c r="B10" t="s">
        <v>49</v>
      </c>
    </row>
    <row r="11" spans="1:2" x14ac:dyDescent="0.25">
      <c r="A11" s="31" t="s">
        <v>73</v>
      </c>
      <c r="B11" t="s">
        <v>72</v>
      </c>
    </row>
    <row r="12" spans="1:2" x14ac:dyDescent="0.25">
      <c r="A12" s="31" t="s">
        <v>35</v>
      </c>
      <c r="B1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A1:AD103"/>
  <sheetViews>
    <sheetView tabSelected="1" workbookViewId="0">
      <selection activeCell="Q3" sqref="Q3"/>
    </sheetView>
  </sheetViews>
  <sheetFormatPr defaultRowHeight="15" x14ac:dyDescent="0.25"/>
  <cols>
    <col min="1" max="1" width="21.7109375" style="36" customWidth="1"/>
    <col min="2" max="2" width="9.140625" hidden="1" customWidth="1"/>
    <col min="3" max="3" width="12.85546875" bestFit="1" customWidth="1"/>
    <col min="4" max="4" width="10.7109375" style="40" bestFit="1" customWidth="1"/>
    <col min="5" max="5" width="12.85546875" style="36" bestFit="1" customWidth="1"/>
    <col min="6" max="6" width="12.85546875" style="36" customWidth="1"/>
    <col min="7" max="7" width="12.85546875" hidden="1" customWidth="1"/>
    <col min="8" max="8" width="10.7109375" customWidth="1"/>
    <col min="9" max="9" width="15.5703125" style="9" bestFit="1" customWidth="1"/>
    <col min="10" max="10" width="9.140625" style="36" customWidth="1"/>
    <col min="11" max="11" width="13.140625" style="36" bestFit="1" customWidth="1"/>
    <col min="12" max="12" width="15.5703125" style="36" bestFit="1" customWidth="1"/>
    <col min="13" max="13" width="14.140625" style="36" bestFit="1" customWidth="1"/>
    <col min="14" max="14" width="19.5703125" hidden="1" customWidth="1"/>
    <col min="15" max="16" width="17" customWidth="1"/>
    <col min="17" max="17" width="16.42578125" customWidth="1"/>
    <col min="19" max="19" width="15" style="9" bestFit="1" customWidth="1"/>
    <col min="20" max="20" width="16.28515625" style="9" bestFit="1" customWidth="1"/>
    <col min="21" max="21" width="9.140625" style="5"/>
    <col min="22" max="22" width="14.28515625" bestFit="1" customWidth="1"/>
    <col min="23" max="23" width="21.7109375" customWidth="1"/>
    <col min="27" max="27" width="12.85546875" bestFit="1" customWidth="1"/>
    <col min="28" max="28" width="9" style="9" bestFit="1" customWidth="1"/>
    <col min="29" max="29" width="8.42578125" bestFit="1" customWidth="1"/>
    <col min="30" max="30" width="10.42578125" style="9" bestFit="1" customWidth="1"/>
  </cols>
  <sheetData>
    <row r="1" spans="1:30" s="3" customFormat="1" x14ac:dyDescent="0.25">
      <c r="A1" s="33" t="s">
        <v>34</v>
      </c>
      <c r="D1" s="37"/>
      <c r="E1" s="41"/>
      <c r="F1" s="41"/>
      <c r="I1" s="6"/>
      <c r="J1" s="41"/>
      <c r="K1" s="41"/>
      <c r="L1" s="41"/>
      <c r="M1" s="41"/>
      <c r="Q1" s="2" t="s">
        <v>14</v>
      </c>
      <c r="S1" s="6"/>
      <c r="T1" s="6"/>
      <c r="U1" s="71"/>
      <c r="V1" s="2"/>
      <c r="AB1" s="6"/>
      <c r="AD1" s="6"/>
    </row>
    <row r="2" spans="1:30" x14ac:dyDescent="0.25">
      <c r="A2" s="34" t="s">
        <v>3</v>
      </c>
      <c r="B2" s="4" t="s">
        <v>2</v>
      </c>
      <c r="C2" s="4" t="s">
        <v>4</v>
      </c>
      <c r="D2" s="38" t="s">
        <v>1</v>
      </c>
      <c r="E2" s="34" t="s">
        <v>5</v>
      </c>
      <c r="F2" s="34" t="s">
        <v>6</v>
      </c>
      <c r="G2" s="4" t="s">
        <v>35</v>
      </c>
      <c r="H2" s="4" t="s">
        <v>7</v>
      </c>
      <c r="I2" s="7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11" t="s">
        <v>13</v>
      </c>
      <c r="O2" s="4" t="s">
        <v>70</v>
      </c>
      <c r="P2" s="4"/>
      <c r="Q2" s="5" t="s">
        <v>69</v>
      </c>
      <c r="R2" s="5" t="s">
        <v>2</v>
      </c>
      <c r="S2" s="8" t="s">
        <v>68</v>
      </c>
      <c r="T2" s="8" t="s">
        <v>16</v>
      </c>
      <c r="U2" s="5" t="s">
        <v>13</v>
      </c>
    </row>
    <row r="3" spans="1:30" x14ac:dyDescent="0.25">
      <c r="A3" s="35"/>
      <c r="B3" s="5" t="e">
        <f>VLOOKUP(A3,Relay!$A$1:$B$50,2,FALSE)</f>
        <v>#N/A</v>
      </c>
      <c r="C3" s="5" t="e">
        <f>VLOOKUP(A3,Relay!$A$2:$C$51,3,FALSE)</f>
        <v>#N/A</v>
      </c>
      <c r="D3" s="39"/>
      <c r="E3" s="35"/>
      <c r="F3" s="35" t="str">
        <f t="shared" ref="F3:F44" si="0">IF(E3="Moonlighting", 12, "INS")</f>
        <v>INS</v>
      </c>
      <c r="G3" s="5" t="e">
        <f>IF(OR(E3="Jeopardy",E3="APP Moonlighting",E3="Differential Pay"),"",July[[#This Row],[SysID]])</f>
        <v>#N/A</v>
      </c>
      <c r="H3" s="5" t="e">
        <f>IF(E3="Jeopardy",IF(C3="MD",Relay!$E$7,Relay!$E$8),IF(C3="MD",IF(COUNTIF(G:G,B3)&gt;1,Relay!$E$2,Relay!$E$1),IF(AND(COUNTIF(G:G,B3)&gt;1,COUNTA(A3)&gt;0),Relay!$E$5,Relay!$E$4)))</f>
        <v>#N/A</v>
      </c>
      <c r="I3" s="8">
        <f t="shared" ref="I3:I34" si="1">IF(COUNTA(A3)&gt;0,H3*F3,0)</f>
        <v>0</v>
      </c>
      <c r="J3" s="35"/>
      <c r="K3" s="35"/>
      <c r="L3" s="35"/>
      <c r="M3" s="35"/>
      <c r="N3" s="10" t="e">
        <f>IF(H3=July!$E$2,"N",IF(AND(COUNTIF(B:B,B3)=1,D3&gt;14),"Y","N"))</f>
        <v>#N/A</v>
      </c>
      <c r="O3" s="55" t="str">
        <f>IF(COUNT(July[[#This Row],[Date]])&gt;0,IF(July[[#This Row],[Date]]&gt;14,"Yes","No"),"N/A")</f>
        <v>N/A</v>
      </c>
      <c r="P3" s="55"/>
      <c r="Q3" s="5">
        <f>Relay!A2</f>
        <v>0</v>
      </c>
      <c r="R3" s="5">
        <f>Relay!B2</f>
        <v>1</v>
      </c>
      <c r="S3" s="8">
        <f>IF(July[After the 14th?]="No",SUMIF(July[SysID],R3,July[Pay Amount]),0)</f>
        <v>0</v>
      </c>
      <c r="T3" s="8"/>
      <c r="U3" s="5" t="str">
        <f t="shared" ref="U3:U34" si="2">IF(S3=T3,"N","Y")</f>
        <v>N</v>
      </c>
      <c r="V3" s="57"/>
      <c r="W3" s="57"/>
      <c r="X3" s="56"/>
      <c r="Y3" s="56"/>
      <c r="Z3" s="56"/>
      <c r="AA3" s="56"/>
      <c r="AC3" s="56"/>
    </row>
    <row r="4" spans="1:30" x14ac:dyDescent="0.25">
      <c r="A4" s="35"/>
      <c r="B4" s="5" t="e">
        <f>VLOOKUP(A4,Relay!$A$1:$B$50,2,FALSE)</f>
        <v>#N/A</v>
      </c>
      <c r="C4" s="5" t="e">
        <f>VLOOKUP(A4,Relay!$A$2:$C$51,3,FALSE)</f>
        <v>#N/A</v>
      </c>
      <c r="D4" s="39"/>
      <c r="E4" s="35"/>
      <c r="F4" s="35" t="str">
        <f t="shared" si="0"/>
        <v>INS</v>
      </c>
      <c r="G4" s="5" t="e">
        <f>IF(OR(E4="Jeopardy",E4="APP Moonlighting",E4="Differential Pay"),"",July[[#This Row],[SysID]])</f>
        <v>#N/A</v>
      </c>
      <c r="H4" s="5" t="e">
        <f>IF(E4="Jeopardy",IF(C4="MD",Relay!$E$7,Relay!$E$8),IF(C4="MD",IF(COUNTIF(G:G,B4)&gt;1,Relay!$E$2,Relay!$E$1),IF(AND(COUNTIF(G:G,B4)&gt;1,COUNTA(A4)&gt;0),Relay!$E$5,Relay!$E$4)))</f>
        <v>#N/A</v>
      </c>
      <c r="I4" s="8">
        <f t="shared" si="1"/>
        <v>0</v>
      </c>
      <c r="J4" s="35"/>
      <c r="K4" s="35"/>
      <c r="L4" s="35"/>
      <c r="M4" s="35"/>
      <c r="N4" s="10" t="e">
        <f>IF(H4=July!$E$2,"N",IF(AND(COUNTIF(B:B,B4)=1,D4&gt;14),"Y","N"))</f>
        <v>#N/A</v>
      </c>
      <c r="O4" s="55" t="str">
        <f>IF(COUNT(July[[#This Row],[Date]])&gt;0,IF(July[[#This Row],[Date]]&gt;14,"Yes","No"),"N/A")</f>
        <v>N/A</v>
      </c>
      <c r="P4" s="55"/>
      <c r="Q4" s="5">
        <f>Relay!A3</f>
        <v>0</v>
      </c>
      <c r="R4" s="5">
        <f>Relay!B3</f>
        <v>2</v>
      </c>
      <c r="S4" s="8">
        <f>IF(July[After the 14th?]="No",SUMIF(July[SysID],R4,July[Pay Amount]),0)</f>
        <v>0</v>
      </c>
      <c r="T4" s="8"/>
      <c r="U4" s="5" t="str">
        <f t="shared" si="2"/>
        <v>N</v>
      </c>
      <c r="X4" s="56"/>
      <c r="Y4" s="56"/>
      <c r="Z4" s="56"/>
      <c r="AA4" s="56"/>
      <c r="AC4" s="56"/>
    </row>
    <row r="5" spans="1:30" x14ac:dyDescent="0.25">
      <c r="A5" s="35"/>
      <c r="B5" s="5" t="e">
        <f>VLOOKUP(A5,Relay!$A$1:$B$50,2,FALSE)</f>
        <v>#N/A</v>
      </c>
      <c r="C5" s="5" t="e">
        <f>VLOOKUP(A5,Relay!$A$2:$C$51,3,FALSE)</f>
        <v>#N/A</v>
      </c>
      <c r="D5" s="39"/>
      <c r="E5" s="35"/>
      <c r="F5" s="35" t="str">
        <f t="shared" si="0"/>
        <v>INS</v>
      </c>
      <c r="G5" s="5" t="e">
        <f>IF(OR(E5="Jeopardy",E5="APP Moonlighting",E5="Differential Pay"),"",July[[#This Row],[SysID]])</f>
        <v>#N/A</v>
      </c>
      <c r="H5" s="5" t="e">
        <f>IF(E5="Jeopardy",IF(C5="MD",Relay!$E$7,Relay!$E$8),IF(C5="MD",IF(COUNTIF(G:G,B5)&gt;1,Relay!$E$2,Relay!$E$1),IF(AND(COUNTIF(G:G,B5)&gt;1,COUNTA(A5)&gt;0),Relay!$E$5,Relay!$E$4)))</f>
        <v>#N/A</v>
      </c>
      <c r="I5" s="8">
        <f t="shared" si="1"/>
        <v>0</v>
      </c>
      <c r="J5" s="35"/>
      <c r="K5" s="35"/>
      <c r="L5" s="35"/>
      <c r="M5" s="35"/>
      <c r="N5" s="10" t="e">
        <f>IF(H5=July!$E$2,"N",IF(AND(COUNTIF(B:B,B5)=1,D5&gt;14),"Y","N"))</f>
        <v>#N/A</v>
      </c>
      <c r="O5" s="55" t="str">
        <f>IF(COUNT(July[[#This Row],[Date]])&gt;0,IF(July[[#This Row],[Date]]&gt;14,"Yes","No"),"N/A")</f>
        <v>N/A</v>
      </c>
      <c r="P5" s="55"/>
      <c r="Q5" s="5">
        <f>Relay!A4</f>
        <v>0</v>
      </c>
      <c r="R5" s="5">
        <f>Relay!B4</f>
        <v>3</v>
      </c>
      <c r="S5" s="8">
        <f>IF(July[After the 14th?]="No",SUMIF(July[SysID],R5,July[Pay Amount]),0)</f>
        <v>0</v>
      </c>
      <c r="T5" s="8"/>
      <c r="U5" s="5" t="str">
        <f t="shared" si="2"/>
        <v>N</v>
      </c>
      <c r="X5" s="56"/>
      <c r="Y5" s="56"/>
      <c r="Z5" s="56"/>
      <c r="AA5" s="56"/>
      <c r="AC5" s="56"/>
    </row>
    <row r="6" spans="1:30" x14ac:dyDescent="0.25">
      <c r="A6" s="35"/>
      <c r="B6" s="5" t="e">
        <f>VLOOKUP(A6,Relay!$A$1:$B$50,2,FALSE)</f>
        <v>#N/A</v>
      </c>
      <c r="C6" s="5" t="e">
        <f>VLOOKUP(A6,Relay!$A$2:$C$51,3,FALSE)</f>
        <v>#N/A</v>
      </c>
      <c r="D6" s="39"/>
      <c r="E6" s="35"/>
      <c r="F6" s="35" t="str">
        <f t="shared" si="0"/>
        <v>INS</v>
      </c>
      <c r="G6" s="5" t="e">
        <f>IF(OR(E6="Jeopardy",E6="APP Moonlighting",E6="Differential Pay"),"",July[[#This Row],[SysID]])</f>
        <v>#N/A</v>
      </c>
      <c r="H6" s="5" t="e">
        <f>IF(E6="Jeopardy",IF(C6="MD",Relay!$E$7,Relay!$E$8),IF(C6="MD",IF(COUNTIF(G:G,B6)&gt;1,Relay!$E$2,Relay!$E$1),IF(AND(COUNTIF(G:G,B6)&gt;1,COUNTA(A6)&gt;0),Relay!$E$5,Relay!$E$4)))</f>
        <v>#N/A</v>
      </c>
      <c r="I6" s="8">
        <f t="shared" si="1"/>
        <v>0</v>
      </c>
      <c r="J6" s="35"/>
      <c r="K6" s="35"/>
      <c r="L6" s="35"/>
      <c r="M6" s="35"/>
      <c r="N6" s="10" t="e">
        <f>IF(H6=July!$E$2,"N",IF(AND(COUNTIF(B:B,B6)=1,D6&gt;14),"Y","N"))</f>
        <v>#N/A</v>
      </c>
      <c r="O6" s="55" t="str">
        <f>IF(COUNT(July[[#This Row],[Date]])&gt;0,IF(July[[#This Row],[Date]]&gt;14,"Yes","No"),"N/A")</f>
        <v>N/A</v>
      </c>
      <c r="P6" s="55"/>
      <c r="Q6" s="5">
        <f>Relay!A5</f>
        <v>0</v>
      </c>
      <c r="R6" s="5">
        <f>Relay!B5</f>
        <v>4</v>
      </c>
      <c r="S6" s="8">
        <f>IF(July[After the 14th?]="No",SUMIF(July[SysID],R6,July[Pay Amount]),0)</f>
        <v>0</v>
      </c>
      <c r="T6" s="8"/>
      <c r="U6" s="5" t="str">
        <f t="shared" si="2"/>
        <v>N</v>
      </c>
      <c r="X6" s="56"/>
      <c r="Y6" s="56"/>
      <c r="Z6" s="56"/>
      <c r="AA6" s="56"/>
      <c r="AC6" s="56"/>
    </row>
    <row r="7" spans="1:30" x14ac:dyDescent="0.25">
      <c r="A7" s="35"/>
      <c r="B7" s="5" t="e">
        <f>VLOOKUP(A7,Relay!$A$1:$B$50,2,FALSE)</f>
        <v>#N/A</v>
      </c>
      <c r="C7" s="5" t="e">
        <f>VLOOKUP(A7,Relay!$A$2:$C$51,3,FALSE)</f>
        <v>#N/A</v>
      </c>
      <c r="D7" s="39"/>
      <c r="E7" s="35"/>
      <c r="F7" s="35" t="str">
        <f t="shared" si="0"/>
        <v>INS</v>
      </c>
      <c r="G7" s="5" t="e">
        <f>IF(OR(E7="Jeopardy",E7="APP Moonlighting",E7="Differential Pay"),"",July[[#This Row],[SysID]])</f>
        <v>#N/A</v>
      </c>
      <c r="H7" s="5" t="e">
        <f>IF(E7="Jeopardy",IF(C7="MD",Relay!$E$7,Relay!$E$8),IF(C7="MD",IF(COUNTIF(G:G,B7)&gt;1,Relay!$E$2,Relay!$E$1),IF(AND(COUNTIF(G:G,B7)&gt;1,COUNTA(A7)&gt;0),Relay!$E$5,Relay!$E$4)))</f>
        <v>#N/A</v>
      </c>
      <c r="I7" s="8">
        <f t="shared" si="1"/>
        <v>0</v>
      </c>
      <c r="J7" s="35"/>
      <c r="K7" s="35"/>
      <c r="L7" s="35"/>
      <c r="M7" s="35"/>
      <c r="N7" s="10" t="e">
        <f>IF(H7=July!$E$2,"N",IF(AND(COUNTIF(B:B,B7)=1,D7&gt;14),"Y","N"))</f>
        <v>#N/A</v>
      </c>
      <c r="O7" s="55" t="str">
        <f>IF(COUNT(July[[#This Row],[Date]])&gt;0,IF(July[[#This Row],[Date]]&gt;14,"Yes","No"),"N/A")</f>
        <v>N/A</v>
      </c>
      <c r="P7" s="55"/>
      <c r="Q7" s="5">
        <f>Relay!A6</f>
        <v>0</v>
      </c>
      <c r="R7" s="5">
        <f>Relay!B6</f>
        <v>5</v>
      </c>
      <c r="S7" s="8">
        <f>IF(July[After the 14th?]="No",SUMIF(July[SysID],R7,July[Pay Amount]),0)</f>
        <v>0</v>
      </c>
      <c r="T7" s="8"/>
      <c r="U7" s="5" t="str">
        <f t="shared" si="2"/>
        <v>N</v>
      </c>
      <c r="X7" s="56"/>
      <c r="Y7" s="56"/>
      <c r="Z7" s="56"/>
      <c r="AA7" s="56"/>
      <c r="AC7" s="56"/>
    </row>
    <row r="8" spans="1:30" x14ac:dyDescent="0.25">
      <c r="A8" s="35"/>
      <c r="B8" s="5" t="e">
        <f>VLOOKUP(A8,Relay!$A$1:$B$50,2,FALSE)</f>
        <v>#N/A</v>
      </c>
      <c r="C8" s="5" t="e">
        <f>VLOOKUP(A8,Relay!$A$2:$C$51,3,FALSE)</f>
        <v>#N/A</v>
      </c>
      <c r="D8" s="39"/>
      <c r="E8" s="35"/>
      <c r="F8" s="35" t="str">
        <f t="shared" si="0"/>
        <v>INS</v>
      </c>
      <c r="G8" s="5" t="e">
        <f>IF(OR(E8="Jeopardy",E8="APP Moonlighting",E8="Differential Pay"),"",July[[#This Row],[SysID]])</f>
        <v>#N/A</v>
      </c>
      <c r="H8" s="5" t="e">
        <f>IF(E8="Jeopardy",IF(C8="MD",Relay!$E$7,Relay!$E$8),IF(C8="MD",IF(COUNTIF(G:G,B8)&gt;1,Relay!$E$2,Relay!$E$1),IF(AND(COUNTIF(G:G,B8)&gt;1,COUNTA(A8)&gt;0),Relay!$E$5,Relay!$E$4)))</f>
        <v>#N/A</v>
      </c>
      <c r="I8" s="8">
        <f t="shared" si="1"/>
        <v>0</v>
      </c>
      <c r="J8" s="35"/>
      <c r="K8" s="35"/>
      <c r="L8" s="35"/>
      <c r="M8" s="35"/>
      <c r="N8" s="10" t="e">
        <f>IF(H8=July!$E$2,"N",IF(AND(COUNTIF(B:B,B8)=1,D8&gt;14),"Y","N"))</f>
        <v>#N/A</v>
      </c>
      <c r="O8" s="55" t="str">
        <f>IF(COUNT(July[[#This Row],[Date]])&gt;0,IF(July[[#This Row],[Date]]&gt;14,"Yes","No"),"N/A")</f>
        <v>N/A</v>
      </c>
      <c r="P8" s="55"/>
      <c r="Q8" s="5">
        <f>Relay!A7</f>
        <v>0</v>
      </c>
      <c r="R8" s="5">
        <f>Relay!B7</f>
        <v>6</v>
      </c>
      <c r="S8" s="8">
        <f>IF(July[After the 14th?]="No",SUMIF(July[SysID],R8,July[Pay Amount]),0)</f>
        <v>0</v>
      </c>
      <c r="T8" s="8"/>
      <c r="U8" s="5" t="str">
        <f t="shared" si="2"/>
        <v>N</v>
      </c>
      <c r="X8" s="56"/>
      <c r="Y8" s="56"/>
      <c r="Z8" s="56"/>
      <c r="AA8" s="56"/>
      <c r="AC8" s="56"/>
    </row>
    <row r="9" spans="1:30" x14ac:dyDescent="0.25">
      <c r="A9" s="35"/>
      <c r="B9" s="5" t="e">
        <f>VLOOKUP(A9,Relay!$A$1:$B$50,2,FALSE)</f>
        <v>#N/A</v>
      </c>
      <c r="C9" s="5" t="e">
        <f>VLOOKUP(A9,Relay!$A$2:$C$51,3,FALSE)</f>
        <v>#N/A</v>
      </c>
      <c r="D9" s="39"/>
      <c r="E9" s="35"/>
      <c r="F9" s="35" t="str">
        <f t="shared" si="0"/>
        <v>INS</v>
      </c>
      <c r="G9" s="5" t="e">
        <f>IF(OR(E9="Jeopardy",E9="APP Moonlighting",E9="Differential Pay"),"",July[[#This Row],[SysID]])</f>
        <v>#N/A</v>
      </c>
      <c r="H9" s="5" t="e">
        <f>IF(E9="Jeopardy",IF(C9="MD",Relay!$E$7,Relay!$E$8),IF(C9="MD",IF(COUNTIF(G:G,B9)&gt;1,Relay!$E$2,Relay!$E$1),IF(AND(COUNTIF(G:G,B9)&gt;1,COUNTA(A9)&gt;0),Relay!$E$5,Relay!$E$4)))</f>
        <v>#N/A</v>
      </c>
      <c r="I9" s="8">
        <f t="shared" si="1"/>
        <v>0</v>
      </c>
      <c r="J9" s="35"/>
      <c r="K9" s="35"/>
      <c r="L9" s="35"/>
      <c r="M9" s="35"/>
      <c r="N9" s="10" t="e">
        <f>IF(H9=July!$E$2,"N",IF(AND(COUNTIF(B:B,B9)=1,D9&gt;14),"Y","N"))</f>
        <v>#N/A</v>
      </c>
      <c r="O9" s="55" t="str">
        <f>IF(COUNT(July[[#This Row],[Date]])&gt;0,IF(July[[#This Row],[Date]]&gt;14,"Yes","No"),"N/A")</f>
        <v>N/A</v>
      </c>
      <c r="P9" s="55"/>
      <c r="Q9" s="5">
        <f>Relay!A8</f>
        <v>0</v>
      </c>
      <c r="R9" s="5">
        <f>Relay!B8</f>
        <v>7</v>
      </c>
      <c r="S9" s="8">
        <f>IF(July[After the 14th?]="No",SUMIF(July[SysID],R9,July[Pay Amount]),0)</f>
        <v>0</v>
      </c>
      <c r="T9" s="8"/>
      <c r="U9" s="5" t="str">
        <f t="shared" si="2"/>
        <v>N</v>
      </c>
      <c r="X9" s="56"/>
      <c r="Y9" s="56"/>
      <c r="Z9" s="56"/>
      <c r="AA9" s="56"/>
      <c r="AC9" s="56"/>
    </row>
    <row r="10" spans="1:30" x14ac:dyDescent="0.25">
      <c r="A10" s="35"/>
      <c r="B10" s="5" t="e">
        <f>VLOOKUP(A10,Relay!$A$1:$B$50,2,FALSE)</f>
        <v>#N/A</v>
      </c>
      <c r="C10" s="5" t="e">
        <f>VLOOKUP(A10,Relay!$A$2:$C$51,3,FALSE)</f>
        <v>#N/A</v>
      </c>
      <c r="D10" s="39"/>
      <c r="E10" s="35"/>
      <c r="F10" s="35" t="str">
        <f t="shared" si="0"/>
        <v>INS</v>
      </c>
      <c r="G10" s="5" t="e">
        <f>IF(OR(E10="Jeopardy",E10="APP Moonlighting",E10="Differential Pay"),"",July[[#This Row],[SysID]])</f>
        <v>#N/A</v>
      </c>
      <c r="H10" s="5" t="e">
        <f>IF(E10="Jeopardy",IF(C10="MD",Relay!$E$7,Relay!$E$8),IF(C10="MD",IF(COUNTIF(G:G,B10)&gt;1,Relay!$E$2,Relay!$E$1),IF(AND(COUNTIF(G:G,B10)&gt;1,COUNTA(A10)&gt;0),Relay!$E$5,Relay!$E$4)))</f>
        <v>#N/A</v>
      </c>
      <c r="I10" s="8">
        <f t="shared" si="1"/>
        <v>0</v>
      </c>
      <c r="J10" s="35"/>
      <c r="K10" s="35"/>
      <c r="L10" s="35"/>
      <c r="M10" s="35"/>
      <c r="N10" s="10" t="e">
        <f>IF(H10=July!$E$2,"N",IF(AND(COUNTIF(B:B,B10)=1,D10&gt;14),"Y","N"))</f>
        <v>#N/A</v>
      </c>
      <c r="O10" s="55" t="str">
        <f>IF(COUNT(July[[#This Row],[Date]])&gt;0,IF(July[[#This Row],[Date]]&gt;14,"Yes","No"),"N/A")</f>
        <v>N/A</v>
      </c>
      <c r="P10" s="55"/>
      <c r="Q10" s="5">
        <f>Relay!A9</f>
        <v>0</v>
      </c>
      <c r="R10" s="5">
        <f>Relay!B9</f>
        <v>8</v>
      </c>
      <c r="S10" s="8">
        <f>IF(July[After the 14th?]="No",SUMIF(July[SysID],R10,July[Pay Amount]),0)</f>
        <v>0</v>
      </c>
      <c r="T10" s="8"/>
      <c r="U10" s="5" t="str">
        <f t="shared" si="2"/>
        <v>N</v>
      </c>
      <c r="X10" s="56"/>
      <c r="Y10" s="56"/>
      <c r="Z10" s="56"/>
      <c r="AA10" s="56"/>
      <c r="AC10" s="56"/>
    </row>
    <row r="11" spans="1:30" x14ac:dyDescent="0.25">
      <c r="A11" s="35"/>
      <c r="B11" s="5" t="e">
        <f>VLOOKUP(A11,Relay!$A$1:$B$50,2,FALSE)</f>
        <v>#N/A</v>
      </c>
      <c r="C11" s="5" t="e">
        <f>VLOOKUP(A11,Relay!$A$2:$C$51,3,FALSE)</f>
        <v>#N/A</v>
      </c>
      <c r="D11" s="39"/>
      <c r="E11" s="35"/>
      <c r="F11" s="35" t="str">
        <f t="shared" si="0"/>
        <v>INS</v>
      </c>
      <c r="G11" s="5" t="e">
        <f>IF(OR(E11="Jeopardy",E11="APP Moonlighting",E11="Differential Pay"),"",July[[#This Row],[SysID]])</f>
        <v>#N/A</v>
      </c>
      <c r="H11" s="5" t="e">
        <f>IF(E11="Jeopardy",IF(C11="MD",Relay!$E$7,Relay!$E$8),IF(C11="MD",IF(COUNTIF(G:G,B11)&gt;1,Relay!$E$2,Relay!$E$1),IF(AND(COUNTIF(G:G,B11)&gt;1,COUNTA(A11)&gt;0),Relay!$E$5,Relay!$E$4)))</f>
        <v>#N/A</v>
      </c>
      <c r="I11" s="8">
        <f t="shared" si="1"/>
        <v>0</v>
      </c>
      <c r="J11" s="35"/>
      <c r="K11" s="35"/>
      <c r="L11" s="35"/>
      <c r="M11" s="35"/>
      <c r="N11" s="10" t="e">
        <f>IF(H11=July!$E$2,"N",IF(AND(COUNTIF(B:B,B11)=1,D11&gt;14),"Y","N"))</f>
        <v>#N/A</v>
      </c>
      <c r="O11" s="55" t="str">
        <f>IF(COUNT(July[[#This Row],[Date]])&gt;0,IF(July[[#This Row],[Date]]&gt;14,"Yes","No"),"N/A")</f>
        <v>N/A</v>
      </c>
      <c r="P11" s="55"/>
      <c r="Q11" s="5">
        <f>Relay!A10</f>
        <v>0</v>
      </c>
      <c r="R11" s="5">
        <f>Relay!B10</f>
        <v>9</v>
      </c>
      <c r="S11" s="8">
        <f>IF(July[After the 14th?]="No",SUMIF(July[SysID],R11,July[Pay Amount]),0)</f>
        <v>0</v>
      </c>
      <c r="T11" s="8"/>
      <c r="U11" s="5" t="str">
        <f t="shared" si="2"/>
        <v>N</v>
      </c>
      <c r="X11" s="56"/>
      <c r="Y11" s="56"/>
      <c r="Z11" s="56"/>
      <c r="AA11" s="56"/>
      <c r="AC11" s="56"/>
    </row>
    <row r="12" spans="1:30" x14ac:dyDescent="0.25">
      <c r="A12" s="35"/>
      <c r="B12" s="5" t="e">
        <f>VLOOKUP(A12,Relay!$A$1:$B$50,2,FALSE)</f>
        <v>#N/A</v>
      </c>
      <c r="C12" s="5" t="e">
        <f>VLOOKUP(A12,Relay!$A$2:$C$51,3,FALSE)</f>
        <v>#N/A</v>
      </c>
      <c r="D12" s="39"/>
      <c r="E12" s="35"/>
      <c r="F12" s="35" t="str">
        <f t="shared" si="0"/>
        <v>INS</v>
      </c>
      <c r="G12" s="5" t="e">
        <f>IF(OR(E12="Jeopardy",E12="APP Moonlighting",E12="Differential Pay"),"",July[[#This Row],[SysID]])</f>
        <v>#N/A</v>
      </c>
      <c r="H12" s="5" t="e">
        <f>IF(E12="Jeopardy",IF(C12="MD",Relay!$E$7,Relay!$E$8),IF(C12="MD",IF(COUNTIF(G:G,B12)&gt;1,Relay!$E$2,Relay!$E$1),IF(AND(COUNTIF(G:G,B12)&gt;1,COUNTA(A12)&gt;0),Relay!$E$5,Relay!$E$4)))</f>
        <v>#N/A</v>
      </c>
      <c r="I12" s="8">
        <f t="shared" si="1"/>
        <v>0</v>
      </c>
      <c r="J12" s="35"/>
      <c r="K12" s="35"/>
      <c r="L12" s="35"/>
      <c r="M12" s="35"/>
      <c r="N12" s="10" t="e">
        <f>IF(H12=July!$E$2,"N",IF(AND(COUNTIF(B:B,B12)=1,D12&gt;14),"Y","N"))</f>
        <v>#N/A</v>
      </c>
      <c r="O12" s="55" t="str">
        <f>IF(COUNT(July[[#This Row],[Date]])&gt;0,IF(July[[#This Row],[Date]]&gt;14,"Yes","No"),"N/A")</f>
        <v>N/A</v>
      </c>
      <c r="P12" s="55"/>
      <c r="Q12" s="5">
        <f>Relay!A11</f>
        <v>0</v>
      </c>
      <c r="R12" s="5">
        <f>Relay!B11</f>
        <v>10</v>
      </c>
      <c r="S12" s="8">
        <f>IF(July[After the 14th?]="No",SUMIF(July[SysID],R12,July[Pay Amount]),0)</f>
        <v>0</v>
      </c>
      <c r="T12" s="8"/>
      <c r="U12" s="5" t="str">
        <f t="shared" si="2"/>
        <v>N</v>
      </c>
      <c r="X12" s="56"/>
      <c r="Y12" s="56"/>
      <c r="Z12" s="56"/>
      <c r="AA12" s="56"/>
      <c r="AC12" s="56"/>
    </row>
    <row r="13" spans="1:30" x14ac:dyDescent="0.25">
      <c r="A13" s="35"/>
      <c r="B13" s="5" t="e">
        <f>VLOOKUP(A13,Relay!$A$1:$B$50,2,FALSE)</f>
        <v>#N/A</v>
      </c>
      <c r="C13" s="5" t="e">
        <f>VLOOKUP(A13,Relay!$A$2:$C$51,3,FALSE)</f>
        <v>#N/A</v>
      </c>
      <c r="D13" s="39"/>
      <c r="E13" s="35"/>
      <c r="F13" s="35" t="str">
        <f t="shared" si="0"/>
        <v>INS</v>
      </c>
      <c r="G13" s="5" t="e">
        <f>IF(OR(E13="Jeopardy",E13="APP Moonlighting",E13="Differential Pay"),"",July[[#This Row],[SysID]])</f>
        <v>#N/A</v>
      </c>
      <c r="H13" s="5" t="e">
        <f>IF(E13="Jeopardy",IF(C13="MD",Relay!$E$7,Relay!$E$8),IF(C13="MD",IF(COUNTIF(G:G,B13)&gt;1,Relay!$E$2,Relay!$E$1),IF(AND(COUNTIF(G:G,B13)&gt;1,COUNTA(A13)&gt;0),Relay!$E$5,Relay!$E$4)))</f>
        <v>#N/A</v>
      </c>
      <c r="I13" s="8">
        <f t="shared" si="1"/>
        <v>0</v>
      </c>
      <c r="J13" s="35"/>
      <c r="K13" s="35"/>
      <c r="L13" s="35"/>
      <c r="M13" s="35"/>
      <c r="N13" s="10" t="e">
        <f>IF(H13=July!$E$2,"N",IF(AND(COUNTIF(B:B,B13)=1,D13&gt;14),"Y","N"))</f>
        <v>#N/A</v>
      </c>
      <c r="O13" s="55" t="str">
        <f>IF(COUNT(July[[#This Row],[Date]])&gt;0,IF(July[[#This Row],[Date]]&gt;14,"Yes","No"),"N/A")</f>
        <v>N/A</v>
      </c>
      <c r="P13" s="55"/>
      <c r="Q13" s="5">
        <f>Relay!A12</f>
        <v>0</v>
      </c>
      <c r="R13" s="5">
        <f>Relay!B12</f>
        <v>11</v>
      </c>
      <c r="S13" s="8">
        <f>IF(July[After the 14th?]="No",SUMIF(July[SysID],R13,July[Pay Amount]),0)</f>
        <v>0</v>
      </c>
      <c r="T13" s="8"/>
      <c r="U13" s="5" t="str">
        <f t="shared" si="2"/>
        <v>N</v>
      </c>
      <c r="X13" s="56"/>
      <c r="Y13" s="56"/>
      <c r="Z13" s="56"/>
      <c r="AA13" s="56"/>
      <c r="AC13" s="56"/>
    </row>
    <row r="14" spans="1:30" x14ac:dyDescent="0.25">
      <c r="A14" s="35"/>
      <c r="B14" s="5" t="e">
        <f>VLOOKUP(A14,Relay!$A$1:$B$50,2,FALSE)</f>
        <v>#N/A</v>
      </c>
      <c r="C14" s="5" t="e">
        <f>VLOOKUP(A14,Relay!$A$2:$C$51,3,FALSE)</f>
        <v>#N/A</v>
      </c>
      <c r="D14" s="39"/>
      <c r="E14" s="35"/>
      <c r="F14" s="35" t="str">
        <f t="shared" si="0"/>
        <v>INS</v>
      </c>
      <c r="G14" s="5" t="e">
        <f>IF(OR(E14="Jeopardy",E14="APP Moonlighting",E14="Differential Pay"),"",July[[#This Row],[SysID]])</f>
        <v>#N/A</v>
      </c>
      <c r="H14" s="5" t="e">
        <f>IF(E14="Jeopardy",IF(C14="MD",Relay!$E$7,Relay!$E$8),IF(C14="MD",IF(COUNTIF(G:G,B14)&gt;1,Relay!$E$2,Relay!$E$1),IF(AND(COUNTIF(G:G,B14)&gt;1,COUNTA(A14)&gt;0),Relay!$E$5,Relay!$E$4)))</f>
        <v>#N/A</v>
      </c>
      <c r="I14" s="8">
        <f t="shared" si="1"/>
        <v>0</v>
      </c>
      <c r="J14" s="35"/>
      <c r="K14" s="35"/>
      <c r="L14" s="35"/>
      <c r="M14" s="35"/>
      <c r="N14" s="10" t="e">
        <f>IF(H14=July!$E$2,"N",IF(AND(COUNTIF(B:B,B14)=1,D14&gt;14),"Y","N"))</f>
        <v>#N/A</v>
      </c>
      <c r="O14" s="55" t="str">
        <f>IF(COUNT(July[[#This Row],[Date]])&gt;0,IF(July[[#This Row],[Date]]&gt;14,"Yes","No"),"N/A")</f>
        <v>N/A</v>
      </c>
      <c r="P14" s="55"/>
      <c r="Q14" s="5">
        <f>Relay!A13</f>
        <v>0</v>
      </c>
      <c r="R14" s="5">
        <f>Relay!B13</f>
        <v>12</v>
      </c>
      <c r="S14" s="8">
        <f>IF(July[After the 14th?]="No",SUMIF(July[SysID],R14,July[Pay Amount]),0)</f>
        <v>0</v>
      </c>
      <c r="T14" s="8"/>
      <c r="U14" s="5" t="str">
        <f t="shared" si="2"/>
        <v>N</v>
      </c>
      <c r="X14" s="56"/>
      <c r="Y14" s="56"/>
      <c r="Z14" s="56"/>
      <c r="AA14" s="56"/>
      <c r="AC14" s="56"/>
    </row>
    <row r="15" spans="1:30" x14ac:dyDescent="0.25">
      <c r="A15" s="35"/>
      <c r="B15" s="5" t="e">
        <f>VLOOKUP(A15,Relay!$A$1:$B$50,2,FALSE)</f>
        <v>#N/A</v>
      </c>
      <c r="C15" s="5" t="e">
        <f>VLOOKUP(A15,Relay!$A$2:$C$51,3,FALSE)</f>
        <v>#N/A</v>
      </c>
      <c r="D15" s="39"/>
      <c r="E15" s="35"/>
      <c r="F15" s="35" t="str">
        <f t="shared" si="0"/>
        <v>INS</v>
      </c>
      <c r="G15" s="5" t="e">
        <f>IF(OR(E15="Jeopardy",E15="APP Moonlighting",E15="Differential Pay"),"",July[[#This Row],[SysID]])</f>
        <v>#N/A</v>
      </c>
      <c r="H15" s="5" t="e">
        <f>IF(E15="Jeopardy",IF(C15="MD",Relay!$E$7,Relay!$E$8),IF(C15="MD",IF(COUNTIF(G:G,B15)&gt;1,Relay!$E$2,Relay!$E$1),IF(AND(COUNTIF(G:G,B15)&gt;1,COUNTA(A15)&gt;0),Relay!$E$5,Relay!$E$4)))</f>
        <v>#N/A</v>
      </c>
      <c r="I15" s="8">
        <f t="shared" si="1"/>
        <v>0</v>
      </c>
      <c r="J15" s="35"/>
      <c r="K15" s="35"/>
      <c r="L15" s="35"/>
      <c r="M15" s="35"/>
      <c r="N15" s="10" t="e">
        <f>IF(H15=July!$E$2,"N",IF(AND(COUNTIF(B:B,B15)=1,D15&gt;14),"Y","N"))</f>
        <v>#N/A</v>
      </c>
      <c r="O15" s="55" t="str">
        <f>IF(COUNT(July[[#This Row],[Date]])&gt;0,IF(July[[#This Row],[Date]]&gt;14,"Yes","No"),"N/A")</f>
        <v>N/A</v>
      </c>
      <c r="P15" s="55"/>
      <c r="Q15" s="5">
        <f>Relay!A14</f>
        <v>0</v>
      </c>
      <c r="R15" s="5">
        <f>Relay!B14</f>
        <v>13</v>
      </c>
      <c r="S15" s="8">
        <f>IF(July[After the 14th?]="No",SUMIF(July[SysID],R15,July[Pay Amount]),0)</f>
        <v>0</v>
      </c>
      <c r="T15" s="8"/>
      <c r="U15" s="5" t="str">
        <f t="shared" si="2"/>
        <v>N</v>
      </c>
      <c r="X15" s="56"/>
      <c r="Y15" s="56"/>
      <c r="Z15" s="56"/>
      <c r="AA15" s="56"/>
      <c r="AC15" s="56"/>
    </row>
    <row r="16" spans="1:30" x14ac:dyDescent="0.25">
      <c r="A16" s="35"/>
      <c r="B16" s="5" t="e">
        <f>VLOOKUP(A16,Relay!$A$1:$B$50,2,FALSE)</f>
        <v>#N/A</v>
      </c>
      <c r="C16" s="5" t="e">
        <f>VLOOKUP(A16,Relay!$A$2:$C$51,3,FALSE)</f>
        <v>#N/A</v>
      </c>
      <c r="D16" s="39"/>
      <c r="E16" s="35"/>
      <c r="F16" s="35" t="str">
        <f t="shared" si="0"/>
        <v>INS</v>
      </c>
      <c r="G16" s="5" t="e">
        <f>IF(OR(E16="Jeopardy",E16="APP Moonlighting",E16="Differential Pay"),"",July[[#This Row],[SysID]])</f>
        <v>#N/A</v>
      </c>
      <c r="H16" s="5" t="e">
        <f>IF(E16="Jeopardy",IF(C16="MD",Relay!$E$7,Relay!$E$8),IF(C16="MD",IF(COUNTIF(G:G,B16)&gt;1,Relay!$E$2,Relay!$E$1),IF(AND(COUNTIF(G:G,B16)&gt;1,COUNTA(A16)&gt;0),Relay!$E$5,Relay!$E$4)))</f>
        <v>#N/A</v>
      </c>
      <c r="I16" s="8">
        <f t="shared" si="1"/>
        <v>0</v>
      </c>
      <c r="J16" s="35"/>
      <c r="K16" s="35"/>
      <c r="L16" s="35"/>
      <c r="M16" s="35"/>
      <c r="N16" s="10" t="e">
        <f>IF(H16=July!$E$2,"N",IF(AND(COUNTIF(B:B,B16)=1,D16&gt;14),"Y","N"))</f>
        <v>#N/A</v>
      </c>
      <c r="O16" s="55" t="str">
        <f>IF(COUNT(July[[#This Row],[Date]])&gt;0,IF(July[[#This Row],[Date]]&gt;14,"Yes","No"),"N/A")</f>
        <v>N/A</v>
      </c>
      <c r="P16" s="55"/>
      <c r="Q16" s="5">
        <f>Relay!A15</f>
        <v>0</v>
      </c>
      <c r="R16" s="5">
        <f>Relay!B15</f>
        <v>14</v>
      </c>
      <c r="S16" s="8">
        <f>IF(July[After the 14th?]="No",SUMIF(July[SysID],R16,July[Pay Amount]),0)</f>
        <v>0</v>
      </c>
      <c r="T16" s="8"/>
      <c r="U16" s="5" t="str">
        <f t="shared" si="2"/>
        <v>N</v>
      </c>
      <c r="X16" s="56"/>
      <c r="Y16" s="56"/>
      <c r="Z16" s="56"/>
      <c r="AA16" s="56"/>
      <c r="AC16" s="56"/>
    </row>
    <row r="17" spans="1:29" x14ac:dyDescent="0.25">
      <c r="A17" s="35"/>
      <c r="B17" s="5" t="e">
        <f>VLOOKUP(A17,Relay!$A$1:$B$50,2,FALSE)</f>
        <v>#N/A</v>
      </c>
      <c r="C17" s="5" t="e">
        <f>VLOOKUP(A17,Relay!$A$2:$C$51,3,FALSE)</f>
        <v>#N/A</v>
      </c>
      <c r="D17" s="39"/>
      <c r="E17" s="35"/>
      <c r="F17" s="35" t="str">
        <f t="shared" si="0"/>
        <v>INS</v>
      </c>
      <c r="G17" s="5" t="e">
        <f>IF(OR(E17="Jeopardy",E17="APP Moonlighting",E17="Differential Pay"),"",July[[#This Row],[SysID]])</f>
        <v>#N/A</v>
      </c>
      <c r="H17" s="5" t="e">
        <f>IF(E17="Jeopardy",IF(C17="MD",Relay!$E$7,Relay!$E$8),IF(C17="MD",IF(COUNTIF(G:G,B17)&gt;1,Relay!$E$2,Relay!$E$1),IF(AND(COUNTIF(G:G,B17)&gt;1,COUNTA(A17)&gt;0),Relay!$E$5,Relay!$E$4)))</f>
        <v>#N/A</v>
      </c>
      <c r="I17" s="8">
        <f t="shared" si="1"/>
        <v>0</v>
      </c>
      <c r="J17" s="35"/>
      <c r="K17" s="35"/>
      <c r="L17" s="35"/>
      <c r="M17" s="35"/>
      <c r="N17" s="10" t="e">
        <f>IF(H17=July!$E$2,"N",IF(AND(COUNTIF(B:B,B17)=1,D17&gt;14),"Y","N"))</f>
        <v>#N/A</v>
      </c>
      <c r="O17" s="55" t="str">
        <f>IF(COUNT(July[[#This Row],[Date]])&gt;0,IF(July[[#This Row],[Date]]&gt;14,"Yes","No"),"N/A")</f>
        <v>N/A</v>
      </c>
      <c r="P17" s="55"/>
      <c r="Q17" s="5">
        <f>Relay!A16</f>
        <v>0</v>
      </c>
      <c r="R17" s="5">
        <f>Relay!B16</f>
        <v>15</v>
      </c>
      <c r="S17" s="8">
        <f>IF(July[After the 14th?]="No",SUMIF(July[SysID],R17,July[Pay Amount]),0)</f>
        <v>0</v>
      </c>
      <c r="T17" s="8"/>
      <c r="U17" s="5" t="str">
        <f t="shared" si="2"/>
        <v>N</v>
      </c>
      <c r="X17" s="56"/>
      <c r="Y17" s="56"/>
      <c r="Z17" s="56"/>
      <c r="AA17" s="56"/>
      <c r="AC17" s="56"/>
    </row>
    <row r="18" spans="1:29" x14ac:dyDescent="0.25">
      <c r="A18" s="35"/>
      <c r="B18" s="5" t="e">
        <f>VLOOKUP(A18,Relay!$A$1:$B$50,2,FALSE)</f>
        <v>#N/A</v>
      </c>
      <c r="C18" s="5" t="e">
        <f>VLOOKUP(A18,Relay!$A$2:$C$51,3,FALSE)</f>
        <v>#N/A</v>
      </c>
      <c r="D18" s="39"/>
      <c r="E18" s="35"/>
      <c r="F18" s="35" t="str">
        <f t="shared" si="0"/>
        <v>INS</v>
      </c>
      <c r="G18" s="5" t="e">
        <f>IF(OR(E18="Jeopardy",E18="APP Moonlighting",E18="Differential Pay"),"",July[[#This Row],[SysID]])</f>
        <v>#N/A</v>
      </c>
      <c r="H18" s="5" t="e">
        <f>IF(E18="Jeopardy",IF(C18="MD",Relay!$E$7,Relay!$E$8),IF(C18="MD",IF(COUNTIF(G:G,B18)&gt;1,Relay!$E$2,Relay!$E$1),IF(AND(COUNTIF(G:G,B18)&gt;1,COUNTA(A18)&gt;0),Relay!$E$5,Relay!$E$4)))</f>
        <v>#N/A</v>
      </c>
      <c r="I18" s="8">
        <f t="shared" si="1"/>
        <v>0</v>
      </c>
      <c r="J18" s="35"/>
      <c r="K18" s="35"/>
      <c r="L18" s="35"/>
      <c r="M18" s="35"/>
      <c r="N18" s="10" t="e">
        <f>IF(H18=July!$E$2,"N",IF(AND(COUNTIF(B:B,B18)=1,D18&gt;14),"Y","N"))</f>
        <v>#N/A</v>
      </c>
      <c r="O18" s="55" t="str">
        <f>IF(COUNT(July[[#This Row],[Date]])&gt;0,IF(July[[#This Row],[Date]]&gt;14,"Yes","No"),"N/A")</f>
        <v>N/A</v>
      </c>
      <c r="P18" s="55"/>
      <c r="Q18" s="5">
        <f>Relay!A17</f>
        <v>0</v>
      </c>
      <c r="R18" s="5">
        <f>Relay!B17</f>
        <v>16</v>
      </c>
      <c r="S18" s="8">
        <f>IF(July[After the 14th?]="No",SUMIF(July[SysID],R18,July[Pay Amount]),0)</f>
        <v>0</v>
      </c>
      <c r="T18" s="8"/>
      <c r="U18" s="5" t="str">
        <f t="shared" si="2"/>
        <v>N</v>
      </c>
      <c r="X18" s="56"/>
      <c r="Y18" s="56"/>
      <c r="Z18" s="56"/>
      <c r="AA18" s="56"/>
      <c r="AC18" s="56"/>
    </row>
    <row r="19" spans="1:29" x14ac:dyDescent="0.25">
      <c r="A19" s="35"/>
      <c r="B19" s="5" t="e">
        <f>VLOOKUP(A19,Relay!$A$1:$B$50,2,FALSE)</f>
        <v>#N/A</v>
      </c>
      <c r="C19" s="5" t="e">
        <f>VLOOKUP(A19,Relay!$A$2:$C$51,3,FALSE)</f>
        <v>#N/A</v>
      </c>
      <c r="D19" s="39"/>
      <c r="E19" s="35"/>
      <c r="F19" s="35" t="str">
        <f t="shared" si="0"/>
        <v>INS</v>
      </c>
      <c r="G19" s="5" t="e">
        <f>IF(OR(E19="Jeopardy",E19="APP Moonlighting",E19="Differential Pay"),"",July[[#This Row],[SysID]])</f>
        <v>#N/A</v>
      </c>
      <c r="H19" s="5" t="e">
        <f>IF(E19="Jeopardy",IF(C19="MD",Relay!$E$7,Relay!$E$8),IF(C19="MD",IF(COUNTIF(G:G,B19)&gt;1,Relay!$E$2,Relay!$E$1),IF(AND(COUNTIF(G:G,B19)&gt;1,COUNTA(A19)&gt;0),Relay!$E$5,Relay!$E$4)))</f>
        <v>#N/A</v>
      </c>
      <c r="I19" s="8">
        <f t="shared" si="1"/>
        <v>0</v>
      </c>
      <c r="J19" s="35"/>
      <c r="K19" s="35"/>
      <c r="L19" s="35"/>
      <c r="M19" s="35"/>
      <c r="N19" s="10" t="e">
        <f>IF(H19=July!$E$2,"N",IF(AND(COUNTIF(B:B,B19)=1,D19&gt;14),"Y","N"))</f>
        <v>#N/A</v>
      </c>
      <c r="O19" s="55" t="str">
        <f>IF(COUNT(July[[#This Row],[Date]])&gt;0,IF(July[[#This Row],[Date]]&gt;14,"Yes","No"),"N/A")</f>
        <v>N/A</v>
      </c>
      <c r="P19" s="55"/>
      <c r="Q19" s="5">
        <f>Relay!A18</f>
        <v>0</v>
      </c>
      <c r="R19" s="5">
        <f>Relay!B18</f>
        <v>17</v>
      </c>
      <c r="S19" s="8">
        <f>IF(July[After the 14th?]="No",SUMIF(July[SysID],R19,July[Pay Amount]),0)</f>
        <v>0</v>
      </c>
      <c r="T19" s="8"/>
      <c r="U19" s="5" t="str">
        <f t="shared" si="2"/>
        <v>N</v>
      </c>
      <c r="X19" s="56"/>
      <c r="Y19" s="56"/>
      <c r="Z19" s="56"/>
      <c r="AA19" s="56"/>
      <c r="AC19" s="56"/>
    </row>
    <row r="20" spans="1:29" x14ac:dyDescent="0.25">
      <c r="A20" s="35"/>
      <c r="B20" s="5" t="e">
        <f>VLOOKUP(A20,Relay!$A$1:$B$50,2,FALSE)</f>
        <v>#N/A</v>
      </c>
      <c r="C20" s="5" t="e">
        <f>VLOOKUP(A20,Relay!$A$2:$C$51,3,FALSE)</f>
        <v>#N/A</v>
      </c>
      <c r="D20" s="39"/>
      <c r="E20" s="35"/>
      <c r="F20" s="35" t="str">
        <f t="shared" si="0"/>
        <v>INS</v>
      </c>
      <c r="G20" s="5" t="e">
        <f>IF(OR(E20="Jeopardy",E20="APP Moonlighting",E20="Differential Pay"),"",July[[#This Row],[SysID]])</f>
        <v>#N/A</v>
      </c>
      <c r="H20" s="5" t="e">
        <f>IF(E20="Jeopardy",IF(C20="MD",Relay!$E$7,Relay!$E$8),IF(C20="MD",IF(COUNTIF(G:G,B20)&gt;1,Relay!$E$2,Relay!$E$1),IF(AND(COUNTIF(G:G,B20)&gt;1,COUNTA(A20)&gt;0),Relay!$E$5,Relay!$E$4)))</f>
        <v>#N/A</v>
      </c>
      <c r="I20" s="8">
        <f t="shared" si="1"/>
        <v>0</v>
      </c>
      <c r="J20" s="35"/>
      <c r="K20" s="35"/>
      <c r="L20" s="35"/>
      <c r="M20" s="35"/>
      <c r="N20" s="10" t="e">
        <f>IF(H20=July!$E$2,"N",IF(AND(COUNTIF(B:B,B20)=1,D20&gt;14),"Y","N"))</f>
        <v>#N/A</v>
      </c>
      <c r="O20" s="55" t="str">
        <f>IF(COUNT(July[[#This Row],[Date]])&gt;0,IF(July[[#This Row],[Date]]&gt;14,"Yes","No"),"N/A")</f>
        <v>N/A</v>
      </c>
      <c r="P20" s="55"/>
      <c r="Q20" s="5">
        <f>Relay!A19</f>
        <v>0</v>
      </c>
      <c r="R20" s="5">
        <f>Relay!B19</f>
        <v>18</v>
      </c>
      <c r="S20" s="8">
        <f>IF(July[After the 14th?]="No",SUMIF(July[SysID],R20,July[Pay Amount]),0)</f>
        <v>0</v>
      </c>
      <c r="T20" s="8"/>
      <c r="U20" s="5" t="str">
        <f t="shared" si="2"/>
        <v>N</v>
      </c>
      <c r="X20" s="56"/>
      <c r="Y20" s="56"/>
      <c r="Z20" s="56"/>
      <c r="AA20" s="56"/>
      <c r="AC20" s="56"/>
    </row>
    <row r="21" spans="1:29" x14ac:dyDescent="0.25">
      <c r="A21" s="35"/>
      <c r="B21" s="5" t="e">
        <f>VLOOKUP(A21,Relay!$A$1:$B$50,2,FALSE)</f>
        <v>#N/A</v>
      </c>
      <c r="C21" s="5" t="e">
        <f>VLOOKUP(A21,Relay!$A$2:$C$51,3,FALSE)</f>
        <v>#N/A</v>
      </c>
      <c r="D21" s="39"/>
      <c r="E21" s="35"/>
      <c r="F21" s="35" t="str">
        <f t="shared" si="0"/>
        <v>INS</v>
      </c>
      <c r="G21" s="5" t="e">
        <f>IF(OR(E21="Jeopardy",E21="APP Moonlighting",E21="Differential Pay"),"",July[[#This Row],[SysID]])</f>
        <v>#N/A</v>
      </c>
      <c r="H21" s="5" t="e">
        <f>IF(E21="Jeopardy",IF(C21="MD",Relay!$E$7,Relay!$E$8),IF(C21="MD",IF(COUNTIF(G:G,B21)&gt;1,Relay!$E$2,Relay!$E$1),IF(AND(COUNTIF(G:G,B21)&gt;1,COUNTA(A21)&gt;0),Relay!$E$5,Relay!$E$4)))</f>
        <v>#N/A</v>
      </c>
      <c r="I21" s="8">
        <f t="shared" si="1"/>
        <v>0</v>
      </c>
      <c r="J21" s="35"/>
      <c r="K21" s="35"/>
      <c r="L21" s="35"/>
      <c r="M21" s="35"/>
      <c r="N21" s="10" t="e">
        <f>IF(H21=July!$E$2,"N",IF(AND(COUNTIF(B:B,B21)=1,D21&gt;14),"Y","N"))</f>
        <v>#N/A</v>
      </c>
      <c r="O21" s="55" t="str">
        <f>IF(COUNT(July[[#This Row],[Date]])&gt;0,IF(July[[#This Row],[Date]]&gt;14,"Yes","No"),"N/A")</f>
        <v>N/A</v>
      </c>
      <c r="P21" s="55"/>
      <c r="Q21" s="5">
        <f>Relay!A20</f>
        <v>0</v>
      </c>
      <c r="R21" s="5">
        <f>Relay!B20</f>
        <v>19</v>
      </c>
      <c r="S21" s="8">
        <f>IF(July[After the 14th?]="No",SUMIF(July[SysID],R21,July[Pay Amount]),0)</f>
        <v>0</v>
      </c>
      <c r="T21" s="8"/>
      <c r="U21" s="5" t="str">
        <f t="shared" si="2"/>
        <v>N</v>
      </c>
      <c r="X21" s="56"/>
      <c r="Y21" s="56"/>
      <c r="Z21" s="56"/>
      <c r="AA21" s="56"/>
      <c r="AC21" s="56"/>
    </row>
    <row r="22" spans="1:29" x14ac:dyDescent="0.25">
      <c r="A22" s="35"/>
      <c r="B22" s="5" t="e">
        <f>VLOOKUP(A22,Relay!$A$1:$B$50,2,FALSE)</f>
        <v>#N/A</v>
      </c>
      <c r="C22" s="5" t="e">
        <f>VLOOKUP(A22,Relay!$A$2:$C$51,3,FALSE)</f>
        <v>#N/A</v>
      </c>
      <c r="D22" s="39"/>
      <c r="E22" s="35"/>
      <c r="F22" s="35" t="str">
        <f t="shared" si="0"/>
        <v>INS</v>
      </c>
      <c r="G22" s="5" t="e">
        <f>IF(OR(E22="Jeopardy",E22="APP Moonlighting",E22="Differential Pay"),"",July[[#This Row],[SysID]])</f>
        <v>#N/A</v>
      </c>
      <c r="H22" s="5" t="e">
        <f>IF(E22="Jeopardy",IF(C22="MD",Relay!$E$7,Relay!$E$8),IF(C22="MD",IF(COUNTIF(G:G,B22)&gt;1,Relay!$E$2,Relay!$E$1),IF(AND(COUNTIF(G:G,B22)&gt;1,COUNTA(A22)&gt;0),Relay!$E$5,Relay!$E$4)))</f>
        <v>#N/A</v>
      </c>
      <c r="I22" s="8">
        <f t="shared" si="1"/>
        <v>0</v>
      </c>
      <c r="J22" s="35"/>
      <c r="K22" s="35"/>
      <c r="L22" s="35"/>
      <c r="M22" s="35"/>
      <c r="N22" s="10" t="e">
        <f>IF(H22=July!$E$2,"N",IF(AND(COUNTIF(B:B,B22)=1,D22&gt;14),"Y","N"))</f>
        <v>#N/A</v>
      </c>
      <c r="O22" s="55" t="str">
        <f>IF(COUNT(July[[#This Row],[Date]])&gt;0,IF(July[[#This Row],[Date]]&gt;14,"Yes","No"),"N/A")</f>
        <v>N/A</v>
      </c>
      <c r="P22" s="55"/>
      <c r="Q22" s="5">
        <f>Relay!A21</f>
        <v>0</v>
      </c>
      <c r="R22" s="5">
        <f>Relay!B21</f>
        <v>20</v>
      </c>
      <c r="S22" s="8">
        <f>IF(July[After the 14th?]="No",SUMIF(July[SysID],R22,July[Pay Amount]),0)</f>
        <v>0</v>
      </c>
      <c r="T22" s="8"/>
      <c r="U22" s="5" t="str">
        <f t="shared" si="2"/>
        <v>N</v>
      </c>
      <c r="X22" s="56"/>
      <c r="Y22" s="56"/>
      <c r="Z22" s="56"/>
      <c r="AA22" s="56"/>
      <c r="AC22" s="56"/>
    </row>
    <row r="23" spans="1:29" x14ac:dyDescent="0.25">
      <c r="A23" s="35"/>
      <c r="B23" s="5" t="e">
        <f>VLOOKUP(A23,Relay!$A$1:$B$50,2,FALSE)</f>
        <v>#N/A</v>
      </c>
      <c r="C23" s="5" t="e">
        <f>VLOOKUP(A23,Relay!$A$2:$C$51,3,FALSE)</f>
        <v>#N/A</v>
      </c>
      <c r="D23" s="39"/>
      <c r="E23" s="35"/>
      <c r="F23" s="35" t="str">
        <f t="shared" si="0"/>
        <v>INS</v>
      </c>
      <c r="G23" s="5" t="e">
        <f>IF(OR(E23="Jeopardy",E23="APP Moonlighting",E23="Differential Pay"),"",July[[#This Row],[SysID]])</f>
        <v>#N/A</v>
      </c>
      <c r="H23" s="5" t="e">
        <f>IF(E23="Jeopardy",IF(C23="MD",Relay!$E$7,Relay!$E$8),IF(C23="MD",IF(COUNTIF(G:G,B23)&gt;1,Relay!$E$2,Relay!$E$1),IF(AND(COUNTIF(G:G,B23)&gt;1,COUNTA(A23)&gt;0),Relay!$E$5,Relay!$E$4)))</f>
        <v>#N/A</v>
      </c>
      <c r="I23" s="8">
        <f t="shared" si="1"/>
        <v>0</v>
      </c>
      <c r="J23" s="35"/>
      <c r="K23" s="35"/>
      <c r="L23" s="35"/>
      <c r="M23" s="35"/>
      <c r="N23" s="10" t="e">
        <f>IF(H23=July!$E$2,"N",IF(AND(COUNTIF(B:B,B23)=1,D23&gt;14),"Y","N"))</f>
        <v>#N/A</v>
      </c>
      <c r="O23" s="55" t="str">
        <f>IF(COUNT(July[[#This Row],[Date]])&gt;0,IF(July[[#This Row],[Date]]&gt;14,"Yes","No"),"N/A")</f>
        <v>N/A</v>
      </c>
      <c r="P23" s="55"/>
      <c r="Q23" s="5">
        <f>Relay!A22</f>
        <v>0</v>
      </c>
      <c r="R23" s="5">
        <f>Relay!B22</f>
        <v>21</v>
      </c>
      <c r="S23" s="8">
        <f>IF(July[After the 14th?]="No",SUMIF(July[SysID],R23,July[Pay Amount]),0)</f>
        <v>0</v>
      </c>
      <c r="T23" s="8"/>
      <c r="U23" s="5" t="str">
        <f t="shared" si="2"/>
        <v>N</v>
      </c>
      <c r="X23" s="56"/>
      <c r="Y23" s="56"/>
      <c r="Z23" s="56"/>
      <c r="AA23" s="56"/>
      <c r="AC23" s="56"/>
    </row>
    <row r="24" spans="1:29" x14ac:dyDescent="0.25">
      <c r="A24" s="35"/>
      <c r="B24" s="5" t="e">
        <f>VLOOKUP(A24,Relay!$A$1:$B$50,2,FALSE)</f>
        <v>#N/A</v>
      </c>
      <c r="C24" s="5" t="e">
        <f>VLOOKUP(A24,Relay!$A$2:$C$51,3,FALSE)</f>
        <v>#N/A</v>
      </c>
      <c r="D24" s="39"/>
      <c r="E24" s="35"/>
      <c r="F24" s="35" t="str">
        <f t="shared" si="0"/>
        <v>INS</v>
      </c>
      <c r="G24" s="5" t="e">
        <f>IF(OR(E24="Jeopardy",E24="APP Moonlighting",E24="Differential Pay"),"",July[[#This Row],[SysID]])</f>
        <v>#N/A</v>
      </c>
      <c r="H24" s="5" t="e">
        <f>IF(E24="Jeopardy",IF(C24="MD",Relay!$E$7,Relay!$E$8),IF(C24="MD",IF(COUNTIF(G:G,B24)&gt;1,Relay!$E$2,Relay!$E$1),IF(AND(COUNTIF(G:G,B24)&gt;1,COUNTA(A24)&gt;0),Relay!$E$5,Relay!$E$4)))</f>
        <v>#N/A</v>
      </c>
      <c r="I24" s="8">
        <f t="shared" si="1"/>
        <v>0</v>
      </c>
      <c r="J24" s="35"/>
      <c r="K24" s="35"/>
      <c r="L24" s="35"/>
      <c r="M24" s="35"/>
      <c r="N24" s="10" t="e">
        <f>IF(H24=July!$E$2,"N",IF(AND(COUNTIF(B:B,B24)=1,D24&gt;14),"Y","N"))</f>
        <v>#N/A</v>
      </c>
      <c r="O24" s="55" t="str">
        <f>IF(COUNT(July[[#This Row],[Date]])&gt;0,IF(July[[#This Row],[Date]]&gt;14,"Yes","No"),"N/A")</f>
        <v>N/A</v>
      </c>
      <c r="P24" s="55"/>
      <c r="Q24" s="5">
        <f>Relay!A23</f>
        <v>0</v>
      </c>
      <c r="R24" s="5">
        <f>Relay!B23</f>
        <v>22</v>
      </c>
      <c r="S24" s="8">
        <f>IF(July[After the 14th?]="No",SUMIF(July[SysID],R24,July[Pay Amount]),0)</f>
        <v>0</v>
      </c>
      <c r="T24" s="8"/>
      <c r="U24" s="5" t="str">
        <f t="shared" si="2"/>
        <v>N</v>
      </c>
      <c r="X24" s="56"/>
      <c r="Y24" s="56"/>
      <c r="Z24" s="56"/>
      <c r="AA24" s="56"/>
      <c r="AC24" s="56"/>
    </row>
    <row r="25" spans="1:29" x14ac:dyDescent="0.25">
      <c r="A25" s="35"/>
      <c r="B25" s="5" t="e">
        <f>VLOOKUP(A25,Relay!$A$1:$B$50,2,FALSE)</f>
        <v>#N/A</v>
      </c>
      <c r="C25" s="5" t="e">
        <f>VLOOKUP(A25,Relay!$A$2:$C$51,3,FALSE)</f>
        <v>#N/A</v>
      </c>
      <c r="D25" s="39"/>
      <c r="E25" s="35"/>
      <c r="F25" s="35" t="str">
        <f t="shared" si="0"/>
        <v>INS</v>
      </c>
      <c r="G25" s="5" t="e">
        <f>IF(OR(E25="Jeopardy",E25="APP Moonlighting",E25="Differential Pay"),"",July[[#This Row],[SysID]])</f>
        <v>#N/A</v>
      </c>
      <c r="H25" s="5" t="e">
        <f>IF(E25="Jeopardy",IF(C25="MD",Relay!$E$7,Relay!$E$8),IF(C25="MD",IF(COUNTIF(G:G,B25)&gt;1,Relay!$E$2,Relay!$E$1),IF(AND(COUNTIF(G:G,B25)&gt;1,COUNTA(A25)&gt;0),Relay!$E$5,Relay!$E$4)))</f>
        <v>#N/A</v>
      </c>
      <c r="I25" s="8">
        <f t="shared" si="1"/>
        <v>0</v>
      </c>
      <c r="J25" s="35"/>
      <c r="K25" s="35"/>
      <c r="L25" s="35"/>
      <c r="M25" s="35"/>
      <c r="N25" s="10" t="e">
        <f>IF(H25=July!$E$2,"N",IF(AND(COUNTIF(B:B,B25)=1,D25&gt;14),"Y","N"))</f>
        <v>#N/A</v>
      </c>
      <c r="O25" s="55" t="str">
        <f>IF(COUNT(July[[#This Row],[Date]])&gt;0,IF(July[[#This Row],[Date]]&gt;14,"Yes","No"),"N/A")</f>
        <v>N/A</v>
      </c>
      <c r="P25" s="55"/>
      <c r="Q25" s="5">
        <f>Relay!A24</f>
        <v>0</v>
      </c>
      <c r="R25" s="5">
        <f>Relay!B24</f>
        <v>23</v>
      </c>
      <c r="S25" s="8">
        <f>IF(July[After the 14th?]="No",SUMIF(July[SysID],R25,July[Pay Amount]),0)</f>
        <v>0</v>
      </c>
      <c r="T25" s="8"/>
      <c r="U25" s="5" t="str">
        <f t="shared" si="2"/>
        <v>N</v>
      </c>
      <c r="X25" s="56"/>
      <c r="Y25" s="56"/>
      <c r="Z25" s="56"/>
      <c r="AA25" s="56"/>
      <c r="AC25" s="56"/>
    </row>
    <row r="26" spans="1:29" x14ac:dyDescent="0.25">
      <c r="A26" s="35"/>
      <c r="B26" s="5" t="e">
        <f>VLOOKUP(A26,Relay!$A$1:$B$50,2,FALSE)</f>
        <v>#N/A</v>
      </c>
      <c r="C26" s="5" t="e">
        <f>VLOOKUP(A26,Relay!$A$2:$C$51,3,FALSE)</f>
        <v>#N/A</v>
      </c>
      <c r="D26" s="39"/>
      <c r="E26" s="35"/>
      <c r="F26" s="35" t="str">
        <f t="shared" si="0"/>
        <v>INS</v>
      </c>
      <c r="G26" s="5" t="e">
        <f>IF(OR(E26="Jeopardy",E26="APP Moonlighting",E26="Differential Pay"),"",July[[#This Row],[SysID]])</f>
        <v>#N/A</v>
      </c>
      <c r="H26" s="5" t="e">
        <f>IF(E26="Jeopardy",IF(C26="MD",Relay!$E$7,Relay!$E$8),IF(C26="MD",IF(COUNTIF(G:G,B26)&gt;1,Relay!$E$2,Relay!$E$1),IF(AND(COUNTIF(G:G,B26)&gt;1,COUNTA(A26)&gt;0),Relay!$E$5,Relay!$E$4)))</f>
        <v>#N/A</v>
      </c>
      <c r="I26" s="8">
        <f t="shared" si="1"/>
        <v>0</v>
      </c>
      <c r="J26" s="35"/>
      <c r="K26" s="35"/>
      <c r="L26" s="35"/>
      <c r="M26" s="35"/>
      <c r="N26" s="10" t="e">
        <f>IF(H26=July!$E$2,"N",IF(AND(COUNTIF(B:B,B26)=1,D26&gt;14),"Y","N"))</f>
        <v>#N/A</v>
      </c>
      <c r="O26" s="55" t="str">
        <f>IF(COUNT(July[[#This Row],[Date]])&gt;0,IF(July[[#This Row],[Date]]&gt;14,"Yes","No"),"N/A")</f>
        <v>N/A</v>
      </c>
      <c r="P26" s="55"/>
      <c r="Q26" s="5">
        <f>Relay!A25</f>
        <v>0</v>
      </c>
      <c r="R26" s="5">
        <f>Relay!B25</f>
        <v>24</v>
      </c>
      <c r="S26" s="8">
        <f>IF(July[After the 14th?]="No",SUMIF(July[SysID],R26,July[Pay Amount]),0)</f>
        <v>0</v>
      </c>
      <c r="T26" s="8"/>
      <c r="U26" s="5" t="str">
        <f t="shared" si="2"/>
        <v>N</v>
      </c>
      <c r="X26" s="56"/>
      <c r="Y26" s="56"/>
      <c r="Z26" s="56"/>
      <c r="AA26" s="56"/>
      <c r="AC26" s="56"/>
    </row>
    <row r="27" spans="1:29" x14ac:dyDescent="0.25">
      <c r="A27" s="35"/>
      <c r="B27" s="5" t="e">
        <f>VLOOKUP(A27,Relay!$A$1:$B$50,2,FALSE)</f>
        <v>#N/A</v>
      </c>
      <c r="C27" s="5" t="e">
        <f>VLOOKUP(A27,Relay!$A$2:$C$51,3,FALSE)</f>
        <v>#N/A</v>
      </c>
      <c r="D27" s="39"/>
      <c r="E27" s="35"/>
      <c r="F27" s="35" t="str">
        <f t="shared" si="0"/>
        <v>INS</v>
      </c>
      <c r="G27" s="5" t="e">
        <f>IF(OR(E27="Jeopardy",E27="APP Moonlighting",E27="Differential Pay"),"",July[[#This Row],[SysID]])</f>
        <v>#N/A</v>
      </c>
      <c r="H27" s="5" t="e">
        <f>IF(E27="Jeopardy",IF(C27="MD",Relay!$E$7,Relay!$E$8),IF(C27="MD",IF(COUNTIF(G:G,B27)&gt;1,Relay!$E$2,Relay!$E$1),IF(AND(COUNTIF(G:G,B27)&gt;1,COUNTA(A27)&gt;0),Relay!$E$5,Relay!$E$4)))</f>
        <v>#N/A</v>
      </c>
      <c r="I27" s="8">
        <f t="shared" si="1"/>
        <v>0</v>
      </c>
      <c r="J27" s="35"/>
      <c r="K27" s="35"/>
      <c r="L27" s="35"/>
      <c r="M27" s="35"/>
      <c r="N27" s="10" t="e">
        <f>IF(H27=July!$E$2,"N",IF(AND(COUNTIF(B:B,B27)=1,D27&gt;14),"Y","N"))</f>
        <v>#N/A</v>
      </c>
      <c r="O27" s="55" t="str">
        <f>IF(COUNT(July[[#This Row],[Date]])&gt;0,IF(July[[#This Row],[Date]]&gt;14,"Yes","No"),"N/A")</f>
        <v>N/A</v>
      </c>
      <c r="P27" s="55"/>
      <c r="Q27" s="5">
        <f>Relay!A26</f>
        <v>0</v>
      </c>
      <c r="R27" s="5">
        <f>Relay!B26</f>
        <v>25</v>
      </c>
      <c r="S27" s="8">
        <f>IF(July[After the 14th?]="No",SUMIF(July[SysID],R27,July[Pay Amount]),0)</f>
        <v>0</v>
      </c>
      <c r="T27" s="8"/>
      <c r="U27" s="5" t="str">
        <f t="shared" si="2"/>
        <v>N</v>
      </c>
      <c r="X27" s="56"/>
      <c r="Y27" s="56"/>
      <c r="Z27" s="56"/>
      <c r="AA27" s="56"/>
      <c r="AC27" s="56"/>
    </row>
    <row r="28" spans="1:29" x14ac:dyDescent="0.25">
      <c r="A28" s="35"/>
      <c r="B28" s="5" t="e">
        <f>VLOOKUP(A28,Relay!$A$1:$B$50,2,FALSE)</f>
        <v>#N/A</v>
      </c>
      <c r="C28" s="5" t="e">
        <f>VLOOKUP(A28,Relay!$A$2:$C$51,3,FALSE)</f>
        <v>#N/A</v>
      </c>
      <c r="D28" s="39"/>
      <c r="E28" s="35"/>
      <c r="F28" s="35" t="str">
        <f t="shared" si="0"/>
        <v>INS</v>
      </c>
      <c r="G28" s="5" t="e">
        <f>IF(OR(E28="Jeopardy",E28="APP Moonlighting",E28="Differential Pay"),"",July[[#This Row],[SysID]])</f>
        <v>#N/A</v>
      </c>
      <c r="H28" s="5" t="e">
        <f>IF(E28="Jeopardy",IF(C28="MD",Relay!$E$7,Relay!$E$8),IF(C28="MD",IF(COUNTIF(G:G,B28)&gt;1,Relay!$E$2,Relay!$E$1),IF(AND(COUNTIF(G:G,B28)&gt;1,COUNTA(A28)&gt;0),Relay!$E$5,Relay!$E$4)))</f>
        <v>#N/A</v>
      </c>
      <c r="I28" s="8">
        <f t="shared" si="1"/>
        <v>0</v>
      </c>
      <c r="J28" s="35"/>
      <c r="K28" s="35"/>
      <c r="L28" s="35"/>
      <c r="M28" s="35"/>
      <c r="N28" s="10" t="e">
        <f>IF(H28=July!$E$2,"N",IF(AND(COUNTIF(B:B,B28)=1,D28&gt;14),"Y","N"))</f>
        <v>#N/A</v>
      </c>
      <c r="O28" s="55" t="str">
        <f>IF(COUNT(July[[#This Row],[Date]])&gt;0,IF(July[[#This Row],[Date]]&gt;14,"Yes","No"),"N/A")</f>
        <v>N/A</v>
      </c>
      <c r="P28" s="55"/>
      <c r="Q28" s="5">
        <f>Relay!A27</f>
        <v>0</v>
      </c>
      <c r="R28" s="5">
        <f>Relay!B27</f>
        <v>26</v>
      </c>
      <c r="S28" s="8">
        <f>IF(July[After the 14th?]="No",SUMIF(July[SysID],R28,July[Pay Amount]),0)</f>
        <v>0</v>
      </c>
      <c r="T28" s="8"/>
      <c r="U28" s="5" t="str">
        <f t="shared" si="2"/>
        <v>N</v>
      </c>
      <c r="X28" s="56"/>
      <c r="Y28" s="56"/>
      <c r="Z28" s="56"/>
      <c r="AA28" s="56"/>
      <c r="AC28" s="56"/>
    </row>
    <row r="29" spans="1:29" x14ac:dyDescent="0.25">
      <c r="A29" s="35"/>
      <c r="B29" s="5" t="e">
        <f>VLOOKUP(A29,Relay!$A$1:$B$50,2,FALSE)</f>
        <v>#N/A</v>
      </c>
      <c r="C29" s="5" t="e">
        <f>VLOOKUP(A29,Relay!$A$2:$C$51,3,FALSE)</f>
        <v>#N/A</v>
      </c>
      <c r="D29" s="39"/>
      <c r="E29" s="35"/>
      <c r="F29" s="35" t="str">
        <f t="shared" si="0"/>
        <v>INS</v>
      </c>
      <c r="G29" s="5" t="e">
        <f>IF(OR(E29="Jeopardy",E29="APP Moonlighting",E29="Differential Pay"),"",July[[#This Row],[SysID]])</f>
        <v>#N/A</v>
      </c>
      <c r="H29" s="5" t="e">
        <f>IF(E29="Jeopardy",IF(C29="MD",Relay!$E$7,Relay!$E$8),IF(C29="MD",IF(COUNTIF(G:G,B29)&gt;1,Relay!$E$2,Relay!$E$1),IF(AND(COUNTIF(G:G,B29)&gt;1,COUNTA(A29)&gt;0),Relay!$E$5,Relay!$E$4)))</f>
        <v>#N/A</v>
      </c>
      <c r="I29" s="8">
        <f t="shared" si="1"/>
        <v>0</v>
      </c>
      <c r="J29" s="35"/>
      <c r="K29" s="35"/>
      <c r="L29" s="35"/>
      <c r="M29" s="35"/>
      <c r="N29" s="10" t="e">
        <f>IF(H29=July!$E$2,"N",IF(AND(COUNTIF(B:B,B29)=1,D29&gt;14),"Y","N"))</f>
        <v>#N/A</v>
      </c>
      <c r="O29" s="55" t="str">
        <f>IF(COUNT(July[[#This Row],[Date]])&gt;0,IF(July[[#This Row],[Date]]&gt;14,"Yes","No"),"N/A")</f>
        <v>N/A</v>
      </c>
      <c r="P29" s="55"/>
      <c r="Q29" s="5">
        <f>Relay!A28</f>
        <v>0</v>
      </c>
      <c r="R29" s="5">
        <f>Relay!B28</f>
        <v>27</v>
      </c>
      <c r="S29" s="8">
        <f>IF(July[After the 14th?]="No",SUMIF(July[SysID],R29,July[Pay Amount]),0)</f>
        <v>0</v>
      </c>
      <c r="T29" s="8"/>
      <c r="U29" s="5" t="str">
        <f t="shared" si="2"/>
        <v>N</v>
      </c>
      <c r="X29" s="56"/>
      <c r="Y29" s="56"/>
      <c r="Z29" s="56"/>
      <c r="AA29" s="56"/>
      <c r="AC29" s="56"/>
    </row>
    <row r="30" spans="1:29" x14ac:dyDescent="0.25">
      <c r="A30" s="35"/>
      <c r="B30" s="5" t="e">
        <f>VLOOKUP(A30,Relay!$A$1:$B$50,2,FALSE)</f>
        <v>#N/A</v>
      </c>
      <c r="C30" s="5" t="e">
        <f>VLOOKUP(A30,Relay!$A$2:$C$51,3,FALSE)</f>
        <v>#N/A</v>
      </c>
      <c r="D30" s="39"/>
      <c r="E30" s="35"/>
      <c r="F30" s="35" t="str">
        <f t="shared" si="0"/>
        <v>INS</v>
      </c>
      <c r="G30" s="5" t="e">
        <f>IF(OR(E30="Jeopardy",E30="APP Moonlighting",E30="Differential Pay"),"",July[[#This Row],[SysID]])</f>
        <v>#N/A</v>
      </c>
      <c r="H30" s="5" t="e">
        <f>IF(E30="Jeopardy",IF(C30="MD",Relay!$E$7,Relay!$E$8),IF(C30="MD",IF(COUNTIF(G:G,B30)&gt;1,Relay!$E$2,Relay!$E$1),IF(AND(COUNTIF(G:G,B30)&gt;1,COUNTA(A30)&gt;0),Relay!$E$5,Relay!$E$4)))</f>
        <v>#N/A</v>
      </c>
      <c r="I30" s="8">
        <f t="shared" si="1"/>
        <v>0</v>
      </c>
      <c r="J30" s="35"/>
      <c r="K30" s="35"/>
      <c r="L30" s="35"/>
      <c r="M30" s="35"/>
      <c r="N30" s="10" t="e">
        <f>IF(H30=July!$E$2,"N",IF(AND(COUNTIF(B:B,B30)=1,D30&gt;14),"Y","N"))</f>
        <v>#N/A</v>
      </c>
      <c r="O30" s="55" t="str">
        <f>IF(COUNT(July[[#This Row],[Date]])&gt;0,IF(July[[#This Row],[Date]]&gt;14,"Yes","No"),"N/A")</f>
        <v>N/A</v>
      </c>
      <c r="P30" s="55"/>
      <c r="Q30" s="5">
        <f>Relay!A29</f>
        <v>0</v>
      </c>
      <c r="R30" s="5">
        <f>Relay!B29</f>
        <v>28</v>
      </c>
      <c r="S30" s="8">
        <f>IF(July[After the 14th?]="No",SUMIF(July[SysID],R30,July[Pay Amount]),0)</f>
        <v>0</v>
      </c>
      <c r="T30" s="8"/>
      <c r="U30" s="5" t="str">
        <f t="shared" si="2"/>
        <v>N</v>
      </c>
      <c r="X30" s="56"/>
      <c r="Y30" s="56"/>
      <c r="Z30" s="56"/>
      <c r="AA30" s="56"/>
      <c r="AC30" s="56"/>
    </row>
    <row r="31" spans="1:29" x14ac:dyDescent="0.25">
      <c r="A31" s="35"/>
      <c r="B31" s="5" t="e">
        <f>VLOOKUP(A31,Relay!$A$1:$B$50,2,FALSE)</f>
        <v>#N/A</v>
      </c>
      <c r="C31" s="5" t="e">
        <f>VLOOKUP(A31,Relay!$A$2:$C$51,3,FALSE)</f>
        <v>#N/A</v>
      </c>
      <c r="D31" s="39"/>
      <c r="E31" s="35"/>
      <c r="F31" s="35" t="str">
        <f t="shared" si="0"/>
        <v>INS</v>
      </c>
      <c r="G31" s="5" t="e">
        <f>IF(OR(E31="Jeopardy",E31="APP Moonlighting",E31="Differential Pay"),"",July[[#This Row],[SysID]])</f>
        <v>#N/A</v>
      </c>
      <c r="H31" s="5" t="e">
        <f>IF(E31="Jeopardy",IF(C31="MD",Relay!$E$7,Relay!$E$8),IF(C31="MD",IF(COUNTIF(G:G,B31)&gt;1,Relay!$E$2,Relay!$E$1),IF(AND(COUNTIF(G:G,B31)&gt;1,COUNTA(A31)&gt;0),Relay!$E$5,Relay!$E$4)))</f>
        <v>#N/A</v>
      </c>
      <c r="I31" s="8">
        <f t="shared" si="1"/>
        <v>0</v>
      </c>
      <c r="J31" s="35"/>
      <c r="K31" s="35"/>
      <c r="L31" s="35"/>
      <c r="M31" s="35"/>
      <c r="N31" s="10" t="e">
        <f>IF(H31=July!$E$2,"N",IF(AND(COUNTIF(B:B,B31)=1,D31&gt;14),"Y","N"))</f>
        <v>#N/A</v>
      </c>
      <c r="O31" s="55" t="str">
        <f>IF(COUNT(July[[#This Row],[Date]])&gt;0,IF(July[[#This Row],[Date]]&gt;14,"Yes","No"),"N/A")</f>
        <v>N/A</v>
      </c>
      <c r="P31" s="55"/>
      <c r="Q31" s="5">
        <f>Relay!A30</f>
        <v>0</v>
      </c>
      <c r="R31" s="5">
        <f>Relay!B30</f>
        <v>29</v>
      </c>
      <c r="S31" s="8">
        <f>IF(July[After the 14th?]="No",SUMIF(July[SysID],R31,July[Pay Amount]),0)</f>
        <v>0</v>
      </c>
      <c r="T31" s="8"/>
      <c r="U31" s="5" t="str">
        <f t="shared" si="2"/>
        <v>N</v>
      </c>
      <c r="X31" s="56"/>
      <c r="Y31" s="56"/>
      <c r="Z31" s="56"/>
      <c r="AA31" s="56"/>
      <c r="AC31" s="56"/>
    </row>
    <row r="32" spans="1:29" x14ac:dyDescent="0.25">
      <c r="A32" s="35"/>
      <c r="B32" s="5" t="e">
        <f>VLOOKUP(A32,Relay!$A$1:$B$50,2,FALSE)</f>
        <v>#N/A</v>
      </c>
      <c r="C32" s="5" t="e">
        <f>VLOOKUP(A32,Relay!$A$2:$C$51,3,FALSE)</f>
        <v>#N/A</v>
      </c>
      <c r="D32" s="39"/>
      <c r="E32" s="35"/>
      <c r="F32" s="35" t="str">
        <f t="shared" si="0"/>
        <v>INS</v>
      </c>
      <c r="G32" s="5" t="e">
        <f>IF(OR(E32="Jeopardy",E32="APP Moonlighting",E32="Differential Pay"),"",July[[#This Row],[SysID]])</f>
        <v>#N/A</v>
      </c>
      <c r="H32" s="5" t="e">
        <f>IF(E32="Jeopardy",IF(C32="MD",Relay!$E$7,Relay!$E$8),IF(C32="MD",IF(COUNTIF(G:G,B32)&gt;1,Relay!$E$2,Relay!$E$1),IF(AND(COUNTIF(G:G,B32)&gt;1,COUNTA(A32)&gt;0),Relay!$E$5,Relay!$E$4)))</f>
        <v>#N/A</v>
      </c>
      <c r="I32" s="8">
        <f t="shared" si="1"/>
        <v>0</v>
      </c>
      <c r="J32" s="35"/>
      <c r="K32" s="35"/>
      <c r="L32" s="35"/>
      <c r="M32" s="35"/>
      <c r="N32" s="10" t="e">
        <f>IF(H32=July!$E$2,"N",IF(AND(COUNTIF(B:B,B32)=1,D32&gt;14),"Y","N"))</f>
        <v>#N/A</v>
      </c>
      <c r="O32" s="55" t="str">
        <f>IF(COUNT(July[[#This Row],[Date]])&gt;0,IF(July[[#This Row],[Date]]&gt;14,"Yes","No"),"N/A")</f>
        <v>N/A</v>
      </c>
      <c r="P32" s="55"/>
      <c r="Q32" s="5">
        <f>Relay!A31</f>
        <v>0</v>
      </c>
      <c r="R32" s="5">
        <f>Relay!B31</f>
        <v>30</v>
      </c>
      <c r="S32" s="8">
        <f>IF(July[After the 14th?]="No",SUMIF(July[SysID],R32,July[Pay Amount]),0)</f>
        <v>0</v>
      </c>
      <c r="T32" s="8"/>
      <c r="U32" s="5" t="str">
        <f t="shared" si="2"/>
        <v>N</v>
      </c>
      <c r="X32" s="56"/>
      <c r="Y32" s="56"/>
      <c r="Z32" s="56"/>
      <c r="AA32" s="56"/>
      <c r="AC32" s="56"/>
    </row>
    <row r="33" spans="1:29" x14ac:dyDescent="0.25">
      <c r="A33" s="35"/>
      <c r="B33" s="5" t="e">
        <f>VLOOKUP(A33,Relay!$A$1:$B$50,2,FALSE)</f>
        <v>#N/A</v>
      </c>
      <c r="C33" s="5" t="e">
        <f>VLOOKUP(A33,Relay!$A$2:$C$51,3,FALSE)</f>
        <v>#N/A</v>
      </c>
      <c r="D33" s="39"/>
      <c r="E33" s="35"/>
      <c r="F33" s="35" t="str">
        <f t="shared" si="0"/>
        <v>INS</v>
      </c>
      <c r="G33" s="5" t="e">
        <f>IF(OR(E33="Jeopardy",E33="APP Moonlighting",E33="Differential Pay"),"",July[[#This Row],[SysID]])</f>
        <v>#N/A</v>
      </c>
      <c r="H33" s="5" t="e">
        <f>IF(E33="Jeopardy",IF(C33="MD",Relay!$E$7,Relay!$E$8),IF(C33="MD",IF(COUNTIF(G:G,B33)&gt;1,Relay!$E$2,Relay!$E$1),IF(AND(COUNTIF(G:G,B33)&gt;1,COUNTA(A33)&gt;0),Relay!$E$5,Relay!$E$4)))</f>
        <v>#N/A</v>
      </c>
      <c r="I33" s="8">
        <f t="shared" si="1"/>
        <v>0</v>
      </c>
      <c r="J33" s="35"/>
      <c r="K33" s="35"/>
      <c r="L33" s="35"/>
      <c r="M33" s="35"/>
      <c r="N33" s="10" t="e">
        <f>IF(H33=July!$E$2,"N",IF(AND(COUNTIF(B:B,B33)=1,D33&gt;14),"Y","N"))</f>
        <v>#N/A</v>
      </c>
      <c r="O33" s="55" t="str">
        <f>IF(COUNT(July[[#This Row],[Date]])&gt;0,IF(July[[#This Row],[Date]]&gt;14,"Yes","No"),"N/A")</f>
        <v>N/A</v>
      </c>
      <c r="P33" s="55"/>
      <c r="Q33" s="5">
        <f>Relay!A32</f>
        <v>0</v>
      </c>
      <c r="R33" s="5">
        <f>Relay!B32</f>
        <v>31</v>
      </c>
      <c r="S33" s="8">
        <f>IF(July[After the 14th?]="No",SUMIF(July[SysID],R33,July[Pay Amount]),0)</f>
        <v>0</v>
      </c>
      <c r="T33" s="8"/>
      <c r="U33" s="5" t="str">
        <f t="shared" si="2"/>
        <v>N</v>
      </c>
      <c r="X33" s="56"/>
      <c r="Y33" s="56"/>
      <c r="Z33" s="56"/>
      <c r="AA33" s="56"/>
      <c r="AC33" s="56"/>
    </row>
    <row r="34" spans="1:29" x14ac:dyDescent="0.25">
      <c r="A34" s="35"/>
      <c r="B34" s="5" t="e">
        <f>VLOOKUP(A34,Relay!$A$1:$B$50,2,FALSE)</f>
        <v>#N/A</v>
      </c>
      <c r="C34" s="5" t="e">
        <f>VLOOKUP(A34,Relay!$A$2:$C$51,3,FALSE)</f>
        <v>#N/A</v>
      </c>
      <c r="D34" s="39"/>
      <c r="E34" s="35"/>
      <c r="F34" s="35" t="str">
        <f t="shared" si="0"/>
        <v>INS</v>
      </c>
      <c r="G34" s="5" t="e">
        <f>IF(OR(E34="Jeopardy",E34="APP Moonlighting",E34="Differential Pay"),"",July[[#This Row],[SysID]])</f>
        <v>#N/A</v>
      </c>
      <c r="H34" s="5" t="e">
        <f>IF(E34="Jeopardy",IF(C34="MD",Relay!$E$7,Relay!$E$8),IF(C34="MD",IF(COUNTIF(G:G,B34)&gt;1,Relay!$E$2,Relay!$E$1),IF(AND(COUNTIF(G:G,B34)&gt;1,COUNTA(A34)&gt;0),Relay!$E$5,Relay!$E$4)))</f>
        <v>#N/A</v>
      </c>
      <c r="I34" s="8">
        <f t="shared" si="1"/>
        <v>0</v>
      </c>
      <c r="J34" s="35"/>
      <c r="K34" s="35"/>
      <c r="L34" s="35"/>
      <c r="M34" s="35"/>
      <c r="N34" s="10" t="e">
        <f>IF(H34=July!$E$2,"N",IF(AND(COUNTIF(B:B,B34)=1,D34&gt;14),"Y","N"))</f>
        <v>#N/A</v>
      </c>
      <c r="O34" s="55" t="str">
        <f>IF(COUNT(July[[#This Row],[Date]])&gt;0,IF(July[[#This Row],[Date]]&gt;14,"Yes","No"),"N/A")</f>
        <v>N/A</v>
      </c>
      <c r="P34" s="55"/>
      <c r="Q34" s="5">
        <f>Relay!A33</f>
        <v>0</v>
      </c>
      <c r="R34" s="5">
        <f>Relay!B33</f>
        <v>32</v>
      </c>
      <c r="S34" s="8">
        <f>IF(July[After the 14th?]="No",SUMIF(July[SysID],R34,July[Pay Amount]),0)</f>
        <v>0</v>
      </c>
      <c r="T34" s="8"/>
      <c r="U34" s="5" t="str">
        <f t="shared" si="2"/>
        <v>N</v>
      </c>
      <c r="X34" s="56"/>
      <c r="Y34" s="56"/>
      <c r="Z34" s="56"/>
      <c r="AA34" s="56"/>
      <c r="AC34" s="56"/>
    </row>
    <row r="35" spans="1:29" x14ac:dyDescent="0.25">
      <c r="A35" s="35"/>
      <c r="B35" s="5" t="e">
        <f>VLOOKUP(A35,Relay!$A$1:$B$50,2,FALSE)</f>
        <v>#N/A</v>
      </c>
      <c r="C35" s="5" t="e">
        <f>VLOOKUP(A35,Relay!$A$2:$C$51,3,FALSE)</f>
        <v>#N/A</v>
      </c>
      <c r="D35" s="39"/>
      <c r="E35" s="35"/>
      <c r="F35" s="35" t="str">
        <f t="shared" si="0"/>
        <v>INS</v>
      </c>
      <c r="G35" s="5" t="e">
        <f>IF(OR(E35="Jeopardy",E35="APP Moonlighting",E35="Differential Pay"),"",July[[#This Row],[SysID]])</f>
        <v>#N/A</v>
      </c>
      <c r="H35" s="5" t="e">
        <f>IF(E35="Jeopardy",IF(C35="MD",Relay!$E$7,Relay!$E$8),IF(C35="MD",IF(COUNTIF(G:G,B35)&gt;1,Relay!$E$2,Relay!$E$1),IF(AND(COUNTIF(G:G,B35)&gt;1,COUNTA(A35)&gt;0),Relay!$E$5,Relay!$E$4)))</f>
        <v>#N/A</v>
      </c>
      <c r="I35" s="8">
        <f t="shared" ref="I35:I58" si="3">IF(COUNTA(A35)&gt;0,H35*F35,0)</f>
        <v>0</v>
      </c>
      <c r="J35" s="35"/>
      <c r="K35" s="35"/>
      <c r="L35" s="35"/>
      <c r="M35" s="35"/>
      <c r="N35" s="10" t="e">
        <f>IF(H35=July!$E$2,"N",IF(AND(COUNTIF(B:B,B35)=1,D35&gt;14),"Y","N"))</f>
        <v>#N/A</v>
      </c>
      <c r="O35" s="55" t="str">
        <f>IF(COUNT(July[[#This Row],[Date]])&gt;0,IF(July[[#This Row],[Date]]&gt;14,"Yes","No"),"N/A")</f>
        <v>N/A</v>
      </c>
      <c r="P35" s="55"/>
      <c r="Q35" s="5">
        <f>Relay!A34</f>
        <v>0</v>
      </c>
      <c r="R35" s="5">
        <f>Relay!B34</f>
        <v>33</v>
      </c>
      <c r="S35" s="8">
        <f>IF(July[After the 14th?]="No",SUMIF(July[SysID],R35,July[Pay Amount]),0)</f>
        <v>0</v>
      </c>
      <c r="T35" s="8"/>
      <c r="U35" s="5" t="str">
        <f t="shared" ref="U35:U66" si="4">IF(S35=T35,"N","Y")</f>
        <v>N</v>
      </c>
      <c r="X35" s="56"/>
      <c r="Y35" s="56"/>
      <c r="Z35" s="56"/>
      <c r="AA35" s="56"/>
      <c r="AC35" s="56"/>
    </row>
    <row r="36" spans="1:29" x14ac:dyDescent="0.25">
      <c r="A36" s="35"/>
      <c r="B36" s="5" t="e">
        <f>VLOOKUP(A36,Relay!$A$1:$B$50,2,FALSE)</f>
        <v>#N/A</v>
      </c>
      <c r="C36" s="5" t="e">
        <f>VLOOKUP(A36,Relay!$A$2:$C$51,3,FALSE)</f>
        <v>#N/A</v>
      </c>
      <c r="D36" s="39"/>
      <c r="E36" s="35"/>
      <c r="F36" s="35" t="str">
        <f t="shared" si="0"/>
        <v>INS</v>
      </c>
      <c r="G36" s="5" t="e">
        <f>IF(OR(E36="Jeopardy",E36="APP Moonlighting",E36="Differential Pay"),"",July[[#This Row],[SysID]])</f>
        <v>#N/A</v>
      </c>
      <c r="H36" s="5" t="e">
        <f>IF(E36="Jeopardy",IF(C36="MD",Relay!$E$7,Relay!$E$8),IF(C36="MD",IF(COUNTIF(G:G,B36)&gt;1,Relay!$E$2,Relay!$E$1),IF(AND(COUNTIF(G:G,B36)&gt;1,COUNTA(A36)&gt;0),Relay!$E$5,Relay!$E$4)))</f>
        <v>#N/A</v>
      </c>
      <c r="I36" s="8">
        <f t="shared" si="3"/>
        <v>0</v>
      </c>
      <c r="J36" s="35"/>
      <c r="K36" s="35"/>
      <c r="L36" s="35"/>
      <c r="M36" s="35"/>
      <c r="N36" s="10" t="e">
        <f>IF(H36=July!$E$2,"N",IF(AND(COUNTIF(B:B,B36)=1,D36&gt;14),"Y","N"))</f>
        <v>#N/A</v>
      </c>
      <c r="O36" s="55" t="str">
        <f>IF(COUNT(July[[#This Row],[Date]])&gt;0,IF(July[[#This Row],[Date]]&gt;14,"Yes","No"),"N/A")</f>
        <v>N/A</v>
      </c>
      <c r="P36" s="55"/>
      <c r="Q36" s="5">
        <f>Relay!A35</f>
        <v>0</v>
      </c>
      <c r="R36" s="5">
        <f>Relay!B35</f>
        <v>34</v>
      </c>
      <c r="S36" s="8">
        <f>IF(July[After the 14th?]="No",SUMIF(July[SysID],R36,July[Pay Amount]),0)</f>
        <v>0</v>
      </c>
      <c r="T36" s="8"/>
      <c r="U36" s="5" t="str">
        <f t="shared" si="4"/>
        <v>N</v>
      </c>
      <c r="X36" s="56"/>
      <c r="Y36" s="56"/>
      <c r="Z36" s="56"/>
      <c r="AA36" s="56"/>
      <c r="AC36" s="56"/>
    </row>
    <row r="37" spans="1:29" x14ac:dyDescent="0.25">
      <c r="A37" s="35"/>
      <c r="B37" s="5" t="e">
        <f>VLOOKUP(A37,Relay!$A$1:$B$50,2,FALSE)</f>
        <v>#N/A</v>
      </c>
      <c r="C37" s="5" t="e">
        <f>VLOOKUP(A37,Relay!$A$2:$C$51,3,FALSE)</f>
        <v>#N/A</v>
      </c>
      <c r="D37" s="39"/>
      <c r="E37" s="35"/>
      <c r="F37" s="35" t="str">
        <f t="shared" si="0"/>
        <v>INS</v>
      </c>
      <c r="G37" s="5" t="e">
        <f>IF(OR(E37="Jeopardy",E37="APP Moonlighting",E37="Differential Pay"),"",July[[#This Row],[SysID]])</f>
        <v>#N/A</v>
      </c>
      <c r="H37" s="5" t="e">
        <f>IF(E37="Jeopardy",IF(C37="MD",Relay!$E$7,Relay!$E$8),IF(C37="MD",IF(COUNTIF(G:G,B37)&gt;1,Relay!$E$2,Relay!$E$1),IF(AND(COUNTIF(G:G,B37)&gt;1,COUNTA(A37)&gt;0),Relay!$E$5,Relay!$E$4)))</f>
        <v>#N/A</v>
      </c>
      <c r="I37" s="8">
        <f t="shared" si="3"/>
        <v>0</v>
      </c>
      <c r="J37" s="35"/>
      <c r="K37" s="35"/>
      <c r="L37" s="35"/>
      <c r="M37" s="35"/>
      <c r="N37" s="10" t="e">
        <f>IF(H37=July!$E$2,"N",IF(AND(COUNTIF(B:B,B37)=1,D37&gt;14),"Y","N"))</f>
        <v>#N/A</v>
      </c>
      <c r="O37" s="55" t="str">
        <f>IF(COUNT(July[[#This Row],[Date]])&gt;0,IF(July[[#This Row],[Date]]&gt;14,"Yes","No"),"N/A")</f>
        <v>N/A</v>
      </c>
      <c r="P37" s="55"/>
      <c r="Q37" s="5">
        <f>Relay!A36</f>
        <v>0</v>
      </c>
      <c r="R37" s="5">
        <f>Relay!B36</f>
        <v>35</v>
      </c>
      <c r="S37" s="8">
        <f>IF(July[After the 14th?]="No",SUMIF(July[SysID],R37,July[Pay Amount]),0)</f>
        <v>0</v>
      </c>
      <c r="T37" s="8"/>
      <c r="U37" s="5" t="str">
        <f t="shared" si="4"/>
        <v>N</v>
      </c>
      <c r="X37" s="56"/>
      <c r="Y37" s="56"/>
      <c r="Z37" s="56"/>
      <c r="AA37" s="56"/>
      <c r="AC37" s="56"/>
    </row>
    <row r="38" spans="1:29" x14ac:dyDescent="0.25">
      <c r="A38" s="35"/>
      <c r="B38" s="5" t="e">
        <f>VLOOKUP(A38,Relay!$A$1:$B$50,2,FALSE)</f>
        <v>#N/A</v>
      </c>
      <c r="C38" s="5" t="e">
        <f>VLOOKUP(A38,Relay!$A$2:$C$51,3,FALSE)</f>
        <v>#N/A</v>
      </c>
      <c r="D38" s="39"/>
      <c r="E38" s="35"/>
      <c r="F38" s="35" t="str">
        <f t="shared" si="0"/>
        <v>INS</v>
      </c>
      <c r="G38" s="5" t="e">
        <f>IF(OR(E38="Jeopardy",E38="APP Moonlighting",E38="Differential Pay"),"",July[[#This Row],[SysID]])</f>
        <v>#N/A</v>
      </c>
      <c r="H38" s="5" t="e">
        <f>IF(E38="Jeopardy",IF(C38="MD",Relay!$E$7,Relay!$E$8),IF(C38="MD",IF(COUNTIF(G:G,B38)&gt;1,Relay!$E$2,Relay!$E$1),IF(AND(COUNTIF(G:G,B38)&gt;1,COUNTA(A38)&gt;0),Relay!$E$5,Relay!$E$4)))</f>
        <v>#N/A</v>
      </c>
      <c r="I38" s="8">
        <f t="shared" si="3"/>
        <v>0</v>
      </c>
      <c r="J38" s="35"/>
      <c r="K38" s="35"/>
      <c r="L38" s="35"/>
      <c r="M38" s="35"/>
      <c r="N38" s="10" t="e">
        <f>IF(H38=July!$E$2,"N",IF(AND(COUNTIF(B:B,B38)=1,D38&gt;14),"Y","N"))</f>
        <v>#N/A</v>
      </c>
      <c r="O38" s="55" t="str">
        <f>IF(COUNT(July[[#This Row],[Date]])&gt;0,IF(July[[#This Row],[Date]]&gt;14,"Yes","No"),"N/A")</f>
        <v>N/A</v>
      </c>
      <c r="P38" s="55"/>
      <c r="Q38" s="5">
        <f>Relay!A37</f>
        <v>0</v>
      </c>
      <c r="R38" s="5">
        <f>Relay!B37</f>
        <v>36</v>
      </c>
      <c r="S38" s="8">
        <f>IF(July[After the 14th?]="No",SUMIF(July[SysID],R38,July[Pay Amount]),0)</f>
        <v>0</v>
      </c>
      <c r="T38" s="8"/>
      <c r="U38" s="5" t="str">
        <f t="shared" si="4"/>
        <v>N</v>
      </c>
      <c r="X38" s="56"/>
      <c r="Y38" s="56"/>
      <c r="Z38" s="56"/>
      <c r="AA38" s="56"/>
      <c r="AC38" s="56"/>
    </row>
    <row r="39" spans="1:29" x14ac:dyDescent="0.25">
      <c r="A39" s="35"/>
      <c r="B39" s="5" t="e">
        <f>VLOOKUP(A39,Relay!$A$1:$B$50,2,FALSE)</f>
        <v>#N/A</v>
      </c>
      <c r="C39" s="5" t="e">
        <f>VLOOKUP(A39,Relay!$A$2:$C$51,3,FALSE)</f>
        <v>#N/A</v>
      </c>
      <c r="D39" s="39"/>
      <c r="E39" s="35"/>
      <c r="F39" s="35" t="str">
        <f t="shared" si="0"/>
        <v>INS</v>
      </c>
      <c r="G39" s="5" t="e">
        <f>IF(OR(E39="Jeopardy",E39="APP Moonlighting",E39="Differential Pay"),"",July[[#This Row],[SysID]])</f>
        <v>#N/A</v>
      </c>
      <c r="H39" s="5" t="e">
        <f>IF(E39="Jeopardy",IF(C39="MD",Relay!$E$7,Relay!$E$8),IF(C39="MD",IF(COUNTIF(G:G,B39)&gt;1,Relay!$E$2,Relay!$E$1),IF(AND(COUNTIF(G:G,B39)&gt;1,COUNTA(A39)&gt;0),Relay!$E$5,Relay!$E$4)))</f>
        <v>#N/A</v>
      </c>
      <c r="I39" s="8">
        <f t="shared" si="3"/>
        <v>0</v>
      </c>
      <c r="J39" s="35"/>
      <c r="K39" s="35"/>
      <c r="L39" s="35"/>
      <c r="M39" s="35"/>
      <c r="N39" s="10" t="e">
        <f>IF(H39=July!$E$2,"N",IF(AND(COUNTIF(B:B,B39)=1,D39&gt;14),"Y","N"))</f>
        <v>#N/A</v>
      </c>
      <c r="O39" s="55" t="str">
        <f>IF(COUNT(July[[#This Row],[Date]])&gt;0,IF(July[[#This Row],[Date]]&gt;14,"Yes","No"),"N/A")</f>
        <v>N/A</v>
      </c>
      <c r="P39" s="55"/>
      <c r="Q39" s="5">
        <f>Relay!A38</f>
        <v>0</v>
      </c>
      <c r="R39" s="5">
        <f>Relay!B38</f>
        <v>37</v>
      </c>
      <c r="S39" s="8">
        <f>IF(July[After the 14th?]="No",SUMIF(July[SysID],R39,July[Pay Amount]),0)</f>
        <v>0</v>
      </c>
      <c r="T39" s="8"/>
      <c r="U39" s="5" t="str">
        <f t="shared" si="4"/>
        <v>N</v>
      </c>
      <c r="X39" s="56"/>
      <c r="Y39" s="56"/>
      <c r="Z39" s="56"/>
      <c r="AA39" s="56"/>
      <c r="AC39" s="56"/>
    </row>
    <row r="40" spans="1:29" x14ac:dyDescent="0.25">
      <c r="A40" s="35"/>
      <c r="B40" s="5" t="e">
        <f>VLOOKUP(A40,Relay!$A$1:$B$50,2,FALSE)</f>
        <v>#N/A</v>
      </c>
      <c r="C40" s="5" t="e">
        <f>VLOOKUP(A40,Relay!$A$2:$C$51,3,FALSE)</f>
        <v>#N/A</v>
      </c>
      <c r="D40" s="39"/>
      <c r="E40" s="35"/>
      <c r="F40" s="35" t="str">
        <f t="shared" si="0"/>
        <v>INS</v>
      </c>
      <c r="G40" s="5" t="e">
        <f>IF(OR(E40="Jeopardy",E40="APP Moonlighting",E40="Differential Pay"),"",July[[#This Row],[SysID]])</f>
        <v>#N/A</v>
      </c>
      <c r="H40" s="5" t="e">
        <f>IF(E40="Jeopardy",IF(C40="MD",Relay!$E$7,Relay!$E$8),IF(C40="MD",IF(COUNTIF(G:G,B40)&gt;1,Relay!$E$2,Relay!$E$1),IF(AND(COUNTIF(G:G,B40)&gt;1,COUNTA(A40)&gt;0),Relay!$E$5,Relay!$E$4)))</f>
        <v>#N/A</v>
      </c>
      <c r="I40" s="8">
        <f t="shared" si="3"/>
        <v>0</v>
      </c>
      <c r="J40" s="35"/>
      <c r="K40" s="35"/>
      <c r="L40" s="35"/>
      <c r="M40" s="35"/>
      <c r="N40" s="10" t="e">
        <f>IF(H40=July!$E$2,"N",IF(AND(COUNTIF(B:B,B40)=1,D40&gt;14),"Y","N"))</f>
        <v>#N/A</v>
      </c>
      <c r="O40" s="55" t="str">
        <f>IF(COUNT(July[[#This Row],[Date]])&gt;0,IF(July[[#This Row],[Date]]&gt;14,"Yes","No"),"N/A")</f>
        <v>N/A</v>
      </c>
      <c r="P40" s="55"/>
      <c r="Q40" s="5">
        <f>Relay!A39</f>
        <v>0</v>
      </c>
      <c r="R40" s="5">
        <f>Relay!B39</f>
        <v>38</v>
      </c>
      <c r="S40" s="8">
        <f>IF(July[After the 14th?]="No",SUMIF(July[SysID],R40,July[Pay Amount]),0)</f>
        <v>0</v>
      </c>
      <c r="T40" s="8"/>
      <c r="U40" s="5" t="str">
        <f t="shared" si="4"/>
        <v>N</v>
      </c>
      <c r="X40" s="56"/>
      <c r="Y40" s="56"/>
      <c r="Z40" s="56"/>
      <c r="AA40" s="56"/>
      <c r="AC40" s="56"/>
    </row>
    <row r="41" spans="1:29" x14ac:dyDescent="0.25">
      <c r="A41" s="35"/>
      <c r="B41" s="5" t="e">
        <f>VLOOKUP(A41,Relay!$A$1:$B$50,2,FALSE)</f>
        <v>#N/A</v>
      </c>
      <c r="C41" s="5" t="e">
        <f>VLOOKUP(A41,Relay!$A$2:$C$51,3,FALSE)</f>
        <v>#N/A</v>
      </c>
      <c r="D41" s="39"/>
      <c r="E41" s="35"/>
      <c r="F41" s="35" t="str">
        <f t="shared" si="0"/>
        <v>INS</v>
      </c>
      <c r="G41" s="5" t="e">
        <f>IF(OR(E41="Jeopardy",E41="APP Moonlighting",E41="Differential Pay"),"",July[[#This Row],[SysID]])</f>
        <v>#N/A</v>
      </c>
      <c r="H41" s="5" t="e">
        <f>IF(E41="Jeopardy",IF(C41="MD",Relay!$E$7,Relay!$E$8),IF(C41="MD",IF(COUNTIF(G:G,B41)&gt;1,Relay!$E$2,Relay!$E$1),IF(AND(COUNTIF(G:G,B41)&gt;1,COUNTA(A41)&gt;0),Relay!$E$5,Relay!$E$4)))</f>
        <v>#N/A</v>
      </c>
      <c r="I41" s="8">
        <f t="shared" si="3"/>
        <v>0</v>
      </c>
      <c r="J41" s="35"/>
      <c r="K41" s="35"/>
      <c r="L41" s="35"/>
      <c r="M41" s="35"/>
      <c r="N41" s="10" t="e">
        <f>IF(H41=July!$E$2,"N",IF(AND(COUNTIF(B:B,B41)=1,D41&gt;14),"Y","N"))</f>
        <v>#N/A</v>
      </c>
      <c r="O41" s="55" t="str">
        <f>IF(COUNT(July[[#This Row],[Date]])&gt;0,IF(July[[#This Row],[Date]]&gt;14,"Yes","No"),"N/A")</f>
        <v>N/A</v>
      </c>
      <c r="P41" s="55"/>
      <c r="Q41" s="5">
        <f>Relay!A40</f>
        <v>0</v>
      </c>
      <c r="R41" s="5">
        <f>Relay!B40</f>
        <v>39</v>
      </c>
      <c r="S41" s="8">
        <f>IF(July[After the 14th?]="No",SUMIF(July[SysID],R41,July[Pay Amount]),0)</f>
        <v>0</v>
      </c>
      <c r="T41" s="8"/>
      <c r="U41" s="5" t="str">
        <f t="shared" si="4"/>
        <v>N</v>
      </c>
      <c r="X41" s="56"/>
      <c r="Y41" s="56"/>
      <c r="Z41" s="56"/>
      <c r="AA41" s="56"/>
      <c r="AC41" s="56"/>
    </row>
    <row r="42" spans="1:29" x14ac:dyDescent="0.25">
      <c r="A42" s="35"/>
      <c r="B42" s="5" t="e">
        <f>VLOOKUP(A42,Relay!$A$1:$B$50,2,FALSE)</f>
        <v>#N/A</v>
      </c>
      <c r="C42" s="5" t="e">
        <f>VLOOKUP(A42,Relay!$A$2:$C$51,3,FALSE)</f>
        <v>#N/A</v>
      </c>
      <c r="D42" s="39"/>
      <c r="E42" s="35"/>
      <c r="F42" s="35" t="str">
        <f t="shared" si="0"/>
        <v>INS</v>
      </c>
      <c r="G42" s="5" t="e">
        <f>IF(OR(E42="Jeopardy",E42="APP Moonlighting",E42="Differential Pay"),"",July[[#This Row],[SysID]])</f>
        <v>#N/A</v>
      </c>
      <c r="H42" s="5" t="e">
        <f>IF(E42="Jeopardy",IF(C42="MD",Relay!$E$7,Relay!$E$8),IF(C42="MD",IF(COUNTIF(G:G,B42)&gt;1,Relay!$E$2,Relay!$E$1),IF(AND(COUNTIF(G:G,B42)&gt;1,COUNTA(A42)&gt;0),Relay!$E$5,Relay!$E$4)))</f>
        <v>#N/A</v>
      </c>
      <c r="I42" s="8">
        <f t="shared" si="3"/>
        <v>0</v>
      </c>
      <c r="J42" s="35"/>
      <c r="K42" s="35"/>
      <c r="L42" s="35"/>
      <c r="M42" s="35"/>
      <c r="N42" s="10" t="e">
        <f>IF(H42=July!$E$2,"N",IF(AND(COUNTIF(B:B,B42)=1,D42&gt;14),"Y","N"))</f>
        <v>#N/A</v>
      </c>
      <c r="O42" s="55" t="str">
        <f>IF(COUNT(July[[#This Row],[Date]])&gt;0,IF(July[[#This Row],[Date]]&gt;14,"Yes","No"),"N/A")</f>
        <v>N/A</v>
      </c>
      <c r="P42" s="55"/>
      <c r="Q42" s="5">
        <f>Relay!A41</f>
        <v>0</v>
      </c>
      <c r="R42" s="5">
        <f>Relay!B41</f>
        <v>40</v>
      </c>
      <c r="S42" s="8">
        <f>IF(July[After the 14th?]="No",SUMIF(July[SysID],R42,July[Pay Amount]),0)</f>
        <v>0</v>
      </c>
      <c r="T42" s="8"/>
      <c r="U42" s="5" t="str">
        <f t="shared" si="4"/>
        <v>N</v>
      </c>
      <c r="X42" s="56"/>
      <c r="Y42" s="56"/>
      <c r="Z42" s="56"/>
      <c r="AA42" s="56"/>
      <c r="AC42" s="56"/>
    </row>
    <row r="43" spans="1:29" x14ac:dyDescent="0.25">
      <c r="A43" s="35"/>
      <c r="B43" s="5" t="e">
        <f>VLOOKUP(A43,Relay!$A$1:$B$50,2,FALSE)</f>
        <v>#N/A</v>
      </c>
      <c r="C43" s="5" t="e">
        <f>VLOOKUP(A43,Relay!$A$2:$C$51,3,FALSE)</f>
        <v>#N/A</v>
      </c>
      <c r="D43" s="39"/>
      <c r="E43" s="35"/>
      <c r="F43" s="35" t="str">
        <f t="shared" si="0"/>
        <v>INS</v>
      </c>
      <c r="G43" s="5" t="e">
        <f>IF(OR(E43="Jeopardy",E43="APP Moonlighting",E43="Differential Pay"),"",July[[#This Row],[SysID]])</f>
        <v>#N/A</v>
      </c>
      <c r="H43" s="5" t="e">
        <f>IF(E43="Jeopardy",IF(C43="MD",Relay!$E$7,Relay!$E$8),IF(C43="MD",IF(COUNTIF(G:G,B43)&gt;1,Relay!$E$2,Relay!$E$1),IF(AND(COUNTIF(G:G,B43)&gt;1,COUNTA(A43)&gt;0),Relay!$E$5,Relay!$E$4)))</f>
        <v>#N/A</v>
      </c>
      <c r="I43" s="8">
        <f t="shared" si="3"/>
        <v>0</v>
      </c>
      <c r="J43" s="35"/>
      <c r="K43" s="35"/>
      <c r="L43" s="35"/>
      <c r="M43" s="35"/>
      <c r="N43" s="10" t="e">
        <f>IF(H43=July!$E$2,"N",IF(AND(COUNTIF(B:B,B43)=1,D43&gt;14),"Y","N"))</f>
        <v>#N/A</v>
      </c>
      <c r="O43" s="55" t="str">
        <f>IF(COUNT(July[[#This Row],[Date]])&gt;0,IF(July[[#This Row],[Date]]&gt;14,"Yes","No"),"N/A")</f>
        <v>N/A</v>
      </c>
      <c r="P43" s="55"/>
      <c r="Q43" s="5">
        <f>Relay!A42</f>
        <v>0</v>
      </c>
      <c r="R43" s="5">
        <f>Relay!B42</f>
        <v>41</v>
      </c>
      <c r="S43" s="8">
        <f>IF(July[After the 14th?]="No",SUMIF(July[SysID],R43,July[Pay Amount]),0)</f>
        <v>0</v>
      </c>
      <c r="T43" s="8"/>
      <c r="U43" s="5" t="str">
        <f t="shared" si="4"/>
        <v>N</v>
      </c>
      <c r="X43" s="56"/>
      <c r="Y43" s="56"/>
      <c r="Z43" s="56"/>
      <c r="AA43" s="56"/>
      <c r="AC43" s="56"/>
    </row>
    <row r="44" spans="1:29" x14ac:dyDescent="0.25">
      <c r="A44" s="35"/>
      <c r="B44" s="5" t="e">
        <f>VLOOKUP(A44,Relay!$A$1:$B$50,2,FALSE)</f>
        <v>#N/A</v>
      </c>
      <c r="C44" s="5" t="e">
        <f>VLOOKUP(A44,Relay!$A$2:$C$51,3,FALSE)</f>
        <v>#N/A</v>
      </c>
      <c r="D44" s="39"/>
      <c r="E44" s="35"/>
      <c r="F44" s="35" t="str">
        <f t="shared" si="0"/>
        <v>INS</v>
      </c>
      <c r="G44" s="5" t="e">
        <f>IF(OR(E44="Jeopardy",E44="APP Moonlighting",E44="Differential Pay"),"",July[[#This Row],[SysID]])</f>
        <v>#N/A</v>
      </c>
      <c r="H44" s="5" t="e">
        <f>IF(E44="Jeopardy",IF(C44="MD",Relay!$E$7,Relay!$E$8),IF(C44="MD",IF(COUNTIF(G:G,B44)&gt;1,Relay!$E$2,Relay!$E$1),IF(AND(COUNTIF(G:G,B44)&gt;1,COUNTA(A44)&gt;0),Relay!$E$5,Relay!$E$4)))</f>
        <v>#N/A</v>
      </c>
      <c r="I44" s="8">
        <f t="shared" si="3"/>
        <v>0</v>
      </c>
      <c r="J44" s="35"/>
      <c r="K44" s="35"/>
      <c r="L44" s="35"/>
      <c r="M44" s="35"/>
      <c r="N44" s="10" t="e">
        <f>IF(H44=July!$E$2,"N",IF(AND(COUNTIF(B:B,B44)=1,D44&gt;14),"Y","N"))</f>
        <v>#N/A</v>
      </c>
      <c r="O44" s="55" t="str">
        <f>IF(COUNT(July[[#This Row],[Date]])&gt;0,IF(July[[#This Row],[Date]]&gt;14,"Yes","No"),"N/A")</f>
        <v>N/A</v>
      </c>
      <c r="P44" s="55"/>
      <c r="Q44" s="5">
        <f>Relay!A43</f>
        <v>0</v>
      </c>
      <c r="R44" s="5">
        <f>Relay!B43</f>
        <v>42</v>
      </c>
      <c r="S44" s="8">
        <f>IF(July[After the 14th?]="No",SUMIF(July[SysID],R44,July[Pay Amount]),0)</f>
        <v>0</v>
      </c>
      <c r="T44" s="8"/>
      <c r="U44" s="5" t="str">
        <f t="shared" si="4"/>
        <v>N</v>
      </c>
      <c r="X44" s="56"/>
      <c r="Y44" s="56"/>
      <c r="Z44" s="56"/>
      <c r="AA44" s="56"/>
      <c r="AC44" s="56"/>
    </row>
    <row r="45" spans="1:29" x14ac:dyDescent="0.25">
      <c r="A45" s="35"/>
      <c r="B45" s="5" t="e">
        <f>VLOOKUP(A45,Relay!$A$1:$B$50,2,FALSE)</f>
        <v>#N/A</v>
      </c>
      <c r="C45" s="5" t="e">
        <f>VLOOKUP(A45,Relay!$A$2:$C$51,3,FALSE)</f>
        <v>#N/A</v>
      </c>
      <c r="D45" s="39"/>
      <c r="E45" s="35"/>
      <c r="F45" s="35" t="str">
        <f t="shared" ref="F45:F58" si="5">IF(E45="Moonlighting", 12, "INS")</f>
        <v>INS</v>
      </c>
      <c r="G45" s="5" t="e">
        <f>IF(OR(E45="Jeopardy",E45="APP Moonlighting",E45="Differential Pay"),"",July[[#This Row],[SysID]])</f>
        <v>#N/A</v>
      </c>
      <c r="H45" s="5" t="e">
        <f>IF(E45="Jeopardy",IF(C45="MD",Relay!$E$7,Relay!$E$8),IF(C45="MD",IF(COUNTIF(G:G,B45)&gt;1,Relay!$E$2,Relay!$E$1),IF(AND(COUNTIF(G:G,B45)&gt;1,COUNTA(A45)&gt;0),Relay!$E$5,Relay!$E$4)))</f>
        <v>#N/A</v>
      </c>
      <c r="I45" s="8">
        <f t="shared" si="3"/>
        <v>0</v>
      </c>
      <c r="J45" s="35"/>
      <c r="K45" s="35"/>
      <c r="L45" s="35"/>
      <c r="M45" s="35"/>
      <c r="N45" s="10" t="e">
        <f>IF(H45=July!$E$2,"N",IF(AND(COUNTIF(B:B,B45)=1,D45&gt;14),"Y","N"))</f>
        <v>#N/A</v>
      </c>
      <c r="O45" s="55" t="str">
        <f>IF(COUNT(July[[#This Row],[Date]])&gt;0,IF(July[[#This Row],[Date]]&gt;14,"Yes","No"),"N/A")</f>
        <v>N/A</v>
      </c>
      <c r="P45" s="55"/>
      <c r="Q45" s="5">
        <f>Relay!A44</f>
        <v>0</v>
      </c>
      <c r="R45" s="5">
        <f>Relay!B44</f>
        <v>43</v>
      </c>
      <c r="S45" s="8">
        <f>IF(July[After the 14th?]="No",SUMIF(July[SysID],R45,July[Pay Amount]),0)</f>
        <v>0</v>
      </c>
      <c r="T45" s="8"/>
      <c r="U45" s="5" t="str">
        <f t="shared" si="4"/>
        <v>N</v>
      </c>
      <c r="X45" s="56"/>
      <c r="Y45" s="56"/>
      <c r="Z45" s="56"/>
      <c r="AA45" s="56"/>
      <c r="AC45" s="56"/>
    </row>
    <row r="46" spans="1:29" x14ac:dyDescent="0.25">
      <c r="A46" s="35"/>
      <c r="B46" s="5" t="e">
        <f>VLOOKUP(A46,Relay!$A$1:$B$50,2,FALSE)</f>
        <v>#N/A</v>
      </c>
      <c r="C46" s="5" t="e">
        <f>VLOOKUP(A46,Relay!$A$2:$C$51,3,FALSE)</f>
        <v>#N/A</v>
      </c>
      <c r="D46" s="39"/>
      <c r="E46" s="35"/>
      <c r="F46" s="35" t="str">
        <f t="shared" si="5"/>
        <v>INS</v>
      </c>
      <c r="G46" s="5" t="e">
        <f>IF(OR(E46="Jeopardy",E46="APP Moonlighting",E46="Differential Pay"),"",July[[#This Row],[SysID]])</f>
        <v>#N/A</v>
      </c>
      <c r="H46" s="5" t="e">
        <f>IF(E46="Jeopardy",IF(C46="MD",Relay!$E$7,Relay!$E$8),IF(C46="MD",IF(COUNTIF(G:G,B46)&gt;1,Relay!$E$2,Relay!$E$1),IF(AND(COUNTIF(G:G,B46)&gt;1,COUNTA(A46)&gt;0),Relay!$E$5,Relay!$E$4)))</f>
        <v>#N/A</v>
      </c>
      <c r="I46" s="8">
        <f t="shared" si="3"/>
        <v>0</v>
      </c>
      <c r="J46" s="35"/>
      <c r="K46" s="35"/>
      <c r="L46" s="35"/>
      <c r="M46" s="35"/>
      <c r="N46" s="10" t="e">
        <f>IF(H46=July!$E$2,"N",IF(AND(COUNTIF(B:B,B46)=1,D46&gt;14),"Y","N"))</f>
        <v>#N/A</v>
      </c>
      <c r="O46" s="55" t="str">
        <f>IF(COUNT(July[[#This Row],[Date]])&gt;0,IF(July[[#This Row],[Date]]&gt;14,"Yes","No"),"N/A")</f>
        <v>N/A</v>
      </c>
      <c r="P46" s="55"/>
      <c r="Q46" s="5">
        <f>Relay!A45</f>
        <v>0</v>
      </c>
      <c r="R46" s="5">
        <f>Relay!B45</f>
        <v>44</v>
      </c>
      <c r="S46" s="8">
        <f>IF(July[After the 14th?]="No",SUMIF(July[SysID],R46,July[Pay Amount]),0)</f>
        <v>0</v>
      </c>
      <c r="T46" s="8"/>
      <c r="U46" s="5" t="str">
        <f t="shared" si="4"/>
        <v>N</v>
      </c>
      <c r="X46" s="56"/>
      <c r="Y46" s="56"/>
      <c r="Z46" s="56"/>
      <c r="AA46" s="56"/>
      <c r="AC46" s="56"/>
    </row>
    <row r="47" spans="1:29" x14ac:dyDescent="0.25">
      <c r="A47" s="35"/>
      <c r="B47" s="5" t="e">
        <f>VLOOKUP(A47,Relay!$A$1:$B$50,2,FALSE)</f>
        <v>#N/A</v>
      </c>
      <c r="C47" s="5" t="e">
        <f>VLOOKUP(A47,Relay!$A$2:$C$51,3,FALSE)</f>
        <v>#N/A</v>
      </c>
      <c r="D47" s="39"/>
      <c r="E47" s="35"/>
      <c r="F47" s="35" t="str">
        <f t="shared" si="5"/>
        <v>INS</v>
      </c>
      <c r="G47" s="5" t="e">
        <f>IF(OR(E47="Jeopardy",E47="APP Moonlighting",E47="Differential Pay"),"",July[[#This Row],[SysID]])</f>
        <v>#N/A</v>
      </c>
      <c r="H47" s="5" t="e">
        <f>IF(E47="Jeopardy",IF(C47="MD",Relay!$E$7,Relay!$E$8),IF(C47="MD",IF(COUNTIF(G:G,B47)&gt;1,Relay!$E$2,Relay!$E$1),IF(AND(COUNTIF(G:G,B47)&gt;1,COUNTA(A47)&gt;0),Relay!$E$5,Relay!$E$4)))</f>
        <v>#N/A</v>
      </c>
      <c r="I47" s="8">
        <f t="shared" si="3"/>
        <v>0</v>
      </c>
      <c r="J47" s="35"/>
      <c r="K47" s="35"/>
      <c r="L47" s="35"/>
      <c r="M47" s="35"/>
      <c r="N47" s="10" t="e">
        <f>IF(H47=July!$E$2,"N",IF(AND(COUNTIF(B:B,B47)=1,D47&gt;14),"Y","N"))</f>
        <v>#N/A</v>
      </c>
      <c r="O47" s="55" t="str">
        <f>IF(COUNT(July[[#This Row],[Date]])&gt;0,IF(July[[#This Row],[Date]]&gt;14,"Yes","No"),"N/A")</f>
        <v>N/A</v>
      </c>
      <c r="P47" s="55"/>
      <c r="Q47" s="5">
        <f>Relay!A46</f>
        <v>0</v>
      </c>
      <c r="R47" s="5">
        <f>Relay!B46</f>
        <v>45</v>
      </c>
      <c r="S47" s="8">
        <f>IF(July[After the 14th?]="No",SUMIF(July[SysID],R47,July[Pay Amount]),0)</f>
        <v>0</v>
      </c>
      <c r="T47" s="8"/>
      <c r="U47" s="5" t="str">
        <f t="shared" si="4"/>
        <v>N</v>
      </c>
      <c r="X47" s="56"/>
      <c r="Y47" s="56"/>
      <c r="Z47" s="56"/>
      <c r="AA47" s="56"/>
      <c r="AC47" s="56"/>
    </row>
    <row r="48" spans="1:29" x14ac:dyDescent="0.25">
      <c r="A48" s="35"/>
      <c r="B48" s="5" t="e">
        <f>VLOOKUP(A48,Relay!$A$1:$B$50,2,FALSE)</f>
        <v>#N/A</v>
      </c>
      <c r="C48" s="5" t="e">
        <f>VLOOKUP(A48,Relay!$A$2:$C$51,3,FALSE)</f>
        <v>#N/A</v>
      </c>
      <c r="D48" s="39"/>
      <c r="E48" s="35"/>
      <c r="F48" s="35" t="str">
        <f t="shared" si="5"/>
        <v>INS</v>
      </c>
      <c r="G48" s="5" t="e">
        <f>IF(OR(E48="Jeopardy",E48="APP Moonlighting",E48="Differential Pay"),"",July[[#This Row],[SysID]])</f>
        <v>#N/A</v>
      </c>
      <c r="H48" s="5" t="e">
        <f>IF(E48="Jeopardy",IF(C48="MD",Relay!$E$7,Relay!$E$8),IF(C48="MD",IF(COUNTIF(G:G,B48)&gt;1,Relay!$E$2,Relay!$E$1),IF(AND(COUNTIF(G:G,B48)&gt;1,COUNTA(A48)&gt;0),Relay!$E$5,Relay!$E$4)))</f>
        <v>#N/A</v>
      </c>
      <c r="I48" s="8">
        <f t="shared" si="3"/>
        <v>0</v>
      </c>
      <c r="J48" s="35"/>
      <c r="K48" s="35"/>
      <c r="L48" s="35"/>
      <c r="M48" s="35"/>
      <c r="N48" s="10" t="e">
        <f>IF(H48=July!$E$2,"N",IF(AND(COUNTIF(B:B,B48)=1,D48&gt;14),"Y","N"))</f>
        <v>#N/A</v>
      </c>
      <c r="O48" s="55" t="str">
        <f>IF(COUNT(July[[#This Row],[Date]])&gt;0,IF(July[[#This Row],[Date]]&gt;14,"Yes","No"),"N/A")</f>
        <v>N/A</v>
      </c>
      <c r="P48" s="55"/>
      <c r="Q48" s="5">
        <f>Relay!A47</f>
        <v>0</v>
      </c>
      <c r="R48" s="5">
        <f>Relay!B47</f>
        <v>46</v>
      </c>
      <c r="S48" s="8">
        <f>IF(July[After the 14th?]="No",SUMIF(July[SysID],R48,July[Pay Amount]),0)</f>
        <v>0</v>
      </c>
      <c r="T48" s="8"/>
      <c r="U48" s="5" t="str">
        <f t="shared" si="4"/>
        <v>N</v>
      </c>
      <c r="X48" s="56"/>
      <c r="Y48" s="56"/>
      <c r="Z48" s="56"/>
      <c r="AA48" s="56"/>
      <c r="AC48" s="56"/>
    </row>
    <row r="49" spans="1:29" x14ac:dyDescent="0.25">
      <c r="A49" s="35"/>
      <c r="B49" s="5" t="e">
        <f>VLOOKUP(A49,Relay!$A$1:$B$50,2,FALSE)</f>
        <v>#N/A</v>
      </c>
      <c r="C49" s="5" t="e">
        <f>VLOOKUP(A49,Relay!$A$2:$C$51,3,FALSE)</f>
        <v>#N/A</v>
      </c>
      <c r="D49" s="39"/>
      <c r="E49" s="35"/>
      <c r="F49" s="35" t="str">
        <f t="shared" si="5"/>
        <v>INS</v>
      </c>
      <c r="G49" s="5" t="e">
        <f>IF(OR(E49="Jeopardy",E49="APP Moonlighting",E49="Differential Pay"),"",July[[#This Row],[SysID]])</f>
        <v>#N/A</v>
      </c>
      <c r="H49" s="5" t="e">
        <f>IF(E49="Jeopardy",IF(C49="MD",Relay!$E$7,Relay!$E$8),IF(C49="MD",IF(COUNTIF(G:G,B49)&gt;1,Relay!$E$2,Relay!$E$1),IF(AND(COUNTIF(G:G,B49)&gt;1,COUNTA(A49)&gt;0),Relay!$E$5,Relay!$E$4)))</f>
        <v>#N/A</v>
      </c>
      <c r="I49" s="8">
        <f t="shared" si="3"/>
        <v>0</v>
      </c>
      <c r="J49" s="35"/>
      <c r="K49" s="35"/>
      <c r="L49" s="35"/>
      <c r="M49" s="35"/>
      <c r="N49" s="10" t="e">
        <f>IF(H49=July!$E$2,"N",IF(AND(COUNTIF(B:B,B49)=1,D49&gt;14),"Y","N"))</f>
        <v>#N/A</v>
      </c>
      <c r="O49" s="55" t="str">
        <f>IF(COUNT(July[[#This Row],[Date]])&gt;0,IF(July[[#This Row],[Date]]&gt;14,"Yes","No"),"N/A")</f>
        <v>N/A</v>
      </c>
      <c r="P49" s="55"/>
      <c r="Q49" s="5">
        <f>Relay!A48</f>
        <v>0</v>
      </c>
      <c r="R49" s="5">
        <f>Relay!B48</f>
        <v>47</v>
      </c>
      <c r="S49" s="8">
        <f>IF(July[After the 14th?]="No",SUMIF(July[SysID],R49,July[Pay Amount]),0)</f>
        <v>0</v>
      </c>
      <c r="T49" s="8"/>
      <c r="U49" s="5" t="str">
        <f t="shared" si="4"/>
        <v>N</v>
      </c>
      <c r="X49" s="56"/>
      <c r="Y49" s="56"/>
      <c r="Z49" s="56"/>
      <c r="AA49" s="56"/>
      <c r="AC49" s="56"/>
    </row>
    <row r="50" spans="1:29" x14ac:dyDescent="0.25">
      <c r="A50" s="35"/>
      <c r="B50" s="5" t="e">
        <f>VLOOKUP(A50,Relay!$A$1:$B$50,2,FALSE)</f>
        <v>#N/A</v>
      </c>
      <c r="C50" s="5" t="e">
        <f>VLOOKUP(A50,Relay!$A$2:$C$51,3,FALSE)</f>
        <v>#N/A</v>
      </c>
      <c r="D50" s="39"/>
      <c r="E50" s="35"/>
      <c r="F50" s="35" t="str">
        <f t="shared" si="5"/>
        <v>INS</v>
      </c>
      <c r="G50" s="5" t="e">
        <f>IF(OR(E50="Jeopardy",E50="APP Moonlighting",E50="Differential Pay"),"",July[[#This Row],[SysID]])</f>
        <v>#N/A</v>
      </c>
      <c r="H50" s="5" t="e">
        <f>IF(E50="Jeopardy",IF(C50="MD",Relay!$E$7,Relay!$E$8),IF(C50="MD",IF(COUNTIF(G:G,B50)&gt;1,Relay!$E$2,Relay!$E$1),IF(AND(COUNTIF(G:G,B50)&gt;1,COUNTA(A50)&gt;0),Relay!$E$5,Relay!$E$4)))</f>
        <v>#N/A</v>
      </c>
      <c r="I50" s="8">
        <f t="shared" si="3"/>
        <v>0</v>
      </c>
      <c r="J50" s="35"/>
      <c r="K50" s="35"/>
      <c r="L50" s="35"/>
      <c r="M50" s="35"/>
      <c r="N50" s="10" t="e">
        <f>IF(H50=July!$E$2,"N",IF(AND(COUNTIF(B:B,B50)=1,D50&gt;14),"Y","N"))</f>
        <v>#N/A</v>
      </c>
      <c r="O50" s="55" t="str">
        <f>IF(COUNT(July[[#This Row],[Date]])&gt;0,IF(July[[#This Row],[Date]]&gt;14,"Yes","No"),"N/A")</f>
        <v>N/A</v>
      </c>
      <c r="P50" s="55"/>
      <c r="Q50" s="5">
        <f>Relay!A49</f>
        <v>0</v>
      </c>
      <c r="R50" s="5">
        <f>Relay!B49</f>
        <v>48</v>
      </c>
      <c r="S50" s="8">
        <f>IF(July[After the 14th?]="No",SUMIF(July[SysID],R50,July[Pay Amount]),0)</f>
        <v>0</v>
      </c>
      <c r="T50" s="8"/>
      <c r="U50" s="5" t="str">
        <f t="shared" si="4"/>
        <v>N</v>
      </c>
      <c r="X50" s="56"/>
      <c r="Y50" s="56"/>
      <c r="Z50" s="56"/>
      <c r="AA50" s="56"/>
      <c r="AC50" s="56"/>
    </row>
    <row r="51" spans="1:29" x14ac:dyDescent="0.25">
      <c r="A51" s="35"/>
      <c r="B51" s="32" t="e">
        <f>VLOOKUP(A51,Relay!$A$1:$B$50,2,FALSE)</f>
        <v>#N/A</v>
      </c>
      <c r="C51" s="32" t="e">
        <f>VLOOKUP(A51,Relay!$A$2:$C$101,3,FALSE)</f>
        <v>#N/A</v>
      </c>
      <c r="D51" s="39"/>
      <c r="E51" s="35"/>
      <c r="F51" s="58" t="str">
        <f t="shared" si="5"/>
        <v>INS</v>
      </c>
      <c r="G51" s="32" t="e">
        <f>IF(OR(E51="Jeopardy",E51="APP Moonlighting",E51="Differential Pay"),"",July[[#This Row],[SysID]])</f>
        <v>#N/A</v>
      </c>
      <c r="H51" s="32" t="e">
        <f>IF(E51="Jeopardy",IF(C51="MD",Relay!$E$7,Relay!$E$8),IF(C51="MD",IF(COUNTIF(G:G,B51)&gt;1,Relay!$E$2,Relay!$E$1),IF(AND(COUNTIF(G:G,B51)&gt;1,COUNTA(A51)&gt;0),Relay!$E$5,Relay!$E$4)))</f>
        <v>#N/A</v>
      </c>
      <c r="I51" s="8">
        <f t="shared" si="3"/>
        <v>0</v>
      </c>
      <c r="J51" s="35"/>
      <c r="K51" s="35"/>
      <c r="L51" s="35"/>
      <c r="M51" s="35"/>
      <c r="N51" s="32" t="e">
        <f>IF(H51=July!$E$2,"N",IF(AND(COUNTIF(B:B,B51)=1,D51&gt;14),"Y","N"))</f>
        <v>#N/A</v>
      </c>
      <c r="O51" s="55" t="str">
        <f>IF(COUNT(July[[#This Row],[Date]])&gt;0,IF(July[[#This Row],[Date]]&gt;14,"Yes","No"),"N/A")</f>
        <v>N/A</v>
      </c>
      <c r="P51" s="55"/>
      <c r="Q51" s="5">
        <f>Relay!A50</f>
        <v>0</v>
      </c>
      <c r="R51" s="5">
        <f>Relay!B50</f>
        <v>49</v>
      </c>
      <c r="S51" s="8">
        <f>IF(July[After the 14th?]="No",SUMIF(July[SysID],R51,July[Pay Amount]),0)</f>
        <v>0</v>
      </c>
      <c r="T51" s="8"/>
      <c r="U51" s="5" t="str">
        <f t="shared" si="4"/>
        <v>N</v>
      </c>
      <c r="X51" s="56"/>
      <c r="Y51" s="56"/>
      <c r="Z51" s="56"/>
      <c r="AA51" s="56"/>
      <c r="AC51" s="56"/>
    </row>
    <row r="52" spans="1:29" x14ac:dyDescent="0.25">
      <c r="A52" s="35"/>
      <c r="B52" s="32" t="e">
        <f>VLOOKUP(A52,Relay!$A$1:$B$50,2,FALSE)</f>
        <v>#N/A</v>
      </c>
      <c r="C52" s="32" t="e">
        <f>VLOOKUP(A52,Relay!$A$2:$C$101,3,FALSE)</f>
        <v>#N/A</v>
      </c>
      <c r="D52" s="39"/>
      <c r="E52" s="35"/>
      <c r="F52" s="58" t="str">
        <f t="shared" si="5"/>
        <v>INS</v>
      </c>
      <c r="G52" s="32" t="e">
        <f>IF(OR(E52="Jeopardy",E52="APP Moonlighting",E52="Differential Pay"),"",July[[#This Row],[SysID]])</f>
        <v>#N/A</v>
      </c>
      <c r="H52" s="32" t="e">
        <f>IF(E52="Jeopardy",IF(C52="MD",Relay!$E$7,Relay!$E$8),IF(C52="MD",IF(COUNTIF(G:G,B52)&gt;1,Relay!$E$2,Relay!$E$1),IF(AND(COUNTIF(G:G,B52)&gt;1,COUNTA(A52)&gt;0),Relay!$E$5,Relay!$E$4)))</f>
        <v>#N/A</v>
      </c>
      <c r="I52" s="8">
        <f t="shared" si="3"/>
        <v>0</v>
      </c>
      <c r="J52" s="35"/>
      <c r="K52" s="35"/>
      <c r="L52" s="35"/>
      <c r="M52" s="35"/>
      <c r="N52" s="32" t="e">
        <f>IF(H52=July!$E$2,"N",IF(AND(COUNTIF(B:B,B52)=1,D52&gt;14),"Y","N"))</f>
        <v>#N/A</v>
      </c>
      <c r="O52" s="55" t="str">
        <f>IF(COUNT(July[[#This Row],[Date]])&gt;0,IF(July[[#This Row],[Date]]&gt;14,"Yes","No"),"N/A")</f>
        <v>N/A</v>
      </c>
      <c r="P52" s="55"/>
      <c r="Q52" s="5">
        <f>Relay!A51</f>
        <v>0</v>
      </c>
      <c r="R52" s="5">
        <f>Relay!B51</f>
        <v>50</v>
      </c>
      <c r="S52" s="8">
        <f>IF(July[After the 14th?]="No",SUMIF(July[SysID],R52,July[Pay Amount]),0)</f>
        <v>0</v>
      </c>
      <c r="T52" s="8"/>
      <c r="U52" s="5" t="str">
        <f t="shared" si="4"/>
        <v>N</v>
      </c>
      <c r="X52" s="56"/>
      <c r="Y52" s="56"/>
      <c r="Z52" s="56"/>
      <c r="AA52" s="56"/>
      <c r="AC52" s="56"/>
    </row>
    <row r="53" spans="1:29" x14ac:dyDescent="0.25">
      <c r="A53" s="35"/>
      <c r="B53" s="32" t="e">
        <f>VLOOKUP(A53,Relay!$A$1:$B$50,2,FALSE)</f>
        <v>#N/A</v>
      </c>
      <c r="C53" s="32" t="e">
        <f>VLOOKUP(A53,Relay!$A$2:$C$101,3,FALSE)</f>
        <v>#N/A</v>
      </c>
      <c r="D53" s="39"/>
      <c r="E53" s="35"/>
      <c r="F53" s="58" t="str">
        <f t="shared" si="5"/>
        <v>INS</v>
      </c>
      <c r="G53" s="32" t="e">
        <f>IF(OR(E53="Jeopardy",E53="APP Moonlighting",E53="Differential Pay"),"",July[[#This Row],[SysID]])</f>
        <v>#N/A</v>
      </c>
      <c r="H53" s="32" t="e">
        <f>IF(E53="Jeopardy",IF(C53="MD",Relay!$E$7,Relay!$E$8),IF(C53="MD",IF(COUNTIF(G:G,B53)&gt;1,Relay!$E$2,Relay!$E$1),IF(AND(COUNTIF(G:G,B53)&gt;1,COUNTA(A53)&gt;0),Relay!$E$5,Relay!$E$4)))</f>
        <v>#N/A</v>
      </c>
      <c r="I53" s="8">
        <f t="shared" si="3"/>
        <v>0</v>
      </c>
      <c r="J53" s="35"/>
      <c r="K53" s="35"/>
      <c r="L53" s="35"/>
      <c r="M53" s="35"/>
      <c r="N53" s="32" t="e">
        <f>IF(H53=July!$E$2,"N",IF(AND(COUNTIF(B:B,B53)=1,D53&gt;14),"Y","N"))</f>
        <v>#N/A</v>
      </c>
      <c r="O53" s="55" t="str">
        <f>IF(COUNT(July[[#This Row],[Date]])&gt;0,IF(July[[#This Row],[Date]]&gt;14,"Yes","No"),"N/A")</f>
        <v>N/A</v>
      </c>
      <c r="P53" s="55"/>
      <c r="Q53" s="5">
        <f>Relay!A52</f>
        <v>0</v>
      </c>
      <c r="R53" s="5">
        <f>Relay!B52</f>
        <v>51</v>
      </c>
      <c r="S53" s="8">
        <f>IF(July[After the 14th?]="No",SUMIF(July[SysID],R53,July[Pay Amount]),0)</f>
        <v>0</v>
      </c>
      <c r="T53" s="8"/>
      <c r="U53" s="5" t="str">
        <f t="shared" si="4"/>
        <v>N</v>
      </c>
      <c r="X53" s="56"/>
      <c r="Y53" s="56"/>
      <c r="Z53" s="56"/>
      <c r="AA53" s="56"/>
      <c r="AC53" s="56"/>
    </row>
    <row r="54" spans="1:29" x14ac:dyDescent="0.25">
      <c r="A54" s="35"/>
      <c r="B54" s="32" t="e">
        <f>VLOOKUP(A54,Relay!$A$1:$B$50,2,FALSE)</f>
        <v>#N/A</v>
      </c>
      <c r="C54" s="32" t="e">
        <f>VLOOKUP(A54,Relay!$A$2:$C$101,3,FALSE)</f>
        <v>#N/A</v>
      </c>
      <c r="D54" s="39"/>
      <c r="E54" s="35"/>
      <c r="F54" s="58" t="str">
        <f t="shared" si="5"/>
        <v>INS</v>
      </c>
      <c r="G54" s="32" t="e">
        <f>IF(OR(E54="Jeopardy",E54="APP Moonlighting",E54="Differential Pay"),"",July[[#This Row],[SysID]])</f>
        <v>#N/A</v>
      </c>
      <c r="H54" s="32" t="e">
        <f>IF(E54="Jeopardy",IF(C54="MD",Relay!$E$7,Relay!$E$8),IF(C54="MD",IF(COUNTIF(G:G,B54)&gt;1,Relay!$E$2,Relay!$E$1),IF(AND(COUNTIF(G:G,B54)&gt;1,COUNTA(A54)&gt;0),Relay!$E$5,Relay!$E$4)))</f>
        <v>#N/A</v>
      </c>
      <c r="I54" s="8">
        <f t="shared" si="3"/>
        <v>0</v>
      </c>
      <c r="J54" s="35"/>
      <c r="K54" s="35"/>
      <c r="L54" s="35"/>
      <c r="M54" s="35"/>
      <c r="N54" s="32" t="e">
        <f>IF(H54=July!$E$2,"N",IF(AND(COUNTIF(B:B,B54)=1,D54&gt;14),"Y","N"))</f>
        <v>#N/A</v>
      </c>
      <c r="O54" s="55" t="str">
        <f>IF(COUNT(July[[#This Row],[Date]])&gt;0,IF(July[[#This Row],[Date]]&gt;14,"Yes","No"),"N/A")</f>
        <v>N/A</v>
      </c>
      <c r="P54" s="55"/>
      <c r="Q54" s="5">
        <f>Relay!A53</f>
        <v>0</v>
      </c>
      <c r="R54" s="5">
        <f>Relay!B53</f>
        <v>52</v>
      </c>
      <c r="S54" s="8">
        <f>IF(July[After the 14th?]="No",SUMIF(July[SysID],R54,July[Pay Amount]),0)</f>
        <v>0</v>
      </c>
      <c r="T54" s="8"/>
      <c r="U54" s="5" t="str">
        <f t="shared" si="4"/>
        <v>N</v>
      </c>
      <c r="X54" s="56"/>
      <c r="Y54" s="56"/>
      <c r="Z54" s="56"/>
      <c r="AA54" s="56"/>
      <c r="AC54" s="56"/>
    </row>
    <row r="55" spans="1:29" x14ac:dyDescent="0.25">
      <c r="A55" s="35"/>
      <c r="B55" s="32" t="e">
        <f>VLOOKUP(A55,Relay!$A$1:$B$50,2,FALSE)</f>
        <v>#N/A</v>
      </c>
      <c r="C55" s="32" t="e">
        <f>VLOOKUP(A55,Relay!$A$2:$C$101,3,FALSE)</f>
        <v>#N/A</v>
      </c>
      <c r="D55" s="39"/>
      <c r="E55" s="35"/>
      <c r="F55" s="58" t="str">
        <f t="shared" si="5"/>
        <v>INS</v>
      </c>
      <c r="G55" s="32" t="e">
        <f>IF(OR(E55="Jeopardy",E55="APP Moonlighting",E55="Differential Pay"),"",July[[#This Row],[SysID]])</f>
        <v>#N/A</v>
      </c>
      <c r="H55" s="32" t="e">
        <f>IF(E55="Jeopardy",IF(C55="MD",Relay!$E$7,Relay!$E$8),IF(C55="MD",IF(COUNTIF(G:G,B55)&gt;1,Relay!$E$2,Relay!$E$1),IF(AND(COUNTIF(G:G,B55)&gt;1,COUNTA(A55)&gt;0),Relay!$E$5,Relay!$E$4)))</f>
        <v>#N/A</v>
      </c>
      <c r="I55" s="8">
        <f t="shared" si="3"/>
        <v>0</v>
      </c>
      <c r="J55" s="35"/>
      <c r="K55" s="35"/>
      <c r="L55" s="35"/>
      <c r="M55" s="35"/>
      <c r="N55" s="32" t="e">
        <f>IF(H55=July!$E$2,"N",IF(AND(COUNTIF(B:B,B55)=1,D55&gt;14),"Y","N"))</f>
        <v>#N/A</v>
      </c>
      <c r="O55" s="55" t="str">
        <f>IF(COUNT(July[[#This Row],[Date]])&gt;0,IF(July[[#This Row],[Date]]&gt;14,"Yes","No"),"N/A")</f>
        <v>N/A</v>
      </c>
      <c r="P55" s="55"/>
      <c r="Q55" s="5">
        <f>Relay!A54</f>
        <v>0</v>
      </c>
      <c r="R55" s="5">
        <f>Relay!B54</f>
        <v>53</v>
      </c>
      <c r="S55" s="8">
        <f>IF(July[After the 14th?]="No",SUMIF(July[SysID],R55,July[Pay Amount]),0)</f>
        <v>0</v>
      </c>
      <c r="T55" s="8"/>
      <c r="U55" s="5" t="str">
        <f t="shared" si="4"/>
        <v>N</v>
      </c>
      <c r="X55" s="56"/>
      <c r="Y55" s="56"/>
      <c r="Z55" s="56"/>
      <c r="AA55" s="56"/>
      <c r="AC55" s="56"/>
    </row>
    <row r="56" spans="1:29" x14ac:dyDescent="0.25">
      <c r="A56" s="35"/>
      <c r="B56" s="32" t="e">
        <f>VLOOKUP(A56,Relay!$A$1:$B$50,2,FALSE)</f>
        <v>#N/A</v>
      </c>
      <c r="C56" s="32" t="e">
        <f>VLOOKUP(A56,Relay!$A$2:$C$101,3,FALSE)</f>
        <v>#N/A</v>
      </c>
      <c r="D56" s="39"/>
      <c r="E56" s="35"/>
      <c r="F56" s="58" t="str">
        <f t="shared" si="5"/>
        <v>INS</v>
      </c>
      <c r="G56" s="32" t="e">
        <f>IF(OR(E56="Jeopardy",E56="APP Moonlighting",E56="Differential Pay"),"",July[[#This Row],[SysID]])</f>
        <v>#N/A</v>
      </c>
      <c r="H56" s="32" t="e">
        <f>IF(E56="Jeopardy",IF(C56="MD",Relay!$E$7,Relay!$E$8),IF(C56="MD",IF(COUNTIF(G:G,B56)&gt;1,Relay!$E$2,Relay!$E$1),IF(AND(COUNTIF(G:G,B56)&gt;1,COUNTA(A56)&gt;0),Relay!$E$5,Relay!$E$4)))</f>
        <v>#N/A</v>
      </c>
      <c r="I56" s="8">
        <f t="shared" si="3"/>
        <v>0</v>
      </c>
      <c r="J56" s="35"/>
      <c r="K56" s="35"/>
      <c r="L56" s="35"/>
      <c r="M56" s="35"/>
      <c r="N56" s="32" t="e">
        <f>IF(H56=July!$E$2,"N",IF(AND(COUNTIF(B:B,B56)=1,D56&gt;14),"Y","N"))</f>
        <v>#N/A</v>
      </c>
      <c r="O56" s="55" t="str">
        <f>IF(COUNT(July[[#This Row],[Date]])&gt;0,IF(July[[#This Row],[Date]]&gt;14,"Yes","No"),"N/A")</f>
        <v>N/A</v>
      </c>
      <c r="P56" s="55"/>
      <c r="Q56" s="5">
        <f>Relay!A55</f>
        <v>0</v>
      </c>
      <c r="R56" s="5">
        <f>Relay!B55</f>
        <v>54</v>
      </c>
      <c r="S56" s="8">
        <f>IF(July[After the 14th?]="No",SUMIF(July[SysID],R56,July[Pay Amount]),0)</f>
        <v>0</v>
      </c>
      <c r="T56" s="8"/>
      <c r="U56" s="5" t="str">
        <f t="shared" si="4"/>
        <v>N</v>
      </c>
      <c r="X56" s="56"/>
      <c r="Y56" s="56"/>
      <c r="Z56" s="56"/>
      <c r="AA56" s="56"/>
      <c r="AC56" s="56"/>
    </row>
    <row r="57" spans="1:29" x14ac:dyDescent="0.25">
      <c r="A57" s="35"/>
      <c r="B57" s="32" t="e">
        <f>VLOOKUP(A57,Relay!$A$1:$B$50,2,FALSE)</f>
        <v>#N/A</v>
      </c>
      <c r="C57" s="32" t="e">
        <f>VLOOKUP(A57,Relay!$A$2:$C$101,3,FALSE)</f>
        <v>#N/A</v>
      </c>
      <c r="D57" s="39"/>
      <c r="E57" s="35"/>
      <c r="F57" s="58" t="str">
        <f t="shared" si="5"/>
        <v>INS</v>
      </c>
      <c r="G57" s="32" t="e">
        <f>IF(OR(E57="Jeopardy",E57="APP Moonlighting",E57="Differential Pay"),"",July[[#This Row],[SysID]])</f>
        <v>#N/A</v>
      </c>
      <c r="H57" s="32" t="e">
        <f>IF(E57="Jeopardy",IF(C57="MD",Relay!$E$7,Relay!$E$8),IF(C57="MD",IF(COUNTIF(G:G,B57)&gt;1,Relay!$E$2,Relay!$E$1),IF(AND(COUNTIF(G:G,B57)&gt;1,COUNTA(A57)&gt;0),Relay!$E$5,Relay!$E$4)))</f>
        <v>#N/A</v>
      </c>
      <c r="I57" s="8">
        <f t="shared" si="3"/>
        <v>0</v>
      </c>
      <c r="J57" s="35"/>
      <c r="K57" s="35"/>
      <c r="L57" s="35"/>
      <c r="M57" s="35"/>
      <c r="N57" s="32" t="e">
        <f>IF(H57=July!$E$2,"N",IF(AND(COUNTIF(B:B,B57)=1,D57&gt;14),"Y","N"))</f>
        <v>#N/A</v>
      </c>
      <c r="O57" s="55" t="str">
        <f>IF(COUNT(July[[#This Row],[Date]])&gt;0,IF(July[[#This Row],[Date]]&gt;14,"Yes","No"),"N/A")</f>
        <v>N/A</v>
      </c>
      <c r="P57" s="55"/>
      <c r="Q57" s="5">
        <f>Relay!A56</f>
        <v>0</v>
      </c>
      <c r="R57" s="5">
        <f>Relay!B56</f>
        <v>55</v>
      </c>
      <c r="S57" s="8">
        <f>IF(July[After the 14th?]="No",SUMIF(July[SysID],R57,July[Pay Amount]),0)</f>
        <v>0</v>
      </c>
      <c r="T57" s="8"/>
      <c r="U57" s="5" t="str">
        <f t="shared" si="4"/>
        <v>N</v>
      </c>
      <c r="X57" s="56"/>
      <c r="Y57" s="56"/>
      <c r="Z57" s="56"/>
      <c r="AA57" s="56"/>
      <c r="AC57" s="56"/>
    </row>
    <row r="58" spans="1:29" x14ac:dyDescent="0.25">
      <c r="A58" s="35"/>
      <c r="B58" s="32" t="e">
        <f>VLOOKUP(A58,Relay!$A$1:$B$50,2,FALSE)</f>
        <v>#N/A</v>
      </c>
      <c r="C58" s="32" t="e">
        <f>VLOOKUP(A58,Relay!$A$2:$C$101,3,FALSE)</f>
        <v>#N/A</v>
      </c>
      <c r="D58" s="39"/>
      <c r="E58" s="35"/>
      <c r="F58" s="58" t="str">
        <f t="shared" si="5"/>
        <v>INS</v>
      </c>
      <c r="G58" s="32" t="e">
        <f>IF(OR(E58="Jeopardy",E58="APP Moonlighting",E58="Differential Pay"),"",July[[#This Row],[SysID]])</f>
        <v>#N/A</v>
      </c>
      <c r="H58" s="32" t="e">
        <f>IF(E58="Jeopardy",IF(C58="MD",Relay!$E$7,Relay!$E$8),IF(C58="MD",IF(COUNTIF(G:G,B58)&gt;1,Relay!$E$2,Relay!$E$1),IF(AND(COUNTIF(G:G,B58)&gt;1,COUNTA(A58)&gt;0),Relay!$E$5,Relay!$E$4)))</f>
        <v>#N/A</v>
      </c>
      <c r="I58" s="8">
        <f t="shared" si="3"/>
        <v>0</v>
      </c>
      <c r="J58" s="35"/>
      <c r="K58" s="35"/>
      <c r="L58" s="35"/>
      <c r="M58" s="35"/>
      <c r="N58" s="32" t="e">
        <f>IF(H58=July!$E$2,"N",IF(AND(COUNTIF(B:B,B58)=1,D58&gt;14),"Y","N"))</f>
        <v>#N/A</v>
      </c>
      <c r="O58" s="55" t="str">
        <f>IF(COUNT(July[[#This Row],[Date]])&gt;0,IF(July[[#This Row],[Date]]&gt;14,"Yes","No"),"N/A")</f>
        <v>N/A</v>
      </c>
      <c r="P58" s="55"/>
      <c r="Q58" s="5">
        <f>Relay!A57</f>
        <v>0</v>
      </c>
      <c r="R58" s="5">
        <f>Relay!B57</f>
        <v>56</v>
      </c>
      <c r="S58" s="8">
        <f>IF(July[After the 14th?]="No",SUMIF(July[SysID],R58,July[Pay Amount]),0)</f>
        <v>0</v>
      </c>
      <c r="T58" s="8"/>
      <c r="U58" s="5" t="str">
        <f t="shared" si="4"/>
        <v>N</v>
      </c>
      <c r="X58" s="56"/>
      <c r="Y58" s="56"/>
      <c r="Z58" s="56"/>
      <c r="AA58" s="56"/>
      <c r="AC58" s="56"/>
    </row>
    <row r="59" spans="1:29" x14ac:dyDescent="0.25">
      <c r="A59" s="35"/>
      <c r="B59" s="32" t="e">
        <f>VLOOKUP(A59,Relay!$A$1:$B$50,2,FALSE)</f>
        <v>#N/A</v>
      </c>
      <c r="C59" s="32" t="e">
        <f>VLOOKUP(A59,Relay!$A$2:$C$101,3,FALSE)</f>
        <v>#N/A</v>
      </c>
      <c r="D59" s="39"/>
      <c r="E59" s="35"/>
      <c r="F59" s="58" t="str">
        <f t="shared" ref="F59:F103" si="6">IF(E59="Moonlighting", 12, "INS")</f>
        <v>INS</v>
      </c>
      <c r="G59" s="32" t="e">
        <f>IF(OR(E59="Jeopardy",E59="APP Moonlighting",E59="Differential Pay"),"",July[[#This Row],[SysID]])</f>
        <v>#N/A</v>
      </c>
      <c r="H59" s="32" t="e">
        <f>IF(E59="Jeopardy",IF(C59="MD",Relay!$E$7,Relay!$E$8),IF(C59="MD",IF(COUNTIF(G:G,B59)&gt;1,Relay!$E$2,Relay!$E$1),IF(AND(COUNTIF(G:G,B59)&gt;1,COUNTA(A59)&gt;0),Relay!$E$5,Relay!$E$4)))</f>
        <v>#N/A</v>
      </c>
      <c r="I59" s="8">
        <f t="shared" ref="I59:I103" si="7">IF(COUNTA(A59)&gt;0,H59*F59,0)</f>
        <v>0</v>
      </c>
      <c r="J59" s="35"/>
      <c r="K59" s="35"/>
      <c r="L59" s="35"/>
      <c r="M59" s="35"/>
      <c r="N59" s="32" t="e">
        <f>IF(H59=July!$E$2,"N",IF(AND(COUNTIF(B:B,B59)=1,D59&gt;14),"Y","N"))</f>
        <v>#N/A</v>
      </c>
      <c r="O59" s="55" t="str">
        <f>IF(COUNT(July[[#This Row],[Date]])&gt;0,IF(July[[#This Row],[Date]]&gt;14,"Yes","No"),"N/A")</f>
        <v>N/A</v>
      </c>
      <c r="P59" s="55"/>
      <c r="Q59" s="5">
        <f>Relay!A58</f>
        <v>0</v>
      </c>
      <c r="R59" s="5">
        <f>Relay!B58</f>
        <v>57</v>
      </c>
      <c r="S59" s="8">
        <f>IF(July[After the 14th?]="No",SUMIF(July[SysID],R59,July[Pay Amount]),0)</f>
        <v>0</v>
      </c>
      <c r="T59" s="8"/>
      <c r="U59" s="5" t="str">
        <f t="shared" si="4"/>
        <v>N</v>
      </c>
      <c r="X59" s="56"/>
      <c r="Y59" s="56"/>
      <c r="Z59" s="56"/>
      <c r="AA59" s="56"/>
      <c r="AC59" s="56"/>
    </row>
    <row r="60" spans="1:29" x14ac:dyDescent="0.25">
      <c r="A60" s="35"/>
      <c r="B60" s="32" t="e">
        <f>VLOOKUP(A60,Relay!$A$1:$B$50,2,FALSE)</f>
        <v>#N/A</v>
      </c>
      <c r="C60" s="32" t="e">
        <f>VLOOKUP(A60,Relay!$A$2:$C$101,3,FALSE)</f>
        <v>#N/A</v>
      </c>
      <c r="D60" s="39"/>
      <c r="E60" s="35"/>
      <c r="F60" s="58" t="str">
        <f t="shared" si="6"/>
        <v>INS</v>
      </c>
      <c r="G60" s="32" t="e">
        <f>IF(OR(E60="Jeopardy",E60="APP Moonlighting",E60="Differential Pay"),"",July[[#This Row],[SysID]])</f>
        <v>#N/A</v>
      </c>
      <c r="H60" s="32" t="e">
        <f>IF(E60="Jeopardy",IF(C60="MD",Relay!$E$7,Relay!$E$8),IF(C60="MD",IF(COUNTIF(G:G,B60)&gt;1,Relay!$E$2,Relay!$E$1),IF(AND(COUNTIF(G:G,B60)&gt;1,COUNTA(A60)&gt;0),Relay!$E$5,Relay!$E$4)))</f>
        <v>#N/A</v>
      </c>
      <c r="I60" s="8">
        <f t="shared" si="7"/>
        <v>0</v>
      </c>
      <c r="J60" s="35"/>
      <c r="K60" s="35"/>
      <c r="L60" s="35"/>
      <c r="M60" s="35"/>
      <c r="N60" s="32" t="e">
        <f>IF(H60=July!$E$2,"N",IF(AND(COUNTIF(B:B,B60)=1,D60&gt;14),"Y","N"))</f>
        <v>#N/A</v>
      </c>
      <c r="O60" s="55" t="str">
        <f>IF(COUNT(July[[#This Row],[Date]])&gt;0,IF(July[[#This Row],[Date]]&gt;14,"Yes","No"),"N/A")</f>
        <v>N/A</v>
      </c>
      <c r="P60" s="55"/>
      <c r="Q60" s="5">
        <f>Relay!A59</f>
        <v>0</v>
      </c>
      <c r="R60" s="5">
        <f>Relay!B59</f>
        <v>58</v>
      </c>
      <c r="S60" s="8">
        <f>IF(July[After the 14th?]="No",SUMIF(July[SysID],R60,July[Pay Amount]),0)</f>
        <v>0</v>
      </c>
      <c r="T60" s="8"/>
      <c r="U60" s="5" t="str">
        <f t="shared" si="4"/>
        <v>N</v>
      </c>
      <c r="X60" s="56"/>
      <c r="Y60" s="56"/>
      <c r="Z60" s="56"/>
      <c r="AA60" s="56"/>
      <c r="AC60" s="56"/>
    </row>
    <row r="61" spans="1:29" x14ac:dyDescent="0.25">
      <c r="A61" s="35"/>
      <c r="B61" s="32" t="e">
        <f>VLOOKUP(A61,Relay!$A$1:$B$50,2,FALSE)</f>
        <v>#N/A</v>
      </c>
      <c r="C61" s="32" t="e">
        <f>VLOOKUP(A61,Relay!$A$2:$C$101,3,FALSE)</f>
        <v>#N/A</v>
      </c>
      <c r="D61" s="39"/>
      <c r="E61" s="35"/>
      <c r="F61" s="58" t="str">
        <f t="shared" si="6"/>
        <v>INS</v>
      </c>
      <c r="G61" s="32" t="e">
        <f>IF(OR(E61="Jeopardy",E61="APP Moonlighting",E61="Differential Pay"),"",July[[#This Row],[SysID]])</f>
        <v>#N/A</v>
      </c>
      <c r="H61" s="32" t="e">
        <f>IF(E61="Jeopardy",IF(C61="MD",Relay!$E$7,Relay!$E$8),IF(C61="MD",IF(COUNTIF(G:G,B61)&gt;1,Relay!$E$2,Relay!$E$1),IF(AND(COUNTIF(G:G,B61)&gt;1,COUNTA(A61)&gt;0),Relay!$E$5,Relay!$E$4)))</f>
        <v>#N/A</v>
      </c>
      <c r="I61" s="8">
        <f t="shared" si="7"/>
        <v>0</v>
      </c>
      <c r="J61" s="35"/>
      <c r="K61" s="35"/>
      <c r="L61" s="35"/>
      <c r="M61" s="35"/>
      <c r="N61" s="32" t="e">
        <f>IF(H61=July!$E$2,"N",IF(AND(COUNTIF(B:B,B61)=1,D61&gt;14),"Y","N"))</f>
        <v>#N/A</v>
      </c>
      <c r="O61" s="55" t="str">
        <f>IF(COUNT(July[[#This Row],[Date]])&gt;0,IF(July[[#This Row],[Date]]&gt;14,"Yes","No"),"N/A")</f>
        <v>N/A</v>
      </c>
      <c r="P61" s="55"/>
      <c r="Q61" s="5">
        <f>Relay!A60</f>
        <v>0</v>
      </c>
      <c r="R61" s="5">
        <f>Relay!B60</f>
        <v>59</v>
      </c>
      <c r="S61" s="8">
        <f>IF(July[After the 14th?]="No",SUMIF(July[SysID],R61,July[Pay Amount]),0)</f>
        <v>0</v>
      </c>
      <c r="T61" s="8"/>
      <c r="U61" s="5" t="str">
        <f t="shared" si="4"/>
        <v>N</v>
      </c>
      <c r="X61" s="56"/>
      <c r="Y61" s="56"/>
      <c r="Z61" s="56"/>
      <c r="AA61" s="56"/>
      <c r="AC61" s="56"/>
    </row>
    <row r="62" spans="1:29" x14ac:dyDescent="0.25">
      <c r="A62" s="35"/>
      <c r="B62" s="32" t="e">
        <f>VLOOKUP(A62,Relay!$A$1:$B$50,2,FALSE)</f>
        <v>#N/A</v>
      </c>
      <c r="C62" s="32" t="e">
        <f>VLOOKUP(A62,Relay!$A$2:$C$101,3,FALSE)</f>
        <v>#N/A</v>
      </c>
      <c r="D62" s="39"/>
      <c r="E62" s="35"/>
      <c r="F62" s="58" t="str">
        <f t="shared" si="6"/>
        <v>INS</v>
      </c>
      <c r="G62" s="32" t="e">
        <f>IF(OR(E62="Jeopardy",E62="APP Moonlighting",E62="Differential Pay"),"",July[[#This Row],[SysID]])</f>
        <v>#N/A</v>
      </c>
      <c r="H62" s="32" t="e">
        <f>IF(E62="Jeopardy",IF(C62="MD",Relay!$E$7,Relay!$E$8),IF(C62="MD",IF(COUNTIF(G:G,B62)&gt;1,Relay!$E$2,Relay!$E$1),IF(AND(COUNTIF(G:G,B62)&gt;1,COUNTA(A62)&gt;0),Relay!$E$5,Relay!$E$4)))</f>
        <v>#N/A</v>
      </c>
      <c r="I62" s="8">
        <f t="shared" si="7"/>
        <v>0</v>
      </c>
      <c r="J62" s="35"/>
      <c r="K62" s="35"/>
      <c r="L62" s="35"/>
      <c r="M62" s="35"/>
      <c r="N62" s="32" t="e">
        <f>IF(H62=July!$E$2,"N",IF(AND(COUNTIF(B:B,B62)=1,D62&gt;14),"Y","N"))</f>
        <v>#N/A</v>
      </c>
      <c r="O62" s="55" t="str">
        <f>IF(COUNT(July[[#This Row],[Date]])&gt;0,IF(July[[#This Row],[Date]]&gt;14,"Yes","No"),"N/A")</f>
        <v>N/A</v>
      </c>
      <c r="P62" s="55"/>
      <c r="Q62" s="5">
        <f>Relay!A61</f>
        <v>0</v>
      </c>
      <c r="R62" s="5">
        <f>Relay!B61</f>
        <v>60</v>
      </c>
      <c r="S62" s="8">
        <f>IF(July[After the 14th?]="No",SUMIF(July[SysID],R62,July[Pay Amount]),0)</f>
        <v>0</v>
      </c>
      <c r="T62" s="8"/>
      <c r="U62" s="5" t="str">
        <f t="shared" si="4"/>
        <v>N</v>
      </c>
      <c r="X62" s="56"/>
      <c r="Y62" s="56"/>
      <c r="Z62" s="56"/>
      <c r="AA62" s="56"/>
      <c r="AC62" s="56"/>
    </row>
    <row r="63" spans="1:29" x14ac:dyDescent="0.25">
      <c r="A63" s="35"/>
      <c r="B63" s="32" t="e">
        <f>VLOOKUP(A63,Relay!$A$1:$B$50,2,FALSE)</f>
        <v>#N/A</v>
      </c>
      <c r="C63" s="32" t="e">
        <f>VLOOKUP(A63,Relay!$A$2:$C$101,3,FALSE)</f>
        <v>#N/A</v>
      </c>
      <c r="D63" s="39"/>
      <c r="E63" s="35"/>
      <c r="F63" s="58" t="str">
        <f t="shared" si="6"/>
        <v>INS</v>
      </c>
      <c r="G63" s="32" t="e">
        <f>IF(OR(E63="Jeopardy",E63="APP Moonlighting",E63="Differential Pay"),"",July[[#This Row],[SysID]])</f>
        <v>#N/A</v>
      </c>
      <c r="H63" s="32" t="e">
        <f>IF(E63="Jeopardy",IF(C63="MD",Relay!$E$7,Relay!$E$8),IF(C63="MD",IF(COUNTIF(G:G,B63)&gt;1,Relay!$E$2,Relay!$E$1),IF(AND(COUNTIF(G:G,B63)&gt;1,COUNTA(A63)&gt;0),Relay!$E$5,Relay!$E$4)))</f>
        <v>#N/A</v>
      </c>
      <c r="I63" s="8">
        <f t="shared" si="7"/>
        <v>0</v>
      </c>
      <c r="J63" s="35"/>
      <c r="K63" s="35"/>
      <c r="L63" s="35"/>
      <c r="M63" s="35"/>
      <c r="N63" s="32" t="e">
        <f>IF(H63=July!$E$2,"N",IF(AND(COUNTIF(B:B,B63)=1,D63&gt;14),"Y","N"))</f>
        <v>#N/A</v>
      </c>
      <c r="O63" s="55" t="str">
        <f>IF(COUNT(July[[#This Row],[Date]])&gt;0,IF(July[[#This Row],[Date]]&gt;14,"Yes","No"),"N/A")</f>
        <v>N/A</v>
      </c>
      <c r="P63" s="55"/>
      <c r="Q63" s="5">
        <f>Relay!A62</f>
        <v>0</v>
      </c>
      <c r="R63" s="5">
        <f>Relay!B62</f>
        <v>61</v>
      </c>
      <c r="S63" s="8">
        <f>IF(July[After the 14th?]="No",SUMIF(July[SysID],R63,July[Pay Amount]),0)</f>
        <v>0</v>
      </c>
      <c r="T63" s="8"/>
      <c r="U63" s="5" t="str">
        <f t="shared" si="4"/>
        <v>N</v>
      </c>
      <c r="X63" s="56"/>
      <c r="Y63" s="56"/>
      <c r="Z63" s="56"/>
      <c r="AA63" s="56"/>
      <c r="AC63" s="56"/>
    </row>
    <row r="64" spans="1:29" x14ac:dyDescent="0.25">
      <c r="A64" s="35"/>
      <c r="B64" s="32" t="e">
        <f>VLOOKUP(A64,Relay!$A$1:$B$50,2,FALSE)</f>
        <v>#N/A</v>
      </c>
      <c r="C64" s="32" t="e">
        <f>VLOOKUP(A64,Relay!$A$2:$C$101,3,FALSE)</f>
        <v>#N/A</v>
      </c>
      <c r="D64" s="39"/>
      <c r="E64" s="35"/>
      <c r="F64" s="58" t="str">
        <f t="shared" si="6"/>
        <v>INS</v>
      </c>
      <c r="G64" s="32" t="e">
        <f>IF(OR(E64="Jeopardy",E64="APP Moonlighting",E64="Differential Pay"),"",July[[#This Row],[SysID]])</f>
        <v>#N/A</v>
      </c>
      <c r="H64" s="32" t="e">
        <f>IF(E64="Jeopardy",IF(C64="MD",Relay!$E$7,Relay!$E$8),IF(C64="MD",IF(COUNTIF(G:G,B64)&gt;1,Relay!$E$2,Relay!$E$1),IF(AND(COUNTIF(G:G,B64)&gt;1,COUNTA(A64)&gt;0),Relay!$E$5,Relay!$E$4)))</f>
        <v>#N/A</v>
      </c>
      <c r="I64" s="8">
        <f t="shared" si="7"/>
        <v>0</v>
      </c>
      <c r="J64" s="35"/>
      <c r="K64" s="35"/>
      <c r="L64" s="35"/>
      <c r="M64" s="35"/>
      <c r="N64" s="32" t="e">
        <f>IF(H64=July!$E$2,"N",IF(AND(COUNTIF(B:B,B64)=1,D64&gt;14),"Y","N"))</f>
        <v>#N/A</v>
      </c>
      <c r="O64" s="55" t="str">
        <f>IF(COUNT(July[[#This Row],[Date]])&gt;0,IF(July[[#This Row],[Date]]&gt;14,"Yes","No"),"N/A")</f>
        <v>N/A</v>
      </c>
      <c r="P64" s="55"/>
      <c r="Q64" s="5">
        <f>Relay!A63</f>
        <v>0</v>
      </c>
      <c r="R64" s="5">
        <f>Relay!B63</f>
        <v>62</v>
      </c>
      <c r="S64" s="8">
        <f>IF(July[After the 14th?]="No",SUMIF(July[SysID],R64,July[Pay Amount]),0)</f>
        <v>0</v>
      </c>
      <c r="T64" s="8"/>
      <c r="U64" s="5" t="str">
        <f t="shared" si="4"/>
        <v>N</v>
      </c>
      <c r="X64" s="56"/>
      <c r="Y64" s="56"/>
      <c r="Z64" s="56"/>
      <c r="AA64" s="56"/>
      <c r="AC64" s="56"/>
    </row>
    <row r="65" spans="1:29" x14ac:dyDescent="0.25">
      <c r="A65" s="35"/>
      <c r="B65" s="32" t="e">
        <f>VLOOKUP(A65,Relay!$A$1:$B$50,2,FALSE)</f>
        <v>#N/A</v>
      </c>
      <c r="C65" s="32" t="e">
        <f>VLOOKUP(A65,Relay!$A$2:$C$101,3,FALSE)</f>
        <v>#N/A</v>
      </c>
      <c r="D65" s="39"/>
      <c r="E65" s="35"/>
      <c r="F65" s="58" t="str">
        <f t="shared" si="6"/>
        <v>INS</v>
      </c>
      <c r="G65" s="32" t="e">
        <f>IF(OR(E65="Jeopardy",E65="APP Moonlighting",E65="Differential Pay"),"",July[[#This Row],[SysID]])</f>
        <v>#N/A</v>
      </c>
      <c r="H65" s="32" t="e">
        <f>IF(E65="Jeopardy",IF(C65="MD",Relay!$E$7,Relay!$E$8),IF(C65="MD",IF(COUNTIF(G:G,B65)&gt;1,Relay!$E$2,Relay!$E$1),IF(AND(COUNTIF(G:G,B65)&gt;1,COUNTA(A65)&gt;0),Relay!$E$5,Relay!$E$4)))</f>
        <v>#N/A</v>
      </c>
      <c r="I65" s="8">
        <f t="shared" si="7"/>
        <v>0</v>
      </c>
      <c r="J65" s="35"/>
      <c r="K65" s="35"/>
      <c r="L65" s="35"/>
      <c r="M65" s="35"/>
      <c r="N65" s="32" t="e">
        <f>IF(H65=July!$E$2,"N",IF(AND(COUNTIF(B:B,B65)=1,D65&gt;14),"Y","N"))</f>
        <v>#N/A</v>
      </c>
      <c r="O65" s="55" t="str">
        <f>IF(COUNT(July[[#This Row],[Date]])&gt;0,IF(July[[#This Row],[Date]]&gt;14,"Yes","No"),"N/A")</f>
        <v>N/A</v>
      </c>
      <c r="P65" s="55"/>
      <c r="Q65" s="5">
        <f>Relay!A64</f>
        <v>0</v>
      </c>
      <c r="R65" s="5">
        <f>Relay!B64</f>
        <v>63</v>
      </c>
      <c r="S65" s="8">
        <f>IF(July[After the 14th?]="No",SUMIF(July[SysID],R65,July[Pay Amount]),0)</f>
        <v>0</v>
      </c>
      <c r="T65" s="8"/>
      <c r="U65" s="5" t="str">
        <f t="shared" si="4"/>
        <v>N</v>
      </c>
      <c r="X65" s="56"/>
      <c r="Y65" s="56"/>
      <c r="Z65" s="56"/>
      <c r="AA65" s="56"/>
      <c r="AC65" s="56"/>
    </row>
    <row r="66" spans="1:29" x14ac:dyDescent="0.25">
      <c r="A66" s="35"/>
      <c r="B66" s="32" t="e">
        <f>VLOOKUP(A66,Relay!$A$1:$B$50,2,FALSE)</f>
        <v>#N/A</v>
      </c>
      <c r="C66" s="32" t="e">
        <f>VLOOKUP(A66,Relay!$A$2:$C$101,3,FALSE)</f>
        <v>#N/A</v>
      </c>
      <c r="D66" s="39"/>
      <c r="E66" s="35"/>
      <c r="F66" s="58" t="str">
        <f t="shared" si="6"/>
        <v>INS</v>
      </c>
      <c r="G66" s="32" t="e">
        <f>IF(OR(E66="Jeopardy",E66="APP Moonlighting",E66="Differential Pay"),"",July[[#This Row],[SysID]])</f>
        <v>#N/A</v>
      </c>
      <c r="H66" s="32" t="e">
        <f>IF(E66="Jeopardy",IF(C66="MD",Relay!$E$7,Relay!$E$8),IF(C66="MD",IF(COUNTIF(G:G,B66)&gt;1,Relay!$E$2,Relay!$E$1),IF(AND(COUNTIF(G:G,B66)&gt;1,COUNTA(A66)&gt;0),Relay!$E$5,Relay!$E$4)))</f>
        <v>#N/A</v>
      </c>
      <c r="I66" s="8">
        <f t="shared" si="7"/>
        <v>0</v>
      </c>
      <c r="J66" s="35"/>
      <c r="K66" s="35"/>
      <c r="L66" s="35"/>
      <c r="M66" s="35"/>
      <c r="N66" s="32" t="e">
        <f>IF(H66=July!$E$2,"N",IF(AND(COUNTIF(B:B,B66)=1,D66&gt;14),"Y","N"))</f>
        <v>#N/A</v>
      </c>
      <c r="O66" s="55" t="str">
        <f>IF(COUNT(July[[#This Row],[Date]])&gt;0,IF(July[[#This Row],[Date]]&gt;14,"Yes","No"),"N/A")</f>
        <v>N/A</v>
      </c>
      <c r="P66" s="55"/>
      <c r="Q66" s="5">
        <f>Relay!A65</f>
        <v>0</v>
      </c>
      <c r="R66" s="5">
        <f>Relay!B65</f>
        <v>64</v>
      </c>
      <c r="S66" s="8">
        <f>IF(July[After the 14th?]="No",SUMIF(July[SysID],R66,July[Pay Amount]),0)</f>
        <v>0</v>
      </c>
      <c r="T66" s="8"/>
      <c r="U66" s="5" t="str">
        <f t="shared" si="4"/>
        <v>N</v>
      </c>
      <c r="X66" s="56"/>
      <c r="Y66" s="56"/>
      <c r="Z66" s="56"/>
      <c r="AA66" s="56"/>
      <c r="AC66" s="56"/>
    </row>
    <row r="67" spans="1:29" x14ac:dyDescent="0.25">
      <c r="A67" s="35"/>
      <c r="B67" s="32" t="e">
        <f>VLOOKUP(A67,Relay!$A$1:$B$50,2,FALSE)</f>
        <v>#N/A</v>
      </c>
      <c r="C67" s="32" t="e">
        <f>VLOOKUP(A67,Relay!$A$2:$C$101,3,FALSE)</f>
        <v>#N/A</v>
      </c>
      <c r="D67" s="39"/>
      <c r="E67" s="35"/>
      <c r="F67" s="58" t="str">
        <f t="shared" si="6"/>
        <v>INS</v>
      </c>
      <c r="G67" s="32" t="e">
        <f>IF(OR(E67="Jeopardy",E67="APP Moonlighting",E67="Differential Pay"),"",July[[#This Row],[SysID]])</f>
        <v>#N/A</v>
      </c>
      <c r="H67" s="32" t="e">
        <f>IF(E67="Jeopardy",IF(C67="MD",Relay!$E$7,Relay!$E$8),IF(C67="MD",IF(COUNTIF(G:G,B67)&gt;1,Relay!$E$2,Relay!$E$1),IF(AND(COUNTIF(G:G,B67)&gt;1,COUNTA(A67)&gt;0),Relay!$E$5,Relay!$E$4)))</f>
        <v>#N/A</v>
      </c>
      <c r="I67" s="8">
        <f t="shared" si="7"/>
        <v>0</v>
      </c>
      <c r="J67" s="35"/>
      <c r="K67" s="35"/>
      <c r="L67" s="35"/>
      <c r="M67" s="35"/>
      <c r="N67" s="32" t="e">
        <f>IF(H67=July!$E$2,"N",IF(AND(COUNTIF(B:B,B67)=1,D67&gt;14),"Y","N"))</f>
        <v>#N/A</v>
      </c>
      <c r="O67" s="55" t="str">
        <f>IF(COUNT(July[[#This Row],[Date]])&gt;0,IF(July[[#This Row],[Date]]&gt;14,"Yes","No"),"N/A")</f>
        <v>N/A</v>
      </c>
      <c r="P67" s="55"/>
      <c r="Q67" s="5">
        <f>Relay!A66</f>
        <v>0</v>
      </c>
      <c r="R67" s="5">
        <f>Relay!B66</f>
        <v>65</v>
      </c>
      <c r="S67" s="8">
        <f>IF(July[After the 14th?]="No",SUMIF(July[SysID],R67,July[Pay Amount]),0)</f>
        <v>0</v>
      </c>
      <c r="T67" s="8"/>
      <c r="U67" s="5" t="str">
        <f t="shared" ref="U67:U98" si="8">IF(S67=T67,"N","Y")</f>
        <v>N</v>
      </c>
      <c r="X67" s="56"/>
      <c r="Y67" s="56"/>
      <c r="Z67" s="56"/>
      <c r="AA67" s="56"/>
      <c r="AC67" s="56"/>
    </row>
    <row r="68" spans="1:29" x14ac:dyDescent="0.25">
      <c r="A68" s="35"/>
      <c r="B68" s="32" t="e">
        <f>VLOOKUP(A68,Relay!$A$1:$B$50,2,FALSE)</f>
        <v>#N/A</v>
      </c>
      <c r="C68" s="32" t="e">
        <f>VLOOKUP(A68,Relay!$A$2:$C$101,3,FALSE)</f>
        <v>#N/A</v>
      </c>
      <c r="D68" s="39"/>
      <c r="E68" s="35"/>
      <c r="F68" s="58" t="str">
        <f t="shared" si="6"/>
        <v>INS</v>
      </c>
      <c r="G68" s="32" t="e">
        <f>IF(OR(E68="Jeopardy",E68="APP Moonlighting",E68="Differential Pay"),"",July[[#This Row],[SysID]])</f>
        <v>#N/A</v>
      </c>
      <c r="H68" s="32" t="e">
        <f>IF(E68="Jeopardy",IF(C68="MD",Relay!$E$7,Relay!$E$8),IF(C68="MD",IF(COUNTIF(G:G,B68)&gt;1,Relay!$E$2,Relay!$E$1),IF(AND(COUNTIF(G:G,B68)&gt;1,COUNTA(A68)&gt;0),Relay!$E$5,Relay!$E$4)))</f>
        <v>#N/A</v>
      </c>
      <c r="I68" s="8">
        <f t="shared" si="7"/>
        <v>0</v>
      </c>
      <c r="J68" s="35"/>
      <c r="K68" s="35"/>
      <c r="L68" s="35"/>
      <c r="M68" s="35"/>
      <c r="N68" s="32" t="e">
        <f>IF(H68=July!$E$2,"N",IF(AND(COUNTIF(B:B,B68)=1,D68&gt;14),"Y","N"))</f>
        <v>#N/A</v>
      </c>
      <c r="O68" s="55" t="str">
        <f>IF(COUNT(July[[#This Row],[Date]])&gt;0,IF(July[[#This Row],[Date]]&gt;14,"Yes","No"),"N/A")</f>
        <v>N/A</v>
      </c>
      <c r="P68" s="55"/>
      <c r="Q68" s="5">
        <f>Relay!A67</f>
        <v>0</v>
      </c>
      <c r="R68" s="5">
        <f>Relay!B67</f>
        <v>66</v>
      </c>
      <c r="S68" s="8">
        <f>IF(July[After the 14th?]="No",SUMIF(July[SysID],R68,July[Pay Amount]),0)</f>
        <v>0</v>
      </c>
      <c r="T68" s="8"/>
      <c r="U68" s="5" t="str">
        <f t="shared" si="8"/>
        <v>N</v>
      </c>
      <c r="X68" s="56"/>
      <c r="Y68" s="56"/>
      <c r="Z68" s="56"/>
      <c r="AA68" s="56"/>
      <c r="AC68" s="56"/>
    </row>
    <row r="69" spans="1:29" x14ac:dyDescent="0.25">
      <c r="A69" s="35"/>
      <c r="B69" s="32" t="e">
        <f>VLOOKUP(A69,Relay!$A$1:$B$50,2,FALSE)</f>
        <v>#N/A</v>
      </c>
      <c r="C69" s="32" t="e">
        <f>VLOOKUP(A69,Relay!$A$2:$C$101,3,FALSE)</f>
        <v>#N/A</v>
      </c>
      <c r="D69" s="39"/>
      <c r="E69" s="35"/>
      <c r="F69" s="58" t="str">
        <f t="shared" si="6"/>
        <v>INS</v>
      </c>
      <c r="G69" s="32" t="e">
        <f>IF(OR(E69="Jeopardy",E69="APP Moonlighting",E69="Differential Pay"),"",July[[#This Row],[SysID]])</f>
        <v>#N/A</v>
      </c>
      <c r="H69" s="32" t="e">
        <f>IF(E69="Jeopardy",IF(C69="MD",Relay!$E$7,Relay!$E$8),IF(C69="MD",IF(COUNTIF(G:G,B69)&gt;1,Relay!$E$2,Relay!$E$1),IF(AND(COUNTIF(G:G,B69)&gt;1,COUNTA(A69)&gt;0),Relay!$E$5,Relay!$E$4)))</f>
        <v>#N/A</v>
      </c>
      <c r="I69" s="8">
        <f t="shared" si="7"/>
        <v>0</v>
      </c>
      <c r="J69" s="35"/>
      <c r="K69" s="35"/>
      <c r="L69" s="35"/>
      <c r="M69" s="35"/>
      <c r="N69" s="32" t="e">
        <f>IF(H69=July!$E$2,"N",IF(AND(COUNTIF(B:B,B69)=1,D69&gt;14),"Y","N"))</f>
        <v>#N/A</v>
      </c>
      <c r="O69" s="55" t="str">
        <f>IF(COUNT(July[[#This Row],[Date]])&gt;0,IF(July[[#This Row],[Date]]&gt;14,"Yes","No"),"N/A")</f>
        <v>N/A</v>
      </c>
      <c r="P69" s="55"/>
      <c r="Q69" s="5">
        <f>Relay!A68</f>
        <v>0</v>
      </c>
      <c r="R69" s="5">
        <f>Relay!B68</f>
        <v>67</v>
      </c>
      <c r="S69" s="8">
        <f>IF(July[After the 14th?]="No",SUMIF(July[SysID],R69,July[Pay Amount]),0)</f>
        <v>0</v>
      </c>
      <c r="T69" s="8"/>
      <c r="U69" s="5" t="str">
        <f t="shared" si="8"/>
        <v>N</v>
      </c>
      <c r="X69" s="56"/>
      <c r="Y69" s="56"/>
      <c r="Z69" s="56"/>
      <c r="AA69" s="56"/>
      <c r="AC69" s="56"/>
    </row>
    <row r="70" spans="1:29" x14ac:dyDescent="0.25">
      <c r="A70" s="35"/>
      <c r="B70" s="32" t="e">
        <f>VLOOKUP(A70,Relay!$A$1:$B$50,2,FALSE)</f>
        <v>#N/A</v>
      </c>
      <c r="C70" s="32" t="e">
        <f>VLOOKUP(A70,Relay!$A$2:$C$101,3,FALSE)</f>
        <v>#N/A</v>
      </c>
      <c r="D70" s="39"/>
      <c r="E70" s="35"/>
      <c r="F70" s="58" t="str">
        <f t="shared" si="6"/>
        <v>INS</v>
      </c>
      <c r="G70" s="32" t="e">
        <f>IF(OR(E70="Jeopardy",E70="APP Moonlighting",E70="Differential Pay"),"",July[[#This Row],[SysID]])</f>
        <v>#N/A</v>
      </c>
      <c r="H70" s="32" t="e">
        <f>IF(E70="Jeopardy",IF(C70="MD",Relay!$E$7,Relay!$E$8),IF(C70="MD",IF(COUNTIF(G:G,B70)&gt;1,Relay!$E$2,Relay!$E$1),IF(AND(COUNTIF(G:G,B70)&gt;1,COUNTA(A70)&gt;0),Relay!$E$5,Relay!$E$4)))</f>
        <v>#N/A</v>
      </c>
      <c r="I70" s="8">
        <f t="shared" si="7"/>
        <v>0</v>
      </c>
      <c r="J70" s="35"/>
      <c r="K70" s="35"/>
      <c r="L70" s="35"/>
      <c r="M70" s="35"/>
      <c r="N70" s="32" t="e">
        <f>IF(H70=July!$E$2,"N",IF(AND(COUNTIF(B:B,B70)=1,D70&gt;14),"Y","N"))</f>
        <v>#N/A</v>
      </c>
      <c r="O70" s="55" t="str">
        <f>IF(COUNT(July[[#This Row],[Date]])&gt;0,IF(July[[#This Row],[Date]]&gt;14,"Yes","No"),"N/A")</f>
        <v>N/A</v>
      </c>
      <c r="P70" s="55"/>
      <c r="Q70" s="5">
        <f>Relay!A69</f>
        <v>0</v>
      </c>
      <c r="R70" s="5">
        <f>Relay!B69</f>
        <v>68</v>
      </c>
      <c r="S70" s="8">
        <f>IF(July[After the 14th?]="No",SUMIF(July[SysID],R70,July[Pay Amount]),0)</f>
        <v>0</v>
      </c>
      <c r="T70" s="8"/>
      <c r="U70" s="5" t="str">
        <f t="shared" si="8"/>
        <v>N</v>
      </c>
      <c r="X70" s="56"/>
      <c r="Y70" s="56"/>
      <c r="Z70" s="56"/>
      <c r="AA70" s="56"/>
      <c r="AC70" s="56"/>
    </row>
    <row r="71" spans="1:29" x14ac:dyDescent="0.25">
      <c r="A71" s="35"/>
      <c r="B71" s="32" t="e">
        <f>VLOOKUP(A71,Relay!$A$1:$B$50,2,FALSE)</f>
        <v>#N/A</v>
      </c>
      <c r="C71" s="32" t="e">
        <f>VLOOKUP(A71,Relay!$A$2:$C$101,3,FALSE)</f>
        <v>#N/A</v>
      </c>
      <c r="D71" s="39"/>
      <c r="E71" s="35"/>
      <c r="F71" s="58" t="str">
        <f t="shared" si="6"/>
        <v>INS</v>
      </c>
      <c r="G71" s="32" t="e">
        <f>IF(OR(E71="Jeopardy",E71="APP Moonlighting",E71="Differential Pay"),"",July[[#This Row],[SysID]])</f>
        <v>#N/A</v>
      </c>
      <c r="H71" s="32" t="e">
        <f>IF(E71="Jeopardy",IF(C71="MD",Relay!$E$7,Relay!$E$8),IF(C71="MD",IF(COUNTIF(G:G,B71)&gt;1,Relay!$E$2,Relay!$E$1),IF(AND(COUNTIF(G:G,B71)&gt;1,COUNTA(A71)&gt;0),Relay!$E$5,Relay!$E$4)))</f>
        <v>#N/A</v>
      </c>
      <c r="I71" s="8">
        <f t="shared" si="7"/>
        <v>0</v>
      </c>
      <c r="J71" s="35"/>
      <c r="K71" s="35"/>
      <c r="L71" s="35"/>
      <c r="M71" s="35"/>
      <c r="N71" s="32" t="e">
        <f>IF(H71=July!$E$2,"N",IF(AND(COUNTIF(B:B,B71)=1,D71&gt;14),"Y","N"))</f>
        <v>#N/A</v>
      </c>
      <c r="O71" s="55" t="str">
        <f>IF(COUNT(July[[#This Row],[Date]])&gt;0,IF(July[[#This Row],[Date]]&gt;14,"Yes","No"),"N/A")</f>
        <v>N/A</v>
      </c>
      <c r="P71" s="55"/>
      <c r="Q71" s="5">
        <f>Relay!A70</f>
        <v>0</v>
      </c>
      <c r="R71" s="5">
        <f>Relay!B70</f>
        <v>69</v>
      </c>
      <c r="S71" s="8">
        <f>IF(July[After the 14th?]="No",SUMIF(July[SysID],R71,July[Pay Amount]),0)</f>
        <v>0</v>
      </c>
      <c r="T71" s="8"/>
      <c r="U71" s="5" t="str">
        <f t="shared" si="8"/>
        <v>N</v>
      </c>
      <c r="X71" s="56"/>
      <c r="Y71" s="56"/>
      <c r="Z71" s="56"/>
      <c r="AA71" s="56"/>
      <c r="AC71" s="56"/>
    </row>
    <row r="72" spans="1:29" x14ac:dyDescent="0.25">
      <c r="A72" s="35"/>
      <c r="B72" s="32" t="e">
        <f>VLOOKUP(A72,Relay!$A$1:$B$50,2,FALSE)</f>
        <v>#N/A</v>
      </c>
      <c r="C72" s="32" t="e">
        <f>VLOOKUP(A72,Relay!$A$2:$C$101,3,FALSE)</f>
        <v>#N/A</v>
      </c>
      <c r="D72" s="39"/>
      <c r="E72" s="35"/>
      <c r="F72" s="58" t="str">
        <f t="shared" si="6"/>
        <v>INS</v>
      </c>
      <c r="G72" s="32" t="e">
        <f>IF(OR(E72="Jeopardy",E72="APP Moonlighting",E72="Differential Pay"),"",July[[#This Row],[SysID]])</f>
        <v>#N/A</v>
      </c>
      <c r="H72" s="32" t="e">
        <f>IF(E72="Jeopardy",IF(C72="MD",Relay!$E$7,Relay!$E$8),IF(C72="MD",IF(COUNTIF(G:G,B72)&gt;1,Relay!$E$2,Relay!$E$1),IF(AND(COUNTIF(G:G,B72)&gt;1,COUNTA(A72)&gt;0),Relay!$E$5,Relay!$E$4)))</f>
        <v>#N/A</v>
      </c>
      <c r="I72" s="8">
        <f t="shared" si="7"/>
        <v>0</v>
      </c>
      <c r="J72" s="35"/>
      <c r="K72" s="35"/>
      <c r="L72" s="35"/>
      <c r="M72" s="35"/>
      <c r="N72" s="32" t="e">
        <f>IF(H72=July!$E$2,"N",IF(AND(COUNTIF(B:B,B72)=1,D72&gt;14),"Y","N"))</f>
        <v>#N/A</v>
      </c>
      <c r="O72" s="55" t="str">
        <f>IF(COUNT(July[[#This Row],[Date]])&gt;0,IF(July[[#This Row],[Date]]&gt;14,"Yes","No"),"N/A")</f>
        <v>N/A</v>
      </c>
      <c r="P72" s="55"/>
      <c r="Q72" s="5">
        <f>Relay!A71</f>
        <v>0</v>
      </c>
      <c r="R72" s="5">
        <f>Relay!B71</f>
        <v>70</v>
      </c>
      <c r="S72" s="8">
        <f>IF(July[After the 14th?]="No",SUMIF(July[SysID],R72,July[Pay Amount]),0)</f>
        <v>0</v>
      </c>
      <c r="T72" s="8"/>
      <c r="U72" s="5" t="str">
        <f t="shared" si="8"/>
        <v>N</v>
      </c>
      <c r="X72" s="56"/>
      <c r="Y72" s="56"/>
      <c r="Z72" s="56"/>
      <c r="AA72" s="56"/>
      <c r="AC72" s="56"/>
    </row>
    <row r="73" spans="1:29" x14ac:dyDescent="0.25">
      <c r="A73" s="35"/>
      <c r="B73" s="32" t="e">
        <f>VLOOKUP(A73,Relay!$A$1:$B$50,2,FALSE)</f>
        <v>#N/A</v>
      </c>
      <c r="C73" s="32" t="e">
        <f>VLOOKUP(A73,Relay!$A$2:$C$101,3,FALSE)</f>
        <v>#N/A</v>
      </c>
      <c r="D73" s="39"/>
      <c r="E73" s="35"/>
      <c r="F73" s="58" t="str">
        <f t="shared" si="6"/>
        <v>INS</v>
      </c>
      <c r="G73" s="32" t="e">
        <f>IF(OR(E73="Jeopardy",E73="APP Moonlighting",E73="Differential Pay"),"",July[[#This Row],[SysID]])</f>
        <v>#N/A</v>
      </c>
      <c r="H73" s="32" t="e">
        <f>IF(E73="Jeopardy",IF(C73="MD",Relay!$E$7,Relay!$E$8),IF(C73="MD",IF(COUNTIF(G:G,B73)&gt;1,Relay!$E$2,Relay!$E$1),IF(AND(COUNTIF(G:G,B73)&gt;1,COUNTA(A73)&gt;0),Relay!$E$5,Relay!$E$4)))</f>
        <v>#N/A</v>
      </c>
      <c r="I73" s="8">
        <f t="shared" si="7"/>
        <v>0</v>
      </c>
      <c r="J73" s="35"/>
      <c r="K73" s="35"/>
      <c r="L73" s="35"/>
      <c r="M73" s="35"/>
      <c r="N73" s="32" t="e">
        <f>IF(H73=July!$E$2,"N",IF(AND(COUNTIF(B:B,B73)=1,D73&gt;14),"Y","N"))</f>
        <v>#N/A</v>
      </c>
      <c r="O73" s="55" t="str">
        <f>IF(COUNT(July[[#This Row],[Date]])&gt;0,IF(July[[#This Row],[Date]]&gt;14,"Yes","No"),"N/A")</f>
        <v>N/A</v>
      </c>
      <c r="P73" s="55"/>
      <c r="Q73" s="5">
        <f>Relay!A72</f>
        <v>0</v>
      </c>
      <c r="R73" s="5">
        <f>Relay!B72</f>
        <v>71</v>
      </c>
      <c r="S73" s="8">
        <f>IF(July[After the 14th?]="No",SUMIF(July[SysID],R73,July[Pay Amount]),0)</f>
        <v>0</v>
      </c>
      <c r="T73" s="8"/>
      <c r="U73" s="5" t="str">
        <f t="shared" si="8"/>
        <v>N</v>
      </c>
      <c r="X73" s="56"/>
      <c r="Y73" s="56"/>
      <c r="Z73" s="56"/>
      <c r="AA73" s="56"/>
      <c r="AC73" s="56"/>
    </row>
    <row r="74" spans="1:29" x14ac:dyDescent="0.25">
      <c r="A74" s="35"/>
      <c r="B74" s="32" t="e">
        <f>VLOOKUP(A74,Relay!$A$1:$B$50,2,FALSE)</f>
        <v>#N/A</v>
      </c>
      <c r="C74" s="32" t="e">
        <f>VLOOKUP(A74,Relay!$A$2:$C$101,3,FALSE)</f>
        <v>#N/A</v>
      </c>
      <c r="D74" s="39"/>
      <c r="E74" s="35"/>
      <c r="F74" s="58" t="str">
        <f t="shared" si="6"/>
        <v>INS</v>
      </c>
      <c r="G74" s="32" t="e">
        <f>IF(OR(E74="Jeopardy",E74="APP Moonlighting",E74="Differential Pay"),"",July[[#This Row],[SysID]])</f>
        <v>#N/A</v>
      </c>
      <c r="H74" s="32" t="e">
        <f>IF(E74="Jeopardy",IF(C74="MD",Relay!$E$7,Relay!$E$8),IF(C74="MD",IF(COUNTIF(G:G,B74)&gt;1,Relay!$E$2,Relay!$E$1),IF(AND(COUNTIF(G:G,B74)&gt;1,COUNTA(A74)&gt;0),Relay!$E$5,Relay!$E$4)))</f>
        <v>#N/A</v>
      </c>
      <c r="I74" s="8">
        <f t="shared" si="7"/>
        <v>0</v>
      </c>
      <c r="J74" s="35"/>
      <c r="K74" s="35"/>
      <c r="L74" s="35"/>
      <c r="M74" s="35"/>
      <c r="N74" s="32" t="e">
        <f>IF(H74=July!$E$2,"N",IF(AND(COUNTIF(B:B,B74)=1,D74&gt;14),"Y","N"))</f>
        <v>#N/A</v>
      </c>
      <c r="O74" s="55" t="str">
        <f>IF(COUNT(July[[#This Row],[Date]])&gt;0,IF(July[[#This Row],[Date]]&gt;14,"Yes","No"),"N/A")</f>
        <v>N/A</v>
      </c>
      <c r="P74" s="55"/>
      <c r="Q74" s="5">
        <f>Relay!A73</f>
        <v>0</v>
      </c>
      <c r="R74" s="5">
        <f>Relay!B73</f>
        <v>72</v>
      </c>
      <c r="S74" s="8">
        <f>IF(July[After the 14th?]="No",SUMIF(July[SysID],R74,July[Pay Amount]),0)</f>
        <v>0</v>
      </c>
      <c r="T74" s="8"/>
      <c r="U74" s="5" t="str">
        <f t="shared" si="8"/>
        <v>N</v>
      </c>
      <c r="X74" s="56"/>
      <c r="Y74" s="56"/>
      <c r="Z74" s="56"/>
      <c r="AA74" s="56"/>
      <c r="AC74" s="56"/>
    </row>
    <row r="75" spans="1:29" x14ac:dyDescent="0.25">
      <c r="A75" s="35"/>
      <c r="B75" s="32" t="e">
        <f>VLOOKUP(A75,Relay!$A$1:$B$50,2,FALSE)</f>
        <v>#N/A</v>
      </c>
      <c r="C75" s="32" t="e">
        <f>VLOOKUP(A75,Relay!$A$2:$C$101,3,FALSE)</f>
        <v>#N/A</v>
      </c>
      <c r="D75" s="39"/>
      <c r="E75" s="35"/>
      <c r="F75" s="58" t="str">
        <f t="shared" si="6"/>
        <v>INS</v>
      </c>
      <c r="G75" s="32" t="e">
        <f>IF(OR(E75="Jeopardy",E75="APP Moonlighting",E75="Differential Pay"),"",July[[#This Row],[SysID]])</f>
        <v>#N/A</v>
      </c>
      <c r="H75" s="32" t="e">
        <f>IF(E75="Jeopardy",IF(C75="MD",Relay!$E$7,Relay!$E$8),IF(C75="MD",IF(COUNTIF(G:G,B75)&gt;1,Relay!$E$2,Relay!$E$1),IF(AND(COUNTIF(G:G,B75)&gt;1,COUNTA(A75)&gt;0),Relay!$E$5,Relay!$E$4)))</f>
        <v>#N/A</v>
      </c>
      <c r="I75" s="8">
        <f t="shared" si="7"/>
        <v>0</v>
      </c>
      <c r="J75" s="35"/>
      <c r="K75" s="35"/>
      <c r="L75" s="35"/>
      <c r="M75" s="35"/>
      <c r="N75" s="32" t="e">
        <f>IF(H75=July!$E$2,"N",IF(AND(COUNTIF(B:B,B75)=1,D75&gt;14),"Y","N"))</f>
        <v>#N/A</v>
      </c>
      <c r="O75" s="55" t="str">
        <f>IF(COUNT(July[[#This Row],[Date]])&gt;0,IF(July[[#This Row],[Date]]&gt;14,"Yes","No"),"N/A")</f>
        <v>N/A</v>
      </c>
      <c r="P75" s="55"/>
      <c r="Q75" s="5">
        <f>Relay!A74</f>
        <v>0</v>
      </c>
      <c r="R75" s="5">
        <f>Relay!B74</f>
        <v>73</v>
      </c>
      <c r="S75" s="8">
        <f>IF(July[After the 14th?]="No",SUMIF(July[SysID],R75,July[Pay Amount]),0)</f>
        <v>0</v>
      </c>
      <c r="T75" s="8"/>
      <c r="U75" s="5" t="str">
        <f t="shared" si="8"/>
        <v>N</v>
      </c>
      <c r="X75" s="56"/>
      <c r="Y75" s="56"/>
      <c r="Z75" s="56"/>
      <c r="AA75" s="56"/>
      <c r="AC75" s="56"/>
    </row>
    <row r="76" spans="1:29" x14ac:dyDescent="0.25">
      <c r="A76" s="35"/>
      <c r="B76" s="32" t="e">
        <f>VLOOKUP(A76,Relay!$A$1:$B$50,2,FALSE)</f>
        <v>#N/A</v>
      </c>
      <c r="C76" s="32" t="e">
        <f>VLOOKUP(A76,Relay!$A$2:$C$101,3,FALSE)</f>
        <v>#N/A</v>
      </c>
      <c r="D76" s="39"/>
      <c r="E76" s="35"/>
      <c r="F76" s="58" t="str">
        <f t="shared" si="6"/>
        <v>INS</v>
      </c>
      <c r="G76" s="32" t="e">
        <f>IF(OR(E76="Jeopardy",E76="APP Moonlighting",E76="Differential Pay"),"",July[[#This Row],[SysID]])</f>
        <v>#N/A</v>
      </c>
      <c r="H76" s="32" t="e">
        <f>IF(E76="Jeopardy",IF(C76="MD",Relay!$E$7,Relay!$E$8),IF(C76="MD",IF(COUNTIF(G:G,B76)&gt;1,Relay!$E$2,Relay!$E$1),IF(AND(COUNTIF(G:G,B76)&gt;1,COUNTA(A76)&gt;0),Relay!$E$5,Relay!$E$4)))</f>
        <v>#N/A</v>
      </c>
      <c r="I76" s="8">
        <f t="shared" si="7"/>
        <v>0</v>
      </c>
      <c r="J76" s="35"/>
      <c r="K76" s="35"/>
      <c r="L76" s="35"/>
      <c r="M76" s="35"/>
      <c r="N76" s="32" t="e">
        <f>IF(H76=July!$E$2,"N",IF(AND(COUNTIF(B:B,B76)=1,D76&gt;14),"Y","N"))</f>
        <v>#N/A</v>
      </c>
      <c r="O76" s="55" t="str">
        <f>IF(COUNT(July[[#This Row],[Date]])&gt;0,IF(July[[#This Row],[Date]]&gt;14,"Yes","No"),"N/A")</f>
        <v>N/A</v>
      </c>
      <c r="P76" s="55"/>
      <c r="Q76" s="5">
        <f>Relay!A75</f>
        <v>0</v>
      </c>
      <c r="R76" s="5">
        <f>Relay!B75</f>
        <v>74</v>
      </c>
      <c r="S76" s="8">
        <f>IF(July[After the 14th?]="No",SUMIF(July[SysID],R76,July[Pay Amount]),0)</f>
        <v>0</v>
      </c>
      <c r="T76" s="8"/>
      <c r="U76" s="5" t="str">
        <f t="shared" si="8"/>
        <v>N</v>
      </c>
      <c r="X76" s="56"/>
      <c r="Y76" s="56"/>
      <c r="Z76" s="56"/>
      <c r="AA76" s="56"/>
      <c r="AC76" s="56"/>
    </row>
    <row r="77" spans="1:29" x14ac:dyDescent="0.25">
      <c r="A77" s="35"/>
      <c r="B77" s="32" t="e">
        <f>VLOOKUP(A77,Relay!$A$1:$B$50,2,FALSE)</f>
        <v>#N/A</v>
      </c>
      <c r="C77" s="32" t="e">
        <f>VLOOKUP(A77,Relay!$A$2:$C$101,3,FALSE)</f>
        <v>#N/A</v>
      </c>
      <c r="D77" s="39"/>
      <c r="E77" s="35"/>
      <c r="F77" s="58" t="str">
        <f t="shared" si="6"/>
        <v>INS</v>
      </c>
      <c r="G77" s="32" t="e">
        <f>IF(OR(E77="Jeopardy",E77="APP Moonlighting",E77="Differential Pay"),"",July[[#This Row],[SysID]])</f>
        <v>#N/A</v>
      </c>
      <c r="H77" s="32" t="e">
        <f>IF(E77="Jeopardy",IF(C77="MD",Relay!$E$7,Relay!$E$8),IF(C77="MD",IF(COUNTIF(G:G,B77)&gt;1,Relay!$E$2,Relay!$E$1),IF(AND(COUNTIF(G:G,B77)&gt;1,COUNTA(A77)&gt;0),Relay!$E$5,Relay!$E$4)))</f>
        <v>#N/A</v>
      </c>
      <c r="I77" s="8">
        <f t="shared" si="7"/>
        <v>0</v>
      </c>
      <c r="J77" s="35"/>
      <c r="K77" s="35"/>
      <c r="L77" s="35"/>
      <c r="M77" s="35"/>
      <c r="N77" s="32" t="e">
        <f>IF(H77=July!$E$2,"N",IF(AND(COUNTIF(B:B,B77)=1,D77&gt;14),"Y","N"))</f>
        <v>#N/A</v>
      </c>
      <c r="O77" s="55" t="str">
        <f>IF(COUNT(July[[#This Row],[Date]])&gt;0,IF(July[[#This Row],[Date]]&gt;14,"Yes","No"),"N/A")</f>
        <v>N/A</v>
      </c>
      <c r="P77" s="55"/>
      <c r="Q77" s="5">
        <f>Relay!A76</f>
        <v>0</v>
      </c>
      <c r="R77" s="5">
        <f>Relay!B76</f>
        <v>75</v>
      </c>
      <c r="S77" s="8">
        <f>IF(July[After the 14th?]="No",SUMIF(July[SysID],R77,July[Pay Amount]),0)</f>
        <v>0</v>
      </c>
      <c r="T77" s="8"/>
      <c r="U77" s="5" t="str">
        <f t="shared" si="8"/>
        <v>N</v>
      </c>
      <c r="X77" s="56"/>
      <c r="Y77" s="56"/>
      <c r="Z77" s="56"/>
      <c r="AA77" s="56"/>
      <c r="AC77" s="56"/>
    </row>
    <row r="78" spans="1:29" x14ac:dyDescent="0.25">
      <c r="A78" s="35"/>
      <c r="B78" s="32" t="e">
        <f>VLOOKUP(A78,Relay!$A$1:$B$50,2,FALSE)</f>
        <v>#N/A</v>
      </c>
      <c r="C78" s="32" t="e">
        <f>VLOOKUP(A78,Relay!$A$2:$C$101,3,FALSE)</f>
        <v>#N/A</v>
      </c>
      <c r="D78" s="39"/>
      <c r="E78" s="35"/>
      <c r="F78" s="58" t="str">
        <f t="shared" si="6"/>
        <v>INS</v>
      </c>
      <c r="G78" s="32" t="e">
        <f>IF(OR(E78="Jeopardy",E78="APP Moonlighting",E78="Differential Pay"),"",July[[#This Row],[SysID]])</f>
        <v>#N/A</v>
      </c>
      <c r="H78" s="32" t="e">
        <f>IF(E78="Jeopardy",IF(C78="MD",Relay!$E$7,Relay!$E$8),IF(C78="MD",IF(COUNTIF(G:G,B78)&gt;1,Relay!$E$2,Relay!$E$1),IF(AND(COUNTIF(G:G,B78)&gt;1,COUNTA(A78)&gt;0),Relay!$E$5,Relay!$E$4)))</f>
        <v>#N/A</v>
      </c>
      <c r="I78" s="8">
        <f t="shared" si="7"/>
        <v>0</v>
      </c>
      <c r="J78" s="35"/>
      <c r="K78" s="35"/>
      <c r="L78" s="35"/>
      <c r="M78" s="35"/>
      <c r="N78" s="32" t="e">
        <f>IF(H78=July!$E$2,"N",IF(AND(COUNTIF(B:B,B78)=1,D78&gt;14),"Y","N"))</f>
        <v>#N/A</v>
      </c>
      <c r="O78" s="55" t="str">
        <f>IF(COUNT(July[[#This Row],[Date]])&gt;0,IF(July[[#This Row],[Date]]&gt;14,"Yes","No"),"N/A")</f>
        <v>N/A</v>
      </c>
      <c r="P78" s="55"/>
      <c r="Q78" s="5">
        <f>Relay!A77</f>
        <v>0</v>
      </c>
      <c r="R78" s="5">
        <f>Relay!B77</f>
        <v>76</v>
      </c>
      <c r="S78" s="8">
        <f>IF(July[After the 14th?]="No",SUMIF(July[SysID],R78,July[Pay Amount]),0)</f>
        <v>0</v>
      </c>
      <c r="T78" s="8"/>
      <c r="U78" s="5" t="str">
        <f t="shared" si="8"/>
        <v>N</v>
      </c>
      <c r="X78" s="56"/>
      <c r="Y78" s="56"/>
      <c r="Z78" s="56"/>
      <c r="AA78" s="56"/>
      <c r="AC78" s="56"/>
    </row>
    <row r="79" spans="1:29" x14ac:dyDescent="0.25">
      <c r="A79" s="35"/>
      <c r="B79" s="32" t="e">
        <f>VLOOKUP(A79,Relay!$A$1:$B$50,2,FALSE)</f>
        <v>#N/A</v>
      </c>
      <c r="C79" s="32" t="e">
        <f>VLOOKUP(A79,Relay!$A$2:$C$101,3,FALSE)</f>
        <v>#N/A</v>
      </c>
      <c r="D79" s="39"/>
      <c r="E79" s="35"/>
      <c r="F79" s="58" t="str">
        <f t="shared" si="6"/>
        <v>INS</v>
      </c>
      <c r="G79" s="32" t="e">
        <f>IF(OR(E79="Jeopardy",E79="APP Moonlighting",E79="Differential Pay"),"",July[[#This Row],[SysID]])</f>
        <v>#N/A</v>
      </c>
      <c r="H79" s="32" t="e">
        <f>IF(E79="Jeopardy",IF(C79="MD",Relay!$E$7,Relay!$E$8),IF(C79="MD",IF(COUNTIF(G:G,B79)&gt;1,Relay!$E$2,Relay!$E$1),IF(AND(COUNTIF(G:G,B79)&gt;1,COUNTA(A79)&gt;0),Relay!$E$5,Relay!$E$4)))</f>
        <v>#N/A</v>
      </c>
      <c r="I79" s="8">
        <f t="shared" si="7"/>
        <v>0</v>
      </c>
      <c r="J79" s="35"/>
      <c r="K79" s="35"/>
      <c r="L79" s="35"/>
      <c r="M79" s="35"/>
      <c r="N79" s="32" t="e">
        <f>IF(H79=July!$E$2,"N",IF(AND(COUNTIF(B:B,B79)=1,D79&gt;14),"Y","N"))</f>
        <v>#N/A</v>
      </c>
      <c r="O79" s="55" t="str">
        <f>IF(COUNT(July[[#This Row],[Date]])&gt;0,IF(July[[#This Row],[Date]]&gt;14,"Yes","No"),"N/A")</f>
        <v>N/A</v>
      </c>
      <c r="P79" s="55"/>
      <c r="Q79" s="5">
        <f>Relay!A78</f>
        <v>0</v>
      </c>
      <c r="R79" s="5">
        <f>Relay!B78</f>
        <v>77</v>
      </c>
      <c r="S79" s="8">
        <f>IF(July[After the 14th?]="No",SUMIF(July[SysID],R79,July[Pay Amount]),0)</f>
        <v>0</v>
      </c>
      <c r="T79" s="8"/>
      <c r="U79" s="5" t="str">
        <f t="shared" si="8"/>
        <v>N</v>
      </c>
      <c r="X79" s="56"/>
      <c r="Y79" s="56"/>
      <c r="Z79" s="56"/>
      <c r="AA79" s="56"/>
      <c r="AC79" s="56"/>
    </row>
    <row r="80" spans="1:29" x14ac:dyDescent="0.25">
      <c r="A80" s="35"/>
      <c r="B80" s="32" t="e">
        <f>VLOOKUP(A80,Relay!$A$1:$B$50,2,FALSE)</f>
        <v>#N/A</v>
      </c>
      <c r="C80" s="32" t="e">
        <f>VLOOKUP(A80,Relay!$A$2:$C$101,3,FALSE)</f>
        <v>#N/A</v>
      </c>
      <c r="D80" s="39"/>
      <c r="E80" s="35"/>
      <c r="F80" s="58" t="str">
        <f t="shared" si="6"/>
        <v>INS</v>
      </c>
      <c r="G80" s="32" t="e">
        <f>IF(OR(E80="Jeopardy",E80="APP Moonlighting",E80="Differential Pay"),"",July[[#This Row],[SysID]])</f>
        <v>#N/A</v>
      </c>
      <c r="H80" s="32" t="e">
        <f>IF(E80="Jeopardy",IF(C80="MD",Relay!$E$7,Relay!$E$8),IF(C80="MD",IF(COUNTIF(G:G,B80)&gt;1,Relay!$E$2,Relay!$E$1),IF(AND(COUNTIF(G:G,B80)&gt;1,COUNTA(A80)&gt;0),Relay!$E$5,Relay!$E$4)))</f>
        <v>#N/A</v>
      </c>
      <c r="I80" s="8">
        <f t="shared" si="7"/>
        <v>0</v>
      </c>
      <c r="J80" s="35"/>
      <c r="K80" s="35"/>
      <c r="L80" s="35"/>
      <c r="M80" s="35"/>
      <c r="N80" s="32" t="e">
        <f>IF(H80=July!$E$2,"N",IF(AND(COUNTIF(B:B,B80)=1,D80&gt;14),"Y","N"))</f>
        <v>#N/A</v>
      </c>
      <c r="O80" s="55" t="str">
        <f>IF(COUNT(July[[#This Row],[Date]])&gt;0,IF(July[[#This Row],[Date]]&gt;14,"Yes","No"),"N/A")</f>
        <v>N/A</v>
      </c>
      <c r="P80" s="55"/>
      <c r="Q80" s="5">
        <f>Relay!A79</f>
        <v>0</v>
      </c>
      <c r="R80" s="5">
        <f>Relay!B79</f>
        <v>78</v>
      </c>
      <c r="S80" s="8">
        <f>IF(July[After the 14th?]="No",SUMIF(July[SysID],R80,July[Pay Amount]),0)</f>
        <v>0</v>
      </c>
      <c r="T80" s="8"/>
      <c r="U80" s="5" t="str">
        <f t="shared" si="8"/>
        <v>N</v>
      </c>
      <c r="X80" s="56"/>
      <c r="Y80" s="56"/>
      <c r="Z80" s="56"/>
      <c r="AA80" s="56"/>
      <c r="AC80" s="56"/>
    </row>
    <row r="81" spans="1:29" x14ac:dyDescent="0.25">
      <c r="A81" s="35"/>
      <c r="B81" s="32" t="e">
        <f>VLOOKUP(A81,Relay!$A$1:$B$50,2,FALSE)</f>
        <v>#N/A</v>
      </c>
      <c r="C81" s="32" t="e">
        <f>VLOOKUP(A81,Relay!$A$2:$C$101,3,FALSE)</f>
        <v>#N/A</v>
      </c>
      <c r="D81" s="39"/>
      <c r="E81" s="35"/>
      <c r="F81" s="58" t="str">
        <f t="shared" si="6"/>
        <v>INS</v>
      </c>
      <c r="G81" s="32" t="e">
        <f>IF(OR(E81="Jeopardy",E81="APP Moonlighting",E81="Differential Pay"),"",July[[#This Row],[SysID]])</f>
        <v>#N/A</v>
      </c>
      <c r="H81" s="32" t="e">
        <f>IF(E81="Jeopardy",IF(C81="MD",Relay!$E$7,Relay!$E$8),IF(C81="MD",IF(COUNTIF(G:G,B81)&gt;1,Relay!$E$2,Relay!$E$1),IF(AND(COUNTIF(G:G,B81)&gt;1,COUNTA(A81)&gt;0),Relay!$E$5,Relay!$E$4)))</f>
        <v>#N/A</v>
      </c>
      <c r="I81" s="8">
        <f t="shared" si="7"/>
        <v>0</v>
      </c>
      <c r="J81" s="35"/>
      <c r="K81" s="35"/>
      <c r="L81" s="35"/>
      <c r="M81" s="35"/>
      <c r="N81" s="32" t="e">
        <f>IF(H81=July!$E$2,"N",IF(AND(COUNTIF(B:B,B81)=1,D81&gt;14),"Y","N"))</f>
        <v>#N/A</v>
      </c>
      <c r="O81" s="55" t="str">
        <f>IF(COUNT(July[[#This Row],[Date]])&gt;0,IF(July[[#This Row],[Date]]&gt;14,"Yes","No"),"N/A")</f>
        <v>N/A</v>
      </c>
      <c r="P81" s="55"/>
      <c r="Q81" s="5">
        <f>Relay!A80</f>
        <v>0</v>
      </c>
      <c r="R81" s="5">
        <f>Relay!B80</f>
        <v>79</v>
      </c>
      <c r="S81" s="8">
        <f>IF(July[After the 14th?]="No",SUMIF(July[SysID],R81,July[Pay Amount]),0)</f>
        <v>0</v>
      </c>
      <c r="T81" s="8"/>
      <c r="U81" s="5" t="str">
        <f t="shared" si="8"/>
        <v>N</v>
      </c>
      <c r="X81" s="56"/>
      <c r="Y81" s="56"/>
      <c r="Z81" s="56"/>
      <c r="AA81" s="56"/>
      <c r="AC81" s="56"/>
    </row>
    <row r="82" spans="1:29" x14ac:dyDescent="0.25">
      <c r="A82" s="35"/>
      <c r="B82" s="32" t="e">
        <f>VLOOKUP(A82,Relay!$A$1:$B$50,2,FALSE)</f>
        <v>#N/A</v>
      </c>
      <c r="C82" s="32" t="e">
        <f>VLOOKUP(A82,Relay!$A$2:$C$101,3,FALSE)</f>
        <v>#N/A</v>
      </c>
      <c r="D82" s="39"/>
      <c r="E82" s="35"/>
      <c r="F82" s="58" t="str">
        <f t="shared" si="6"/>
        <v>INS</v>
      </c>
      <c r="G82" s="32" t="e">
        <f>IF(OR(E82="Jeopardy",E82="APP Moonlighting",E82="Differential Pay"),"",July[[#This Row],[SysID]])</f>
        <v>#N/A</v>
      </c>
      <c r="H82" s="32" t="e">
        <f>IF(E82="Jeopardy",IF(C82="MD",Relay!$E$7,Relay!$E$8),IF(C82="MD",IF(COUNTIF(G:G,B82)&gt;1,Relay!$E$2,Relay!$E$1),IF(AND(COUNTIF(G:G,B82)&gt;1,COUNTA(A82)&gt;0),Relay!$E$5,Relay!$E$4)))</f>
        <v>#N/A</v>
      </c>
      <c r="I82" s="8">
        <f t="shared" si="7"/>
        <v>0</v>
      </c>
      <c r="J82" s="35"/>
      <c r="K82" s="35"/>
      <c r="L82" s="35"/>
      <c r="M82" s="35"/>
      <c r="N82" s="32" t="e">
        <f>IF(H82=July!$E$2,"N",IF(AND(COUNTIF(B:B,B82)=1,D82&gt;14),"Y","N"))</f>
        <v>#N/A</v>
      </c>
      <c r="O82" s="55" t="str">
        <f>IF(COUNT(July[[#This Row],[Date]])&gt;0,IF(July[[#This Row],[Date]]&gt;14,"Yes","No"),"N/A")</f>
        <v>N/A</v>
      </c>
      <c r="P82" s="55"/>
      <c r="Q82" s="5">
        <f>Relay!A81</f>
        <v>0</v>
      </c>
      <c r="R82" s="5">
        <f>Relay!B81</f>
        <v>80</v>
      </c>
      <c r="S82" s="8">
        <f>IF(July[After the 14th?]="No",SUMIF(July[SysID],R82,July[Pay Amount]),0)</f>
        <v>0</v>
      </c>
      <c r="T82" s="8"/>
      <c r="U82" s="5" t="str">
        <f t="shared" si="8"/>
        <v>N</v>
      </c>
      <c r="X82" s="56"/>
      <c r="Y82" s="56"/>
      <c r="Z82" s="56"/>
      <c r="AA82" s="56"/>
      <c r="AC82" s="56"/>
    </row>
    <row r="83" spans="1:29" x14ac:dyDescent="0.25">
      <c r="A83" s="35"/>
      <c r="B83" s="32" t="e">
        <f>VLOOKUP(A83,Relay!$A$1:$B$50,2,FALSE)</f>
        <v>#N/A</v>
      </c>
      <c r="C83" s="32" t="e">
        <f>VLOOKUP(A83,Relay!$A$2:$C$101,3,FALSE)</f>
        <v>#N/A</v>
      </c>
      <c r="D83" s="39"/>
      <c r="E83" s="35"/>
      <c r="F83" s="58" t="str">
        <f t="shared" si="6"/>
        <v>INS</v>
      </c>
      <c r="G83" s="32" t="e">
        <f>IF(OR(E83="Jeopardy",E83="APP Moonlighting",E83="Differential Pay"),"",July[[#This Row],[SysID]])</f>
        <v>#N/A</v>
      </c>
      <c r="H83" s="32" t="e">
        <f>IF(E83="Jeopardy",IF(C83="MD",Relay!$E$7,Relay!$E$8),IF(C83="MD",IF(COUNTIF(G:G,B83)&gt;1,Relay!$E$2,Relay!$E$1),IF(AND(COUNTIF(G:G,B83)&gt;1,COUNTA(A83)&gt;0),Relay!$E$5,Relay!$E$4)))</f>
        <v>#N/A</v>
      </c>
      <c r="I83" s="8">
        <f t="shared" si="7"/>
        <v>0</v>
      </c>
      <c r="J83" s="35"/>
      <c r="K83" s="35"/>
      <c r="L83" s="35"/>
      <c r="M83" s="35"/>
      <c r="N83" s="32" t="e">
        <f>IF(H83=July!$E$2,"N",IF(AND(COUNTIF(B:B,B83)=1,D83&gt;14),"Y","N"))</f>
        <v>#N/A</v>
      </c>
      <c r="O83" s="55" t="str">
        <f>IF(COUNT(July[[#This Row],[Date]])&gt;0,IF(July[[#This Row],[Date]]&gt;14,"Yes","No"),"N/A")</f>
        <v>N/A</v>
      </c>
      <c r="P83" s="55"/>
      <c r="Q83" s="5">
        <f>Relay!A82</f>
        <v>0</v>
      </c>
      <c r="R83" s="5">
        <f>Relay!B82</f>
        <v>81</v>
      </c>
      <c r="S83" s="8">
        <f>IF(July[After the 14th?]="No",SUMIF(July[SysID],R83,July[Pay Amount]),0)</f>
        <v>0</v>
      </c>
      <c r="T83" s="8"/>
      <c r="U83" s="5" t="str">
        <f t="shared" si="8"/>
        <v>N</v>
      </c>
      <c r="X83" s="56"/>
      <c r="Y83" s="56"/>
      <c r="Z83" s="56"/>
      <c r="AA83" s="56"/>
      <c r="AC83" s="56"/>
    </row>
    <row r="84" spans="1:29" x14ac:dyDescent="0.25">
      <c r="A84" s="35"/>
      <c r="B84" s="32" t="e">
        <f>VLOOKUP(A84,Relay!$A$1:$B$50,2,FALSE)</f>
        <v>#N/A</v>
      </c>
      <c r="C84" s="32" t="e">
        <f>VLOOKUP(A84,Relay!$A$2:$C$101,3,FALSE)</f>
        <v>#N/A</v>
      </c>
      <c r="D84" s="39"/>
      <c r="E84" s="35"/>
      <c r="F84" s="58" t="str">
        <f t="shared" si="6"/>
        <v>INS</v>
      </c>
      <c r="G84" s="32" t="e">
        <f>IF(OR(E84="Jeopardy",E84="APP Moonlighting",E84="Differential Pay"),"",July[[#This Row],[SysID]])</f>
        <v>#N/A</v>
      </c>
      <c r="H84" s="32" t="e">
        <f>IF(E84="Jeopardy",IF(C84="MD",Relay!$E$7,Relay!$E$8),IF(C84="MD",IF(COUNTIF(G:G,B84)&gt;1,Relay!$E$2,Relay!$E$1),IF(AND(COUNTIF(G:G,B84)&gt;1,COUNTA(A84)&gt;0),Relay!$E$5,Relay!$E$4)))</f>
        <v>#N/A</v>
      </c>
      <c r="I84" s="8">
        <f t="shared" si="7"/>
        <v>0</v>
      </c>
      <c r="J84" s="35"/>
      <c r="K84" s="35"/>
      <c r="L84" s="35"/>
      <c r="M84" s="35"/>
      <c r="N84" s="32" t="e">
        <f>IF(H84=July!$E$2,"N",IF(AND(COUNTIF(B:B,B84)=1,D84&gt;14),"Y","N"))</f>
        <v>#N/A</v>
      </c>
      <c r="O84" s="55" t="str">
        <f>IF(COUNT(July[[#This Row],[Date]])&gt;0,IF(July[[#This Row],[Date]]&gt;14,"Yes","No"),"N/A")</f>
        <v>N/A</v>
      </c>
      <c r="P84" s="55"/>
      <c r="Q84" s="5">
        <f>Relay!A83</f>
        <v>0</v>
      </c>
      <c r="R84" s="5">
        <f>Relay!B83</f>
        <v>82</v>
      </c>
      <c r="S84" s="8">
        <f>IF(July[After the 14th?]="No",SUMIF(July[SysID],R84,July[Pay Amount]),0)</f>
        <v>0</v>
      </c>
      <c r="T84" s="8"/>
      <c r="U84" s="5" t="str">
        <f t="shared" si="8"/>
        <v>N</v>
      </c>
      <c r="X84" s="56"/>
      <c r="Y84" s="56"/>
      <c r="Z84" s="56"/>
      <c r="AA84" s="56"/>
      <c r="AC84" s="56"/>
    </row>
    <row r="85" spans="1:29" x14ac:dyDescent="0.25">
      <c r="A85" s="35"/>
      <c r="B85" s="32" t="e">
        <f>VLOOKUP(A85,Relay!$A$1:$B$50,2,FALSE)</f>
        <v>#N/A</v>
      </c>
      <c r="C85" s="32" t="e">
        <f>VLOOKUP(A85,Relay!$A$2:$C$101,3,FALSE)</f>
        <v>#N/A</v>
      </c>
      <c r="D85" s="39"/>
      <c r="E85" s="35"/>
      <c r="F85" s="58" t="str">
        <f t="shared" si="6"/>
        <v>INS</v>
      </c>
      <c r="G85" s="32" t="e">
        <f>IF(OR(E85="Jeopardy",E85="APP Moonlighting",E85="Differential Pay"),"",July[[#This Row],[SysID]])</f>
        <v>#N/A</v>
      </c>
      <c r="H85" s="32" t="e">
        <f>IF(E85="Jeopardy",IF(C85="MD",Relay!$E$7,Relay!$E$8),IF(C85="MD",IF(COUNTIF(G:G,B85)&gt;1,Relay!$E$2,Relay!$E$1),IF(AND(COUNTIF(G:G,B85)&gt;1,COUNTA(A85)&gt;0),Relay!$E$5,Relay!$E$4)))</f>
        <v>#N/A</v>
      </c>
      <c r="I85" s="8">
        <f t="shared" si="7"/>
        <v>0</v>
      </c>
      <c r="J85" s="35"/>
      <c r="K85" s="35"/>
      <c r="L85" s="35"/>
      <c r="M85" s="35"/>
      <c r="N85" s="32" t="e">
        <f>IF(H85=July!$E$2,"N",IF(AND(COUNTIF(B:B,B85)=1,D85&gt;14),"Y","N"))</f>
        <v>#N/A</v>
      </c>
      <c r="O85" s="55" t="str">
        <f>IF(COUNT(July[[#This Row],[Date]])&gt;0,IF(July[[#This Row],[Date]]&gt;14,"Yes","No"),"N/A")</f>
        <v>N/A</v>
      </c>
      <c r="P85" s="55"/>
      <c r="Q85" s="5">
        <f>Relay!A84</f>
        <v>0</v>
      </c>
      <c r="R85" s="5">
        <f>Relay!B84</f>
        <v>83</v>
      </c>
      <c r="S85" s="8">
        <f>IF(July[After the 14th?]="No",SUMIF(July[SysID],R85,July[Pay Amount]),0)</f>
        <v>0</v>
      </c>
      <c r="T85" s="8"/>
      <c r="U85" s="5" t="str">
        <f t="shared" si="8"/>
        <v>N</v>
      </c>
      <c r="X85" s="56"/>
      <c r="Y85" s="56"/>
      <c r="Z85" s="56"/>
      <c r="AA85" s="56"/>
      <c r="AC85" s="56"/>
    </row>
    <row r="86" spans="1:29" x14ac:dyDescent="0.25">
      <c r="A86" s="35"/>
      <c r="B86" s="32" t="e">
        <f>VLOOKUP(A86,Relay!$A$1:$B$50,2,FALSE)</f>
        <v>#N/A</v>
      </c>
      <c r="C86" s="32" t="e">
        <f>VLOOKUP(A86,Relay!$A$2:$C$101,3,FALSE)</f>
        <v>#N/A</v>
      </c>
      <c r="D86" s="39"/>
      <c r="E86" s="35"/>
      <c r="F86" s="58" t="str">
        <f t="shared" si="6"/>
        <v>INS</v>
      </c>
      <c r="G86" s="32" t="e">
        <f>IF(OR(E86="Jeopardy",E86="APP Moonlighting",E86="Differential Pay"),"",July[[#This Row],[SysID]])</f>
        <v>#N/A</v>
      </c>
      <c r="H86" s="32" t="e">
        <f>IF(E86="Jeopardy",IF(C86="MD",Relay!$E$7,Relay!$E$8),IF(C86="MD",IF(COUNTIF(G:G,B86)&gt;1,Relay!$E$2,Relay!$E$1),IF(AND(COUNTIF(G:G,B86)&gt;1,COUNTA(A86)&gt;0),Relay!$E$5,Relay!$E$4)))</f>
        <v>#N/A</v>
      </c>
      <c r="I86" s="8">
        <f t="shared" si="7"/>
        <v>0</v>
      </c>
      <c r="J86" s="35"/>
      <c r="K86" s="35"/>
      <c r="L86" s="35"/>
      <c r="M86" s="35"/>
      <c r="N86" s="32" t="e">
        <f>IF(H86=July!$E$2,"N",IF(AND(COUNTIF(B:B,B86)=1,D86&gt;14),"Y","N"))</f>
        <v>#N/A</v>
      </c>
      <c r="O86" s="55" t="str">
        <f>IF(COUNT(July[[#This Row],[Date]])&gt;0,IF(July[[#This Row],[Date]]&gt;14,"Yes","No"),"N/A")</f>
        <v>N/A</v>
      </c>
      <c r="P86" s="55"/>
      <c r="Q86" s="5">
        <f>Relay!A85</f>
        <v>0</v>
      </c>
      <c r="R86" s="5">
        <f>Relay!B85</f>
        <v>84</v>
      </c>
      <c r="S86" s="8">
        <f>IF(July[After the 14th?]="No",SUMIF(July[SysID],R86,July[Pay Amount]),0)</f>
        <v>0</v>
      </c>
      <c r="T86" s="8"/>
      <c r="U86" s="5" t="str">
        <f t="shared" si="8"/>
        <v>N</v>
      </c>
      <c r="X86" s="56"/>
      <c r="Y86" s="56"/>
      <c r="Z86" s="56"/>
      <c r="AA86" s="56"/>
      <c r="AC86" s="56"/>
    </row>
    <row r="87" spans="1:29" x14ac:dyDescent="0.25">
      <c r="A87" s="35"/>
      <c r="B87" s="32" t="e">
        <f>VLOOKUP(A87,Relay!$A$1:$B$50,2,FALSE)</f>
        <v>#N/A</v>
      </c>
      <c r="C87" s="32" t="e">
        <f>VLOOKUP(A87,Relay!$A$2:$C$101,3,FALSE)</f>
        <v>#N/A</v>
      </c>
      <c r="D87" s="39"/>
      <c r="E87" s="35"/>
      <c r="F87" s="58" t="str">
        <f t="shared" si="6"/>
        <v>INS</v>
      </c>
      <c r="G87" s="32" t="e">
        <f>IF(OR(E87="Jeopardy",E87="APP Moonlighting",E87="Differential Pay"),"",July[[#This Row],[SysID]])</f>
        <v>#N/A</v>
      </c>
      <c r="H87" s="32" t="e">
        <f>IF(E87="Jeopardy",IF(C87="MD",Relay!$E$7,Relay!$E$8),IF(C87="MD",IF(COUNTIF(G:G,B87)&gt;1,Relay!$E$2,Relay!$E$1),IF(AND(COUNTIF(G:G,B87)&gt;1,COUNTA(A87)&gt;0),Relay!$E$5,Relay!$E$4)))</f>
        <v>#N/A</v>
      </c>
      <c r="I87" s="8">
        <f t="shared" si="7"/>
        <v>0</v>
      </c>
      <c r="J87" s="35"/>
      <c r="K87" s="35"/>
      <c r="L87" s="35"/>
      <c r="M87" s="35"/>
      <c r="N87" s="32" t="e">
        <f>IF(H87=July!$E$2,"N",IF(AND(COUNTIF(B:B,B87)=1,D87&gt;14),"Y","N"))</f>
        <v>#N/A</v>
      </c>
      <c r="O87" s="55" t="str">
        <f>IF(COUNT(July[[#This Row],[Date]])&gt;0,IF(July[[#This Row],[Date]]&gt;14,"Yes","No"),"N/A")</f>
        <v>N/A</v>
      </c>
      <c r="P87" s="55"/>
      <c r="Q87" s="5">
        <f>Relay!A86</f>
        <v>0</v>
      </c>
      <c r="R87" s="5">
        <f>Relay!B86</f>
        <v>85</v>
      </c>
      <c r="S87" s="8">
        <f>IF(July[After the 14th?]="No",SUMIF(July[SysID],R87,July[Pay Amount]),0)</f>
        <v>0</v>
      </c>
      <c r="T87" s="8"/>
      <c r="U87" s="5" t="str">
        <f t="shared" si="8"/>
        <v>N</v>
      </c>
      <c r="X87" s="56"/>
      <c r="Y87" s="56"/>
      <c r="Z87" s="56"/>
      <c r="AA87" s="56"/>
      <c r="AC87" s="56"/>
    </row>
    <row r="88" spans="1:29" x14ac:dyDescent="0.25">
      <c r="A88" s="35"/>
      <c r="B88" s="32" t="e">
        <f>VLOOKUP(A88,Relay!$A$1:$B$50,2,FALSE)</f>
        <v>#N/A</v>
      </c>
      <c r="C88" s="32" t="e">
        <f>VLOOKUP(A88,Relay!$A$2:$C$101,3,FALSE)</f>
        <v>#N/A</v>
      </c>
      <c r="D88" s="39"/>
      <c r="E88" s="35"/>
      <c r="F88" s="58" t="str">
        <f t="shared" si="6"/>
        <v>INS</v>
      </c>
      <c r="G88" s="32" t="e">
        <f>IF(OR(E88="Jeopardy",E88="APP Moonlighting",E88="Differential Pay"),"",July[[#This Row],[SysID]])</f>
        <v>#N/A</v>
      </c>
      <c r="H88" s="32" t="e">
        <f>IF(E88="Jeopardy",IF(C88="MD",Relay!$E$7,Relay!$E$8),IF(C88="MD",IF(COUNTIF(G:G,B88)&gt;1,Relay!$E$2,Relay!$E$1),IF(AND(COUNTIF(G:G,B88)&gt;1,COUNTA(A88)&gt;0),Relay!$E$5,Relay!$E$4)))</f>
        <v>#N/A</v>
      </c>
      <c r="I88" s="8">
        <f t="shared" si="7"/>
        <v>0</v>
      </c>
      <c r="J88" s="35"/>
      <c r="K88" s="35"/>
      <c r="L88" s="35"/>
      <c r="M88" s="35"/>
      <c r="N88" s="32" t="e">
        <f>IF(H88=July!$E$2,"N",IF(AND(COUNTIF(B:B,B88)=1,D88&gt;14),"Y","N"))</f>
        <v>#N/A</v>
      </c>
      <c r="O88" s="55" t="str">
        <f>IF(COUNT(July[[#This Row],[Date]])&gt;0,IF(July[[#This Row],[Date]]&gt;14,"Yes","No"),"N/A")</f>
        <v>N/A</v>
      </c>
      <c r="P88" s="55"/>
      <c r="Q88" s="5">
        <f>Relay!A87</f>
        <v>0</v>
      </c>
      <c r="R88" s="5">
        <f>Relay!B87</f>
        <v>86</v>
      </c>
      <c r="S88" s="8">
        <f>IF(July[After the 14th?]="No",SUMIF(July[SysID],R88,July[Pay Amount]),0)</f>
        <v>0</v>
      </c>
      <c r="T88" s="8"/>
      <c r="U88" s="5" t="str">
        <f t="shared" si="8"/>
        <v>N</v>
      </c>
      <c r="X88" s="56"/>
      <c r="Y88" s="56"/>
      <c r="Z88" s="56"/>
      <c r="AA88" s="56"/>
      <c r="AC88" s="56"/>
    </row>
    <row r="89" spans="1:29" x14ac:dyDescent="0.25">
      <c r="A89" s="35"/>
      <c r="B89" s="32" t="e">
        <f>VLOOKUP(A89,Relay!$A$1:$B$50,2,FALSE)</f>
        <v>#N/A</v>
      </c>
      <c r="C89" s="32" t="e">
        <f>VLOOKUP(A89,Relay!$A$2:$C$101,3,FALSE)</f>
        <v>#N/A</v>
      </c>
      <c r="D89" s="39"/>
      <c r="E89" s="35"/>
      <c r="F89" s="58" t="str">
        <f t="shared" si="6"/>
        <v>INS</v>
      </c>
      <c r="G89" s="32" t="e">
        <f>IF(OR(E89="Jeopardy",E89="APP Moonlighting",E89="Differential Pay"),"",July[[#This Row],[SysID]])</f>
        <v>#N/A</v>
      </c>
      <c r="H89" s="32" t="e">
        <f>IF(E89="Jeopardy",IF(C89="MD",Relay!$E$7,Relay!$E$8),IF(C89="MD",IF(COUNTIF(G:G,B89)&gt;1,Relay!$E$2,Relay!$E$1),IF(AND(COUNTIF(G:G,B89)&gt;1,COUNTA(A89)&gt;0),Relay!$E$5,Relay!$E$4)))</f>
        <v>#N/A</v>
      </c>
      <c r="I89" s="8">
        <f t="shared" si="7"/>
        <v>0</v>
      </c>
      <c r="J89" s="35"/>
      <c r="K89" s="35"/>
      <c r="L89" s="35"/>
      <c r="M89" s="35"/>
      <c r="N89" s="32" t="e">
        <f>IF(H89=July!$E$2,"N",IF(AND(COUNTIF(B:B,B89)=1,D89&gt;14),"Y","N"))</f>
        <v>#N/A</v>
      </c>
      <c r="O89" s="55" t="str">
        <f>IF(COUNT(July[[#This Row],[Date]])&gt;0,IF(July[[#This Row],[Date]]&gt;14,"Yes","No"),"N/A")</f>
        <v>N/A</v>
      </c>
      <c r="P89" s="55"/>
      <c r="Q89" s="5">
        <f>Relay!A88</f>
        <v>0</v>
      </c>
      <c r="R89" s="5">
        <f>Relay!B88</f>
        <v>87</v>
      </c>
      <c r="S89" s="8">
        <f>IF(July[After the 14th?]="No",SUMIF(July[SysID],R89,July[Pay Amount]),0)</f>
        <v>0</v>
      </c>
      <c r="T89" s="8"/>
      <c r="U89" s="5" t="str">
        <f t="shared" si="8"/>
        <v>N</v>
      </c>
      <c r="X89" s="56"/>
      <c r="Y89" s="56"/>
      <c r="Z89" s="56"/>
      <c r="AA89" s="56"/>
      <c r="AC89" s="56"/>
    </row>
    <row r="90" spans="1:29" x14ac:dyDescent="0.25">
      <c r="A90" s="35"/>
      <c r="B90" s="32" t="e">
        <f>VLOOKUP(A90,Relay!$A$1:$B$50,2,FALSE)</f>
        <v>#N/A</v>
      </c>
      <c r="C90" s="32" t="e">
        <f>VLOOKUP(A90,Relay!$A$2:$C$101,3,FALSE)</f>
        <v>#N/A</v>
      </c>
      <c r="D90" s="39"/>
      <c r="E90" s="35"/>
      <c r="F90" s="58" t="str">
        <f t="shared" si="6"/>
        <v>INS</v>
      </c>
      <c r="G90" s="32" t="e">
        <f>IF(OR(E90="Jeopardy",E90="APP Moonlighting",E90="Differential Pay"),"",July[[#This Row],[SysID]])</f>
        <v>#N/A</v>
      </c>
      <c r="H90" s="32" t="e">
        <f>IF(E90="Jeopardy",IF(C90="MD",Relay!$E$7,Relay!$E$8),IF(C90="MD",IF(COUNTIF(G:G,B90)&gt;1,Relay!$E$2,Relay!$E$1),IF(AND(COUNTIF(G:G,B90)&gt;1,COUNTA(A90)&gt;0),Relay!$E$5,Relay!$E$4)))</f>
        <v>#N/A</v>
      </c>
      <c r="I90" s="8">
        <f t="shared" si="7"/>
        <v>0</v>
      </c>
      <c r="J90" s="35"/>
      <c r="K90" s="35"/>
      <c r="L90" s="35"/>
      <c r="M90" s="35"/>
      <c r="N90" s="32" t="e">
        <f>IF(H90=July!$E$2,"N",IF(AND(COUNTIF(B:B,B90)=1,D90&gt;14),"Y","N"))</f>
        <v>#N/A</v>
      </c>
      <c r="O90" s="55" t="str">
        <f>IF(COUNT(July[[#This Row],[Date]])&gt;0,IF(July[[#This Row],[Date]]&gt;14,"Yes","No"),"N/A")</f>
        <v>N/A</v>
      </c>
      <c r="P90" s="55"/>
      <c r="Q90" s="5">
        <f>Relay!A89</f>
        <v>0</v>
      </c>
      <c r="R90" s="5">
        <f>Relay!B89</f>
        <v>88</v>
      </c>
      <c r="S90" s="8">
        <f>IF(July[After the 14th?]="No",SUMIF(July[SysID],R90,July[Pay Amount]),0)</f>
        <v>0</v>
      </c>
      <c r="T90" s="8"/>
      <c r="U90" s="5" t="str">
        <f t="shared" si="8"/>
        <v>N</v>
      </c>
      <c r="X90" s="56"/>
      <c r="Y90" s="56"/>
      <c r="Z90" s="56"/>
      <c r="AA90" s="56"/>
      <c r="AC90" s="56"/>
    </row>
    <row r="91" spans="1:29" x14ac:dyDescent="0.25">
      <c r="A91" s="35"/>
      <c r="B91" s="32" t="e">
        <f>VLOOKUP(A91,Relay!$A$1:$B$50,2,FALSE)</f>
        <v>#N/A</v>
      </c>
      <c r="C91" s="32" t="e">
        <f>VLOOKUP(A91,Relay!$A$2:$C$101,3,FALSE)</f>
        <v>#N/A</v>
      </c>
      <c r="D91" s="39"/>
      <c r="E91" s="35"/>
      <c r="F91" s="58" t="str">
        <f t="shared" si="6"/>
        <v>INS</v>
      </c>
      <c r="G91" s="32" t="e">
        <f>IF(OR(E91="Jeopardy",E91="APP Moonlighting",E91="Differential Pay"),"",July[[#This Row],[SysID]])</f>
        <v>#N/A</v>
      </c>
      <c r="H91" s="32" t="e">
        <f>IF(E91="Jeopardy",IF(C91="MD",Relay!$E$7,Relay!$E$8),IF(C91="MD",IF(COUNTIF(G:G,B91)&gt;1,Relay!$E$2,Relay!$E$1),IF(AND(COUNTIF(G:G,B91)&gt;1,COUNTA(A91)&gt;0),Relay!$E$5,Relay!$E$4)))</f>
        <v>#N/A</v>
      </c>
      <c r="I91" s="8">
        <f t="shared" si="7"/>
        <v>0</v>
      </c>
      <c r="J91" s="35"/>
      <c r="K91" s="35"/>
      <c r="L91" s="35"/>
      <c r="M91" s="35"/>
      <c r="N91" s="32" t="e">
        <f>IF(H91=July!$E$2,"N",IF(AND(COUNTIF(B:B,B91)=1,D91&gt;14),"Y","N"))</f>
        <v>#N/A</v>
      </c>
      <c r="O91" s="55" t="str">
        <f>IF(COUNT(July[[#This Row],[Date]])&gt;0,IF(July[[#This Row],[Date]]&gt;14,"Yes","No"),"N/A")</f>
        <v>N/A</v>
      </c>
      <c r="P91" s="55"/>
      <c r="Q91" s="5">
        <f>Relay!A90</f>
        <v>0</v>
      </c>
      <c r="R91" s="5">
        <f>Relay!B90</f>
        <v>89</v>
      </c>
      <c r="S91" s="8">
        <f>IF(July[After the 14th?]="No",SUMIF(July[SysID],R91,July[Pay Amount]),0)</f>
        <v>0</v>
      </c>
      <c r="T91" s="8"/>
      <c r="U91" s="5" t="str">
        <f t="shared" si="8"/>
        <v>N</v>
      </c>
      <c r="X91" s="56"/>
      <c r="Y91" s="56"/>
      <c r="Z91" s="56"/>
      <c r="AA91" s="56"/>
      <c r="AC91" s="56"/>
    </row>
    <row r="92" spans="1:29" x14ac:dyDescent="0.25">
      <c r="A92" s="35"/>
      <c r="B92" s="32" t="e">
        <f>VLOOKUP(A92,Relay!$A$1:$B$50,2,FALSE)</f>
        <v>#N/A</v>
      </c>
      <c r="C92" s="32" t="e">
        <f>VLOOKUP(A92,Relay!$A$2:$C$101,3,FALSE)</f>
        <v>#N/A</v>
      </c>
      <c r="D92" s="39"/>
      <c r="E92" s="35"/>
      <c r="F92" s="58" t="str">
        <f t="shared" si="6"/>
        <v>INS</v>
      </c>
      <c r="G92" s="32" t="e">
        <f>IF(OR(E92="Jeopardy",E92="APP Moonlighting",E92="Differential Pay"),"",July[[#This Row],[SysID]])</f>
        <v>#N/A</v>
      </c>
      <c r="H92" s="32" t="e">
        <f>IF(E92="Jeopardy",IF(C92="MD",Relay!$E$7,Relay!$E$8),IF(C92="MD",IF(COUNTIF(G:G,B92)&gt;1,Relay!$E$2,Relay!$E$1),IF(AND(COUNTIF(G:G,B92)&gt;1,COUNTA(A92)&gt;0),Relay!$E$5,Relay!$E$4)))</f>
        <v>#N/A</v>
      </c>
      <c r="I92" s="8">
        <f t="shared" si="7"/>
        <v>0</v>
      </c>
      <c r="J92" s="35"/>
      <c r="K92" s="35"/>
      <c r="L92" s="35"/>
      <c r="M92" s="35"/>
      <c r="N92" s="32" t="e">
        <f>IF(H92=July!$E$2,"N",IF(AND(COUNTIF(B:B,B92)=1,D92&gt;14),"Y","N"))</f>
        <v>#N/A</v>
      </c>
      <c r="O92" s="55" t="str">
        <f>IF(COUNT(July[[#This Row],[Date]])&gt;0,IF(July[[#This Row],[Date]]&gt;14,"Yes","No"),"N/A")</f>
        <v>N/A</v>
      </c>
      <c r="P92" s="55"/>
      <c r="Q92" s="5">
        <f>Relay!A91</f>
        <v>0</v>
      </c>
      <c r="R92" s="5">
        <f>Relay!B91</f>
        <v>90</v>
      </c>
      <c r="S92" s="8">
        <f>IF(July[After the 14th?]="No",SUMIF(July[SysID],R92,July[Pay Amount]),0)</f>
        <v>0</v>
      </c>
      <c r="T92" s="8"/>
      <c r="U92" s="5" t="str">
        <f t="shared" si="8"/>
        <v>N</v>
      </c>
      <c r="X92" s="56"/>
      <c r="Y92" s="56"/>
      <c r="Z92" s="56"/>
      <c r="AA92" s="56"/>
      <c r="AC92" s="56"/>
    </row>
    <row r="93" spans="1:29" x14ac:dyDescent="0.25">
      <c r="A93" s="35"/>
      <c r="B93" s="32" t="e">
        <f>VLOOKUP(A93,Relay!$A$1:$B$50,2,FALSE)</f>
        <v>#N/A</v>
      </c>
      <c r="C93" s="32" t="e">
        <f>VLOOKUP(A93,Relay!$A$2:$C$101,3,FALSE)</f>
        <v>#N/A</v>
      </c>
      <c r="D93" s="39"/>
      <c r="E93" s="35"/>
      <c r="F93" s="58" t="str">
        <f t="shared" si="6"/>
        <v>INS</v>
      </c>
      <c r="G93" s="32" t="e">
        <f>IF(OR(E93="Jeopardy",E93="APP Moonlighting",E93="Differential Pay"),"",July[[#This Row],[SysID]])</f>
        <v>#N/A</v>
      </c>
      <c r="H93" s="32" t="e">
        <f>IF(E93="Jeopardy",IF(C93="MD",Relay!$E$7,Relay!$E$8),IF(C93="MD",IF(COUNTIF(G:G,B93)&gt;1,Relay!$E$2,Relay!$E$1),IF(AND(COUNTIF(G:G,B93)&gt;1,COUNTA(A93)&gt;0),Relay!$E$5,Relay!$E$4)))</f>
        <v>#N/A</v>
      </c>
      <c r="I93" s="8">
        <f t="shared" si="7"/>
        <v>0</v>
      </c>
      <c r="J93" s="35"/>
      <c r="K93" s="35"/>
      <c r="L93" s="35"/>
      <c r="M93" s="35"/>
      <c r="N93" s="32" t="e">
        <f>IF(H93=July!$E$2,"N",IF(AND(COUNTIF(B:B,B93)=1,D93&gt;14),"Y","N"))</f>
        <v>#N/A</v>
      </c>
      <c r="O93" s="55" t="str">
        <f>IF(COUNT(July[[#This Row],[Date]])&gt;0,IF(July[[#This Row],[Date]]&gt;14,"Yes","No"),"N/A")</f>
        <v>N/A</v>
      </c>
      <c r="P93" s="55"/>
      <c r="Q93" s="5">
        <f>Relay!A92</f>
        <v>0</v>
      </c>
      <c r="R93" s="5">
        <f>Relay!B92</f>
        <v>91</v>
      </c>
      <c r="S93" s="8">
        <f>IF(July[After the 14th?]="No",SUMIF(July[SysID],R93,July[Pay Amount]),0)</f>
        <v>0</v>
      </c>
      <c r="T93" s="8"/>
      <c r="U93" s="5" t="str">
        <f t="shared" si="8"/>
        <v>N</v>
      </c>
      <c r="X93" s="56"/>
      <c r="Y93" s="56"/>
      <c r="Z93" s="56"/>
      <c r="AA93" s="56"/>
      <c r="AC93" s="56"/>
    </row>
    <row r="94" spans="1:29" x14ac:dyDescent="0.25">
      <c r="A94" s="35"/>
      <c r="B94" s="32" t="e">
        <f>VLOOKUP(A94,Relay!$A$1:$B$50,2,FALSE)</f>
        <v>#N/A</v>
      </c>
      <c r="C94" s="32" t="e">
        <f>VLOOKUP(A94,Relay!$A$2:$C$101,3,FALSE)</f>
        <v>#N/A</v>
      </c>
      <c r="D94" s="39"/>
      <c r="E94" s="35"/>
      <c r="F94" s="58" t="str">
        <f t="shared" si="6"/>
        <v>INS</v>
      </c>
      <c r="G94" s="32" t="e">
        <f>IF(OR(E94="Jeopardy",E94="APP Moonlighting",E94="Differential Pay"),"",July[[#This Row],[SysID]])</f>
        <v>#N/A</v>
      </c>
      <c r="H94" s="32" t="e">
        <f>IF(E94="Jeopardy",IF(C94="MD",Relay!$E$7,Relay!$E$8),IF(C94="MD",IF(COUNTIF(G:G,B94)&gt;1,Relay!$E$2,Relay!$E$1),IF(AND(COUNTIF(G:G,B94)&gt;1,COUNTA(A94)&gt;0),Relay!$E$5,Relay!$E$4)))</f>
        <v>#N/A</v>
      </c>
      <c r="I94" s="8">
        <f t="shared" si="7"/>
        <v>0</v>
      </c>
      <c r="J94" s="35"/>
      <c r="K94" s="35"/>
      <c r="L94" s="35"/>
      <c r="M94" s="35"/>
      <c r="N94" s="32" t="e">
        <f>IF(H94=July!$E$2,"N",IF(AND(COUNTIF(B:B,B94)=1,D94&gt;14),"Y","N"))</f>
        <v>#N/A</v>
      </c>
      <c r="O94" s="55" t="str">
        <f>IF(COUNT(July[[#This Row],[Date]])&gt;0,IF(July[[#This Row],[Date]]&gt;14,"Yes","No"),"N/A")</f>
        <v>N/A</v>
      </c>
      <c r="P94" s="55"/>
      <c r="Q94" s="5">
        <f>Relay!A93</f>
        <v>0</v>
      </c>
      <c r="R94" s="5">
        <f>Relay!B93</f>
        <v>92</v>
      </c>
      <c r="S94" s="8">
        <f>IF(July[After the 14th?]="No",SUMIF(July[SysID],R94,July[Pay Amount]),0)</f>
        <v>0</v>
      </c>
      <c r="T94" s="8"/>
      <c r="U94" s="5" t="str">
        <f t="shared" si="8"/>
        <v>N</v>
      </c>
      <c r="X94" s="56"/>
      <c r="Y94" s="56"/>
      <c r="Z94" s="56"/>
      <c r="AA94" s="56"/>
      <c r="AC94" s="56"/>
    </row>
    <row r="95" spans="1:29" x14ac:dyDescent="0.25">
      <c r="A95" s="35"/>
      <c r="B95" s="32" t="e">
        <f>VLOOKUP(A95,Relay!$A$1:$B$50,2,FALSE)</f>
        <v>#N/A</v>
      </c>
      <c r="C95" s="32" t="e">
        <f>VLOOKUP(A95,Relay!$A$2:$C$101,3,FALSE)</f>
        <v>#N/A</v>
      </c>
      <c r="D95" s="39"/>
      <c r="E95" s="35"/>
      <c r="F95" s="58" t="str">
        <f t="shared" si="6"/>
        <v>INS</v>
      </c>
      <c r="G95" s="32" t="e">
        <f>IF(OR(E95="Jeopardy",E95="APP Moonlighting",E95="Differential Pay"),"",July[[#This Row],[SysID]])</f>
        <v>#N/A</v>
      </c>
      <c r="H95" s="32" t="e">
        <f>IF(E95="Jeopardy",IF(C95="MD",Relay!$E$7,Relay!$E$8),IF(C95="MD",IF(COUNTIF(G:G,B95)&gt;1,Relay!$E$2,Relay!$E$1),IF(AND(COUNTIF(G:G,B95)&gt;1,COUNTA(A95)&gt;0),Relay!$E$5,Relay!$E$4)))</f>
        <v>#N/A</v>
      </c>
      <c r="I95" s="8">
        <f t="shared" si="7"/>
        <v>0</v>
      </c>
      <c r="J95" s="35"/>
      <c r="K95" s="35"/>
      <c r="L95" s="35"/>
      <c r="M95" s="35"/>
      <c r="N95" s="32" t="e">
        <f>IF(H95=July!$E$2,"N",IF(AND(COUNTIF(B:B,B95)=1,D95&gt;14),"Y","N"))</f>
        <v>#N/A</v>
      </c>
      <c r="O95" s="55" t="str">
        <f>IF(COUNT(July[[#This Row],[Date]])&gt;0,IF(July[[#This Row],[Date]]&gt;14,"Yes","No"),"N/A")</f>
        <v>N/A</v>
      </c>
      <c r="P95" s="55"/>
      <c r="Q95" s="5">
        <f>Relay!A94</f>
        <v>0</v>
      </c>
      <c r="R95" s="5">
        <f>Relay!B94</f>
        <v>93</v>
      </c>
      <c r="S95" s="8">
        <f>IF(July[After the 14th?]="No",SUMIF(July[SysID],R95,July[Pay Amount]),0)</f>
        <v>0</v>
      </c>
      <c r="T95" s="8"/>
      <c r="U95" s="5" t="str">
        <f t="shared" si="8"/>
        <v>N</v>
      </c>
      <c r="X95" s="56"/>
      <c r="Y95" s="56"/>
      <c r="Z95" s="56"/>
      <c r="AA95" s="56"/>
      <c r="AC95" s="56"/>
    </row>
    <row r="96" spans="1:29" x14ac:dyDescent="0.25">
      <c r="A96" s="35"/>
      <c r="B96" s="32" t="e">
        <f>VLOOKUP(A96,Relay!$A$1:$B$50,2,FALSE)</f>
        <v>#N/A</v>
      </c>
      <c r="C96" s="32" t="e">
        <f>VLOOKUP(A96,Relay!$A$2:$C$101,3,FALSE)</f>
        <v>#N/A</v>
      </c>
      <c r="D96" s="39"/>
      <c r="E96" s="35"/>
      <c r="F96" s="58" t="str">
        <f t="shared" si="6"/>
        <v>INS</v>
      </c>
      <c r="G96" s="32" t="e">
        <f>IF(OR(E96="Jeopardy",E96="APP Moonlighting",E96="Differential Pay"),"",July[[#This Row],[SysID]])</f>
        <v>#N/A</v>
      </c>
      <c r="H96" s="32" t="e">
        <f>IF(E96="Jeopardy",IF(C96="MD",Relay!$E$7,Relay!$E$8),IF(C96="MD",IF(COUNTIF(G:G,B96)&gt;1,Relay!$E$2,Relay!$E$1),IF(AND(COUNTIF(G:G,B96)&gt;1,COUNTA(A96)&gt;0),Relay!$E$5,Relay!$E$4)))</f>
        <v>#N/A</v>
      </c>
      <c r="I96" s="8">
        <f t="shared" si="7"/>
        <v>0</v>
      </c>
      <c r="J96" s="35"/>
      <c r="K96" s="35"/>
      <c r="L96" s="35"/>
      <c r="M96" s="35"/>
      <c r="N96" s="32" t="e">
        <f>IF(H96=July!$E$2,"N",IF(AND(COUNTIF(B:B,B96)=1,D96&gt;14),"Y","N"))</f>
        <v>#N/A</v>
      </c>
      <c r="O96" s="55" t="str">
        <f>IF(COUNT(July[[#This Row],[Date]])&gt;0,IF(July[[#This Row],[Date]]&gt;14,"Yes","No"),"N/A")</f>
        <v>N/A</v>
      </c>
      <c r="P96" s="55"/>
      <c r="Q96" s="5">
        <f>Relay!A95</f>
        <v>0</v>
      </c>
      <c r="R96" s="5">
        <f>Relay!B95</f>
        <v>94</v>
      </c>
      <c r="S96" s="8">
        <f>IF(July[After the 14th?]="No",SUMIF(July[SysID],R96,July[Pay Amount]),0)</f>
        <v>0</v>
      </c>
      <c r="T96" s="8"/>
      <c r="U96" s="5" t="str">
        <f t="shared" si="8"/>
        <v>N</v>
      </c>
      <c r="X96" s="56"/>
      <c r="Y96" s="56"/>
      <c r="Z96" s="56"/>
      <c r="AA96" s="56"/>
      <c r="AC96" s="56"/>
    </row>
    <row r="97" spans="1:29" x14ac:dyDescent="0.25">
      <c r="A97" s="35"/>
      <c r="B97" s="32" t="e">
        <f>VLOOKUP(A97,Relay!$A$1:$B$50,2,FALSE)</f>
        <v>#N/A</v>
      </c>
      <c r="C97" s="32" t="e">
        <f>VLOOKUP(A97,Relay!$A$2:$C$101,3,FALSE)</f>
        <v>#N/A</v>
      </c>
      <c r="D97" s="39"/>
      <c r="E97" s="35"/>
      <c r="F97" s="58" t="str">
        <f t="shared" si="6"/>
        <v>INS</v>
      </c>
      <c r="G97" s="32" t="e">
        <f>IF(OR(E97="Jeopardy",E97="APP Moonlighting",E97="Differential Pay"),"",July[[#This Row],[SysID]])</f>
        <v>#N/A</v>
      </c>
      <c r="H97" s="32" t="e">
        <f>IF(E97="Jeopardy",IF(C97="MD",Relay!$E$7,Relay!$E$8),IF(C97="MD",IF(COUNTIF(G:G,B97)&gt;1,Relay!$E$2,Relay!$E$1),IF(AND(COUNTIF(G:G,B97)&gt;1,COUNTA(A97)&gt;0),Relay!$E$5,Relay!$E$4)))</f>
        <v>#N/A</v>
      </c>
      <c r="I97" s="8">
        <f t="shared" si="7"/>
        <v>0</v>
      </c>
      <c r="J97" s="35"/>
      <c r="K97" s="35"/>
      <c r="L97" s="35"/>
      <c r="M97" s="35"/>
      <c r="N97" s="32" t="e">
        <f>IF(H97=July!$E$2,"N",IF(AND(COUNTIF(B:B,B97)=1,D97&gt;14),"Y","N"))</f>
        <v>#N/A</v>
      </c>
      <c r="O97" s="55" t="str">
        <f>IF(COUNT(July[[#This Row],[Date]])&gt;0,IF(July[[#This Row],[Date]]&gt;14,"Yes","No"),"N/A")</f>
        <v>N/A</v>
      </c>
      <c r="P97" s="55"/>
      <c r="Q97" s="5">
        <f>Relay!A96</f>
        <v>0</v>
      </c>
      <c r="R97" s="5">
        <f>Relay!B96</f>
        <v>95</v>
      </c>
      <c r="S97" s="8">
        <f>IF(July[After the 14th?]="No",SUMIF(July[SysID],R97,July[Pay Amount]),0)</f>
        <v>0</v>
      </c>
      <c r="T97" s="8"/>
      <c r="U97" s="5" t="str">
        <f t="shared" si="8"/>
        <v>N</v>
      </c>
      <c r="X97" s="56"/>
      <c r="Y97" s="56"/>
      <c r="Z97" s="56"/>
      <c r="AA97" s="56"/>
      <c r="AC97" s="56"/>
    </row>
    <row r="98" spans="1:29" x14ac:dyDescent="0.25">
      <c r="A98" s="35"/>
      <c r="B98" s="32" t="e">
        <f>VLOOKUP(A98,Relay!$A$1:$B$50,2,FALSE)</f>
        <v>#N/A</v>
      </c>
      <c r="C98" s="32" t="e">
        <f>VLOOKUP(A98,Relay!$A$2:$C$101,3,FALSE)</f>
        <v>#N/A</v>
      </c>
      <c r="D98" s="39"/>
      <c r="E98" s="35"/>
      <c r="F98" s="58" t="str">
        <f t="shared" si="6"/>
        <v>INS</v>
      </c>
      <c r="G98" s="32" t="e">
        <f>IF(OR(E98="Jeopardy",E98="APP Moonlighting",E98="Differential Pay"),"",July[[#This Row],[SysID]])</f>
        <v>#N/A</v>
      </c>
      <c r="H98" s="32" t="e">
        <f>IF(E98="Jeopardy",IF(C98="MD",Relay!$E$7,Relay!$E$8),IF(C98="MD",IF(COUNTIF(G:G,B98)&gt;1,Relay!$E$2,Relay!$E$1),IF(AND(COUNTIF(G:G,B98)&gt;1,COUNTA(A98)&gt;0),Relay!$E$5,Relay!$E$4)))</f>
        <v>#N/A</v>
      </c>
      <c r="I98" s="8">
        <f t="shared" si="7"/>
        <v>0</v>
      </c>
      <c r="J98" s="35"/>
      <c r="K98" s="35"/>
      <c r="L98" s="35"/>
      <c r="M98" s="35"/>
      <c r="N98" s="32" t="e">
        <f>IF(H98=July!$E$2,"N",IF(AND(COUNTIF(B:B,B98)=1,D98&gt;14),"Y","N"))</f>
        <v>#N/A</v>
      </c>
      <c r="O98" s="55" t="str">
        <f>IF(COUNT(July[[#This Row],[Date]])&gt;0,IF(July[[#This Row],[Date]]&gt;14,"Yes","No"),"N/A")</f>
        <v>N/A</v>
      </c>
      <c r="P98" s="55"/>
      <c r="Q98" s="5">
        <f>Relay!A97</f>
        <v>0</v>
      </c>
      <c r="R98" s="5">
        <f>Relay!B97</f>
        <v>96</v>
      </c>
      <c r="S98" s="8">
        <f>IF(July[After the 14th?]="No",SUMIF(July[SysID],R98,July[Pay Amount]),0)</f>
        <v>0</v>
      </c>
      <c r="T98" s="8"/>
      <c r="U98" s="5" t="str">
        <f t="shared" si="8"/>
        <v>N</v>
      </c>
      <c r="X98" s="56"/>
      <c r="Y98" s="56"/>
      <c r="Z98" s="56"/>
      <c r="AA98" s="56"/>
      <c r="AC98" s="56"/>
    </row>
    <row r="99" spans="1:29" x14ac:dyDescent="0.25">
      <c r="A99" s="35"/>
      <c r="B99" s="32" t="e">
        <f>VLOOKUP(A99,Relay!$A$1:$B$50,2,FALSE)</f>
        <v>#N/A</v>
      </c>
      <c r="C99" s="32" t="e">
        <f>VLOOKUP(A99,Relay!$A$2:$C$101,3,FALSE)</f>
        <v>#N/A</v>
      </c>
      <c r="D99" s="39"/>
      <c r="E99" s="35"/>
      <c r="F99" s="58" t="str">
        <f t="shared" si="6"/>
        <v>INS</v>
      </c>
      <c r="G99" s="32" t="e">
        <f>IF(OR(E99="Jeopardy",E99="APP Moonlighting",E99="Differential Pay"),"",July[[#This Row],[SysID]])</f>
        <v>#N/A</v>
      </c>
      <c r="H99" s="32" t="e">
        <f>IF(E99="Jeopardy",IF(C99="MD",Relay!$E$7,Relay!$E$8),IF(C99="MD",IF(COUNTIF(G:G,B99)&gt;1,Relay!$E$2,Relay!$E$1),IF(AND(COUNTIF(G:G,B99)&gt;1,COUNTA(A99)&gt;0),Relay!$E$5,Relay!$E$4)))</f>
        <v>#N/A</v>
      </c>
      <c r="I99" s="8">
        <f t="shared" si="7"/>
        <v>0</v>
      </c>
      <c r="J99" s="35"/>
      <c r="K99" s="35"/>
      <c r="L99" s="35"/>
      <c r="M99" s="35"/>
      <c r="N99" s="32" t="e">
        <f>IF(H99=July!$E$2,"N",IF(AND(COUNTIF(B:B,B99)=1,D99&gt;14),"Y","N"))</f>
        <v>#N/A</v>
      </c>
      <c r="O99" s="55" t="str">
        <f>IF(COUNT(July[[#This Row],[Date]])&gt;0,IF(July[[#This Row],[Date]]&gt;14,"Yes","No"),"N/A")</f>
        <v>N/A</v>
      </c>
      <c r="P99" s="55"/>
      <c r="Q99" s="5">
        <f>Relay!A98</f>
        <v>0</v>
      </c>
      <c r="R99" s="5">
        <f>Relay!B98</f>
        <v>97</v>
      </c>
      <c r="S99" s="8">
        <f>IF(July[After the 14th?]="No",SUMIF(July[SysID],R99,July[Pay Amount]),0)</f>
        <v>0</v>
      </c>
      <c r="T99" s="8"/>
      <c r="U99" s="5" t="str">
        <f t="shared" ref="U99:U103" si="9">IF(S99=T99,"N","Y")</f>
        <v>N</v>
      </c>
      <c r="X99" s="56"/>
      <c r="Y99" s="56"/>
      <c r="Z99" s="56"/>
      <c r="AA99" s="56"/>
      <c r="AC99" s="56"/>
    </row>
    <row r="100" spans="1:29" x14ac:dyDescent="0.25">
      <c r="A100" s="35"/>
      <c r="B100" s="32" t="e">
        <f>VLOOKUP(A100,Relay!$A$1:$B$50,2,FALSE)</f>
        <v>#N/A</v>
      </c>
      <c r="C100" s="32" t="e">
        <f>VLOOKUP(A100,Relay!$A$2:$C$101,3,FALSE)</f>
        <v>#N/A</v>
      </c>
      <c r="D100" s="39"/>
      <c r="E100" s="35"/>
      <c r="F100" s="58" t="str">
        <f t="shared" si="6"/>
        <v>INS</v>
      </c>
      <c r="G100" s="32" t="e">
        <f>IF(OR(E100="Jeopardy",E100="APP Moonlighting",E100="Differential Pay"),"",July[[#This Row],[SysID]])</f>
        <v>#N/A</v>
      </c>
      <c r="H100" s="32" t="e">
        <f>IF(E100="Jeopardy",IF(C100="MD",Relay!$E$7,Relay!$E$8),IF(C100="MD",IF(COUNTIF(G:G,B100)&gt;1,Relay!$E$2,Relay!$E$1),IF(AND(COUNTIF(G:G,B100)&gt;1,COUNTA(A100)&gt;0),Relay!$E$5,Relay!$E$4)))</f>
        <v>#N/A</v>
      </c>
      <c r="I100" s="8">
        <f t="shared" si="7"/>
        <v>0</v>
      </c>
      <c r="J100" s="35"/>
      <c r="K100" s="35"/>
      <c r="L100" s="35"/>
      <c r="M100" s="35"/>
      <c r="N100" s="32" t="e">
        <f>IF(H100=July!$E$2,"N",IF(AND(COUNTIF(B:B,B100)=1,D100&gt;14),"Y","N"))</f>
        <v>#N/A</v>
      </c>
      <c r="O100" s="55" t="str">
        <f>IF(COUNT(July[[#This Row],[Date]])&gt;0,IF(July[[#This Row],[Date]]&gt;14,"Yes","No"),"N/A")</f>
        <v>N/A</v>
      </c>
      <c r="P100" s="55"/>
      <c r="Q100" s="5">
        <f>Relay!A99</f>
        <v>0</v>
      </c>
      <c r="R100" s="5">
        <f>Relay!B99</f>
        <v>98</v>
      </c>
      <c r="S100" s="8">
        <f>IF(July[After the 14th?]="No",SUMIF(July[SysID],R100,July[Pay Amount]),0)</f>
        <v>0</v>
      </c>
      <c r="T100" s="8"/>
      <c r="U100" s="5" t="str">
        <f t="shared" si="9"/>
        <v>N</v>
      </c>
      <c r="X100" s="56"/>
      <c r="Y100" s="56"/>
      <c r="Z100" s="56"/>
      <c r="AA100" s="56"/>
      <c r="AC100" s="56"/>
    </row>
    <row r="101" spans="1:29" x14ac:dyDescent="0.25">
      <c r="A101" s="35"/>
      <c r="B101" s="32" t="e">
        <f>VLOOKUP(A101,Relay!$A$1:$B$50,2,FALSE)</f>
        <v>#N/A</v>
      </c>
      <c r="C101" s="32" t="e">
        <f>VLOOKUP(A101,Relay!$A$2:$C$101,3,FALSE)</f>
        <v>#N/A</v>
      </c>
      <c r="D101" s="39"/>
      <c r="E101" s="35"/>
      <c r="F101" s="58" t="str">
        <f t="shared" si="6"/>
        <v>INS</v>
      </c>
      <c r="G101" s="32" t="e">
        <f>IF(OR(E101="Jeopardy",E101="APP Moonlighting",E101="Differential Pay"),"",July[[#This Row],[SysID]])</f>
        <v>#N/A</v>
      </c>
      <c r="H101" s="32" t="e">
        <f>IF(E101="Jeopardy",IF(C101="MD",Relay!$E$7,Relay!$E$8),IF(C101="MD",IF(COUNTIF(G:G,B101)&gt;1,Relay!$E$2,Relay!$E$1),IF(AND(COUNTIF(G:G,B101)&gt;1,COUNTA(A101)&gt;0),Relay!$E$5,Relay!$E$4)))</f>
        <v>#N/A</v>
      </c>
      <c r="I101" s="8">
        <f t="shared" si="7"/>
        <v>0</v>
      </c>
      <c r="J101" s="35"/>
      <c r="K101" s="35"/>
      <c r="L101" s="35"/>
      <c r="M101" s="35"/>
      <c r="N101" s="32" t="e">
        <f>IF(H101=July!$E$2,"N",IF(AND(COUNTIF(B:B,B101)=1,D101&gt;14),"Y","N"))</f>
        <v>#N/A</v>
      </c>
      <c r="O101" s="55" t="str">
        <f>IF(COUNT(July[[#This Row],[Date]])&gt;0,IF(July[[#This Row],[Date]]&gt;14,"Yes","No"),"N/A")</f>
        <v>N/A</v>
      </c>
      <c r="P101" s="55"/>
      <c r="Q101" s="5">
        <f>Relay!A100</f>
        <v>0</v>
      </c>
      <c r="R101" s="5">
        <f>Relay!B100</f>
        <v>99</v>
      </c>
      <c r="S101" s="8">
        <f>IF(July[After the 14th?]="No",SUMIF(July[SysID],R101,July[Pay Amount]),0)</f>
        <v>0</v>
      </c>
      <c r="T101" s="8"/>
      <c r="U101" s="5" t="str">
        <f t="shared" si="9"/>
        <v>N</v>
      </c>
      <c r="X101" s="56"/>
      <c r="Y101" s="56"/>
      <c r="Z101" s="56"/>
      <c r="AA101" s="56"/>
      <c r="AC101" s="56"/>
    </row>
    <row r="102" spans="1:29" x14ac:dyDescent="0.25">
      <c r="A102" s="35"/>
      <c r="B102" s="32" t="e">
        <f>VLOOKUP(A102,Relay!$A$1:$B$50,2,FALSE)</f>
        <v>#N/A</v>
      </c>
      <c r="C102" s="32" t="e">
        <f>VLOOKUP(A102,Relay!$A$2:$C$101,3,FALSE)</f>
        <v>#N/A</v>
      </c>
      <c r="D102" s="39"/>
      <c r="E102" s="35"/>
      <c r="F102" s="58" t="str">
        <f t="shared" si="6"/>
        <v>INS</v>
      </c>
      <c r="G102" s="32" t="e">
        <f>IF(OR(E102="Jeopardy",E102="APP Moonlighting",E102="Differential Pay"),"",July[[#This Row],[SysID]])</f>
        <v>#N/A</v>
      </c>
      <c r="H102" s="32" t="e">
        <f>IF(E102="Jeopardy",IF(C102="MD",Relay!$E$7,Relay!$E$8),IF(C102="MD",IF(COUNTIF(G:G,B102)&gt;1,Relay!$E$2,Relay!$E$1),IF(AND(COUNTIF(G:G,B102)&gt;1,COUNTA(A102)&gt;0),Relay!$E$5,Relay!$E$4)))</f>
        <v>#N/A</v>
      </c>
      <c r="I102" s="8">
        <f t="shared" si="7"/>
        <v>0</v>
      </c>
      <c r="J102" s="35"/>
      <c r="K102" s="35"/>
      <c r="L102" s="35"/>
      <c r="M102" s="35"/>
      <c r="N102" s="32" t="e">
        <f>IF(H102=July!$E$2,"N",IF(AND(COUNTIF(B:B,B102)=1,D102&gt;14),"Y","N"))</f>
        <v>#N/A</v>
      </c>
      <c r="O102" s="55" t="str">
        <f>IF(COUNT(July[[#This Row],[Date]])&gt;0,IF(July[[#This Row],[Date]]&gt;14,"Yes","No"),"N/A")</f>
        <v>N/A</v>
      </c>
      <c r="P102" s="55"/>
      <c r="Q102" s="5">
        <f>Relay!A101</f>
        <v>0</v>
      </c>
      <c r="R102" s="5">
        <f>Relay!B101</f>
        <v>100</v>
      </c>
      <c r="S102" s="8">
        <f>IF(July[After the 14th?]="No",SUMIF(July[SysID],R102,July[Pay Amount]),0)</f>
        <v>0</v>
      </c>
      <c r="T102" s="8"/>
      <c r="U102" s="5" t="str">
        <f t="shared" si="9"/>
        <v>N</v>
      </c>
      <c r="X102" s="56"/>
      <c r="Y102" s="56"/>
      <c r="Z102" s="56"/>
      <c r="AA102" s="56"/>
      <c r="AC102" s="56"/>
    </row>
    <row r="103" spans="1:29" x14ac:dyDescent="0.25">
      <c r="A103" s="35"/>
      <c r="B103" s="32" t="e">
        <f>VLOOKUP(A103,Relay!$A$1:$B$50,2,FALSE)</f>
        <v>#N/A</v>
      </c>
      <c r="C103" s="32" t="e">
        <f>VLOOKUP(A103,Relay!$A$2:$C$101,3,FALSE)</f>
        <v>#N/A</v>
      </c>
      <c r="D103" s="39"/>
      <c r="E103" s="35"/>
      <c r="F103" s="58" t="str">
        <f t="shared" si="6"/>
        <v>INS</v>
      </c>
      <c r="G103" s="32" t="e">
        <f>IF(OR(E103="Jeopardy",E103="APP Moonlighting",E103="Differential Pay"),"",July[[#This Row],[SysID]])</f>
        <v>#N/A</v>
      </c>
      <c r="H103" s="32" t="e">
        <f>IF(E103="Jeopardy",IF(C103="MD",Relay!$E$7,Relay!$E$8),IF(C103="MD",IF(COUNTIF(G:G,B103)&gt;1,Relay!$E$2,Relay!$E$1),IF(AND(COUNTIF(G:G,B103)&gt;1,COUNTA(A103)&gt;0),Relay!$E$5,Relay!$E$4)))</f>
        <v>#N/A</v>
      </c>
      <c r="I103" s="8">
        <f t="shared" si="7"/>
        <v>0</v>
      </c>
      <c r="J103" s="35"/>
      <c r="K103" s="35"/>
      <c r="L103" s="35"/>
      <c r="M103" s="35"/>
      <c r="N103" s="32" t="e">
        <f>IF(H103=July!$E$2,"N",IF(AND(COUNTIF(B:B,B103)=1,D103&gt;14),"Y","N"))</f>
        <v>#N/A</v>
      </c>
      <c r="O103" s="55" t="str">
        <f>IF(COUNT(July[[#This Row],[Date]])&gt;0,IF(July[[#This Row],[Date]]&gt;14,"Yes","No"),"N/A")</f>
        <v>N/A</v>
      </c>
      <c r="P103" s="55"/>
      <c r="Q103">
        <f>Relay!A102</f>
        <v>0</v>
      </c>
      <c r="R103">
        <f>Relay!B102</f>
        <v>0</v>
      </c>
      <c r="S103" s="9">
        <f>IF(July[After the 14th?]="No",SUMIF(July[SysID],R103,July[Pay Amount]),0)</f>
        <v>0</v>
      </c>
      <c r="U103" s="5" t="str">
        <f t="shared" si="9"/>
        <v>N</v>
      </c>
      <c r="X103" s="56"/>
      <c r="Y103" s="56"/>
      <c r="Z103" s="56"/>
      <c r="AA103" s="56"/>
      <c r="AC103" s="56"/>
    </row>
  </sheetData>
  <conditionalFormatting sqref="N1:N1048576">
    <cfRule type="containsText" dxfId="478" priority="8" operator="containsText" text="Y">
      <formula>NOT(ISERROR(SEARCH("Y",N1)))</formula>
    </cfRule>
  </conditionalFormatting>
  <conditionalFormatting sqref="F1:G1048576">
    <cfRule type="containsText" dxfId="477" priority="7" operator="containsText" text="INS">
      <formula>NOT(ISERROR(SEARCH("INS",F1)))</formula>
    </cfRule>
  </conditionalFormatting>
  <conditionalFormatting sqref="O1:O1048576">
    <cfRule type="containsText" dxfId="476" priority="2" operator="containsText" text="yes">
      <formula>NOT(ISERROR(SEARCH("yes",O1)))</formula>
    </cfRule>
    <cfRule type="containsText" dxfId="475" priority="3" operator="containsText" text="no">
      <formula>NOT(ISERROR(SEARCH("no",O1)))</formula>
    </cfRule>
    <cfRule type="containsText" dxfId="474" priority="4" operator="containsText" text="/">
      <formula>NOT(ISERROR(SEARCH("/",O1)))</formula>
    </cfRule>
  </conditionalFormatting>
  <conditionalFormatting sqref="U1:U1048576">
    <cfRule type="containsText" dxfId="473" priority="1" operator="containsText" text="Y">
      <formula>NOT(ISERROR(SEARCH("Y",U1)))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Relay!$A$2:$A$101</xm:f>
          </x14:formula1>
          <xm:sqref>A3:A103</xm:sqref>
        </x14:dataValidation>
        <x14:dataValidation type="list" allowBlank="1" showInputMessage="1" showErrorMessage="1">
          <x14:formula1>
            <xm:f>Relay!$D$11:$D$16</xm:f>
          </x14:formula1>
          <xm:sqref>E3:E103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103"/>
  <sheetViews>
    <sheetView workbookViewId="0">
      <selection activeCell="S3" sqref="S3"/>
    </sheetView>
  </sheetViews>
  <sheetFormatPr defaultRowHeight="15" x14ac:dyDescent="0.25"/>
  <cols>
    <col min="1" max="1" width="21.7109375" style="36" customWidth="1"/>
    <col min="2" max="2" width="9.140625" hidden="1" customWidth="1"/>
    <col min="3" max="3" width="12.85546875" bestFit="1" customWidth="1"/>
    <col min="4" max="4" width="10.7109375" style="40" bestFit="1" customWidth="1"/>
    <col min="5" max="5" width="12.85546875" style="36" bestFit="1" customWidth="1"/>
    <col min="6" max="6" width="12.85546875" style="36" customWidth="1"/>
    <col min="7" max="7" width="12.85546875" customWidth="1"/>
    <col min="8" max="8" width="10.7109375" customWidth="1"/>
    <col min="9" max="9" width="15.5703125" style="9" bestFit="1" customWidth="1"/>
    <col min="10" max="10" width="9.140625" style="36" customWidth="1"/>
    <col min="11" max="11" width="13.140625" style="36" bestFit="1" customWidth="1"/>
    <col min="12" max="12" width="15.5703125" style="36" bestFit="1" customWidth="1"/>
    <col min="13" max="13" width="14.140625" style="36" bestFit="1" customWidth="1"/>
    <col min="14" max="14" width="19.5703125" hidden="1" customWidth="1"/>
    <col min="15" max="16" width="17" customWidth="1"/>
    <col min="17" max="17" width="16.42578125" customWidth="1"/>
    <col min="19" max="19" width="15" style="9" bestFit="1" customWidth="1"/>
    <col min="20" max="20" width="16.28515625" style="9" bestFit="1" customWidth="1"/>
    <col min="21" max="21" width="9.140625" style="5"/>
    <col min="22" max="22" width="14.28515625" bestFit="1" customWidth="1"/>
    <col min="23" max="23" width="21.7109375" customWidth="1"/>
    <col min="27" max="27" width="12.85546875" bestFit="1" customWidth="1"/>
    <col min="28" max="28" width="9" style="9" bestFit="1" customWidth="1"/>
    <col min="29" max="29" width="8.42578125" bestFit="1" customWidth="1"/>
    <col min="30" max="30" width="10.42578125" style="9" bestFit="1" customWidth="1"/>
  </cols>
  <sheetData>
    <row r="1" spans="1:30" s="3" customFormat="1" x14ac:dyDescent="0.25">
      <c r="A1" s="33" t="s">
        <v>50</v>
      </c>
      <c r="D1" s="37"/>
      <c r="E1" s="41"/>
      <c r="F1" s="41"/>
      <c r="I1" s="6"/>
      <c r="J1" s="41"/>
      <c r="K1" s="41"/>
      <c r="L1" s="41"/>
      <c r="M1" s="41"/>
      <c r="Q1" s="2" t="s">
        <v>14</v>
      </c>
      <c r="S1" s="6"/>
      <c r="T1" s="6"/>
      <c r="U1" s="71"/>
      <c r="V1" s="2"/>
      <c r="AB1" s="6"/>
      <c r="AD1" s="6"/>
    </row>
    <row r="2" spans="1:30" x14ac:dyDescent="0.25">
      <c r="A2" s="34" t="s">
        <v>3</v>
      </c>
      <c r="B2" s="4" t="s">
        <v>2</v>
      </c>
      <c r="C2" s="4" t="s">
        <v>4</v>
      </c>
      <c r="D2" s="38" t="s">
        <v>1</v>
      </c>
      <c r="E2" s="34" t="s">
        <v>5</v>
      </c>
      <c r="F2" s="34" t="s">
        <v>6</v>
      </c>
      <c r="G2" s="4" t="s">
        <v>35</v>
      </c>
      <c r="H2" s="4" t="s">
        <v>7</v>
      </c>
      <c r="I2" s="7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11" t="s">
        <v>13</v>
      </c>
      <c r="O2" s="4" t="s">
        <v>70</v>
      </c>
      <c r="P2" s="4"/>
      <c r="Q2" s="5" t="s">
        <v>69</v>
      </c>
      <c r="R2" s="5" t="s">
        <v>2</v>
      </c>
      <c r="S2" s="8" t="s">
        <v>71</v>
      </c>
      <c r="T2" s="8" t="s">
        <v>16</v>
      </c>
      <c r="U2" s="5" t="s">
        <v>13</v>
      </c>
    </row>
    <row r="3" spans="1:30" x14ac:dyDescent="0.25">
      <c r="A3" s="35"/>
      <c r="B3" s="5" t="e">
        <f>VLOOKUP(A3,Relay!$A$1:$B$50,2,FALSE)</f>
        <v>#N/A</v>
      </c>
      <c r="C3" s="5" t="e">
        <f>VLOOKUP(A3,Relay!$A$2:$C$51,3,FALSE)</f>
        <v>#N/A</v>
      </c>
      <c r="D3" s="39"/>
      <c r="E3" s="35"/>
      <c r="F3" s="35" t="str">
        <f t="shared" ref="F3:F66" si="0">IF(E3="Moonlighting", 12, "INS")</f>
        <v>INS</v>
      </c>
      <c r="G3" s="5" t="e">
        <f>IF(OR(E3="Jeopardy",E3="APP Moonlighting",E3="Differential Pay"),"",Aug[[#This Row],[SysID]])</f>
        <v>#N/A</v>
      </c>
      <c r="H3" s="5" t="e">
        <f>IF(E3="Jeopardy",IF(C3="MD",Relay!$E$7,Relay!$E$8),IF(C3="MD",IF(COUNTIF(G:G,B3)&gt;1,Relay!$E$2,Relay!$E$1),IF(AND(COUNTIF(G:G,B3)&gt;1,COUNTA(A3)&gt;0),Relay!$E$5,Relay!$E$4)))</f>
        <v>#N/A</v>
      </c>
      <c r="I3" s="8">
        <f t="shared" ref="I3:I66" si="1">IF(COUNTA(A3)&gt;0,H3*F3,0)</f>
        <v>0</v>
      </c>
      <c r="J3" s="35"/>
      <c r="K3" s="35"/>
      <c r="L3" s="35"/>
      <c r="M3" s="35"/>
      <c r="N3" s="10" t="e">
        <f>IF(H3=Aug!$E$2,"N",IF(AND(COUNTIF(B:B,B3)=1,D3&gt;14),"Y","N"))</f>
        <v>#N/A</v>
      </c>
      <c r="O3" s="55" t="str">
        <f>IF(COUNT(Aug[[#This Row],[Date]])&gt;0,IF(Aug[[#This Row],[Date]]&gt;14,"Yes","No"),"N/A")</f>
        <v>N/A</v>
      </c>
      <c r="P3" s="55"/>
      <c r="Q3" s="5">
        <f>Relay!A2</f>
        <v>0</v>
      </c>
      <c r="R3" s="5">
        <f>Relay!B2</f>
        <v>1</v>
      </c>
      <c r="S3" s="8">
        <f>IF(Aug[After the 14th?]="No",SUMIF(Aug[SysID],R3,Aug[Pay Amount]),0)+IF(July[After the 14th?]="Yes",SUMIF(July[SysID],R3,July[Pay Amount]),0)</f>
        <v>0</v>
      </c>
      <c r="T3" s="8"/>
      <c r="U3" s="5" t="str">
        <f t="shared" ref="U3:U66" si="2">IF(S3=T3,"N","Y")</f>
        <v>N</v>
      </c>
      <c r="V3" s="57"/>
      <c r="W3" s="57"/>
      <c r="X3" s="56"/>
      <c r="Y3" s="56"/>
      <c r="Z3" s="56"/>
      <c r="AA3" s="56"/>
      <c r="AC3" s="56"/>
    </row>
    <row r="4" spans="1:30" x14ac:dyDescent="0.25">
      <c r="A4" s="35"/>
      <c r="B4" s="5" t="e">
        <f>VLOOKUP(A4,Relay!$A$1:$B$50,2,FALSE)</f>
        <v>#N/A</v>
      </c>
      <c r="C4" s="5" t="e">
        <f>VLOOKUP(A4,Relay!$A$2:$C$51,3,FALSE)</f>
        <v>#N/A</v>
      </c>
      <c r="D4" s="39"/>
      <c r="E4" s="35"/>
      <c r="F4" s="35" t="str">
        <f t="shared" si="0"/>
        <v>INS</v>
      </c>
      <c r="G4" s="5" t="e">
        <f>IF(OR(E4="Jeopardy",E4="APP Moonlighting",E4="Differential Pay"),"",Aug[[#This Row],[SysID]])</f>
        <v>#N/A</v>
      </c>
      <c r="H4" s="5" t="e">
        <f>IF(E4="Jeopardy",IF(C4="MD",Relay!$E$7,Relay!$E$8),IF(C4="MD",IF(COUNTIF(G:G,B4)&gt;1,Relay!$E$2,Relay!$E$1),IF(AND(COUNTIF(G:G,B4)&gt;1,COUNTA(A4)&gt;0),Relay!$E$5,Relay!$E$4)))</f>
        <v>#N/A</v>
      </c>
      <c r="I4" s="8">
        <f t="shared" si="1"/>
        <v>0</v>
      </c>
      <c r="J4" s="35"/>
      <c r="K4" s="35"/>
      <c r="L4" s="35"/>
      <c r="M4" s="35"/>
      <c r="N4" s="10" t="e">
        <f>IF(H4=Aug!$E$2,"N",IF(AND(COUNTIF(B:B,B4)=1,D4&gt;14),"Y","N"))</f>
        <v>#N/A</v>
      </c>
      <c r="O4" s="55" t="str">
        <f>IF(COUNT(Aug[[#This Row],[Date]])&gt;0,IF(Aug[[#This Row],[Date]]&gt;14,"Yes","No"),"N/A")</f>
        <v>N/A</v>
      </c>
      <c r="P4" s="55"/>
      <c r="Q4" s="5">
        <f>Relay!A3</f>
        <v>0</v>
      </c>
      <c r="R4" s="5">
        <f>Relay!B3</f>
        <v>2</v>
      </c>
      <c r="S4" s="8">
        <f>IF(Aug[After the 14th?]="No",SUMIF(Aug[SysID],R4,Aug[Pay Amount]),0)+IF(July[After the 14th?]="Yes",SUMIF(July[SysID],R4,July[Pay Amount]),0)</f>
        <v>0</v>
      </c>
      <c r="T4" s="8"/>
      <c r="U4" s="5" t="str">
        <f t="shared" si="2"/>
        <v>N</v>
      </c>
      <c r="X4" s="56"/>
      <c r="Y4" s="56"/>
      <c r="Z4" s="56"/>
      <c r="AA4" s="56"/>
      <c r="AC4" s="56"/>
    </row>
    <row r="5" spans="1:30" x14ac:dyDescent="0.25">
      <c r="A5" s="35"/>
      <c r="B5" s="5" t="e">
        <f>VLOOKUP(A5,Relay!$A$1:$B$50,2,FALSE)</f>
        <v>#N/A</v>
      </c>
      <c r="C5" s="5" t="e">
        <f>VLOOKUP(A5,Relay!$A$2:$C$51,3,FALSE)</f>
        <v>#N/A</v>
      </c>
      <c r="D5" s="39"/>
      <c r="E5" s="35"/>
      <c r="F5" s="35" t="str">
        <f t="shared" si="0"/>
        <v>INS</v>
      </c>
      <c r="G5" s="5" t="e">
        <f>IF(OR(E5="Jeopardy",E5="APP Moonlighting",E5="Differential Pay"),"",Aug[[#This Row],[SysID]])</f>
        <v>#N/A</v>
      </c>
      <c r="H5" s="5" t="e">
        <f>IF(E5="Jeopardy",IF(C5="MD",Relay!$E$7,Relay!$E$8),IF(C5="MD",IF(COUNTIF(G:G,B5)&gt;1,Relay!$E$2,Relay!$E$1),IF(AND(COUNTIF(G:G,B5)&gt;1,COUNTA(A5)&gt;0),Relay!$E$5,Relay!$E$4)))</f>
        <v>#N/A</v>
      </c>
      <c r="I5" s="8">
        <f t="shared" si="1"/>
        <v>0</v>
      </c>
      <c r="J5" s="35"/>
      <c r="K5" s="35"/>
      <c r="L5" s="35"/>
      <c r="M5" s="35"/>
      <c r="N5" s="10" t="e">
        <f>IF(H5=Aug!$E$2,"N",IF(AND(COUNTIF(B:B,B5)=1,D5&gt;14),"Y","N"))</f>
        <v>#N/A</v>
      </c>
      <c r="O5" s="55" t="str">
        <f>IF(COUNT(Aug[[#This Row],[Date]])&gt;0,IF(Aug[[#This Row],[Date]]&gt;14,"Yes","No"),"N/A")</f>
        <v>N/A</v>
      </c>
      <c r="P5" s="55"/>
      <c r="Q5" s="5">
        <f>Relay!A4</f>
        <v>0</v>
      </c>
      <c r="R5" s="5">
        <f>Relay!B4</f>
        <v>3</v>
      </c>
      <c r="S5" s="8">
        <f>IF(Aug[After the 14th?]="No",SUMIF(Aug[SysID],R5,Aug[Pay Amount]),0)+IF(July[After the 14th?]="Yes",SUMIF(July[SysID],R5,July[Pay Amount]),0)</f>
        <v>0</v>
      </c>
      <c r="T5" s="8"/>
      <c r="U5" s="5" t="str">
        <f t="shared" si="2"/>
        <v>N</v>
      </c>
      <c r="X5" s="56"/>
      <c r="Y5" s="56"/>
      <c r="Z5" s="56"/>
      <c r="AA5" s="56"/>
      <c r="AC5" s="56"/>
    </row>
    <row r="6" spans="1:30" x14ac:dyDescent="0.25">
      <c r="A6" s="35"/>
      <c r="B6" s="5" t="e">
        <f>VLOOKUP(A6,Relay!$A$1:$B$50,2,FALSE)</f>
        <v>#N/A</v>
      </c>
      <c r="C6" s="5" t="e">
        <f>VLOOKUP(A6,Relay!$A$2:$C$51,3,FALSE)</f>
        <v>#N/A</v>
      </c>
      <c r="D6" s="39"/>
      <c r="E6" s="35"/>
      <c r="F6" s="35" t="str">
        <f t="shared" si="0"/>
        <v>INS</v>
      </c>
      <c r="G6" s="5" t="e">
        <f>IF(OR(E6="Jeopardy",E6="APP Moonlighting",E6="Differential Pay"),"",Aug[[#This Row],[SysID]])</f>
        <v>#N/A</v>
      </c>
      <c r="H6" s="5" t="e">
        <f>IF(E6="Jeopardy",IF(C6="MD",Relay!$E$7,Relay!$E$8),IF(C6="MD",IF(COUNTIF(G:G,B6)&gt;1,Relay!$E$2,Relay!$E$1),IF(AND(COUNTIF(G:G,B6)&gt;1,COUNTA(A6)&gt;0),Relay!$E$5,Relay!$E$4)))</f>
        <v>#N/A</v>
      </c>
      <c r="I6" s="8">
        <f t="shared" si="1"/>
        <v>0</v>
      </c>
      <c r="J6" s="35"/>
      <c r="K6" s="35"/>
      <c r="L6" s="35"/>
      <c r="M6" s="35"/>
      <c r="N6" s="10" t="e">
        <f>IF(H6=Aug!$E$2,"N",IF(AND(COUNTIF(B:B,B6)=1,D6&gt;14),"Y","N"))</f>
        <v>#N/A</v>
      </c>
      <c r="O6" s="55" t="str">
        <f>IF(COUNT(Aug[[#This Row],[Date]])&gt;0,IF(Aug[[#This Row],[Date]]&gt;14,"Yes","No"),"N/A")</f>
        <v>N/A</v>
      </c>
      <c r="P6" s="55"/>
      <c r="Q6" s="5">
        <f>Relay!A5</f>
        <v>0</v>
      </c>
      <c r="R6" s="5">
        <f>Relay!B5</f>
        <v>4</v>
      </c>
      <c r="S6" s="8">
        <f>IF(Aug[After the 14th?]="No",SUMIF(Aug[SysID],R6,Aug[Pay Amount]),0)+IF(July[After the 14th?]="Yes",SUMIF(July[SysID],R6,July[Pay Amount]),0)</f>
        <v>0</v>
      </c>
      <c r="T6" s="8"/>
      <c r="U6" s="5" t="str">
        <f t="shared" si="2"/>
        <v>N</v>
      </c>
      <c r="X6" s="56"/>
      <c r="Y6" s="56"/>
      <c r="Z6" s="56"/>
      <c r="AA6" s="56"/>
      <c r="AC6" s="56"/>
    </row>
    <row r="7" spans="1:30" x14ac:dyDescent="0.25">
      <c r="A7" s="35"/>
      <c r="B7" s="5" t="e">
        <f>VLOOKUP(A7,Relay!$A$1:$B$50,2,FALSE)</f>
        <v>#N/A</v>
      </c>
      <c r="C7" s="5" t="e">
        <f>VLOOKUP(A7,Relay!$A$2:$C$51,3,FALSE)</f>
        <v>#N/A</v>
      </c>
      <c r="D7" s="39"/>
      <c r="E7" s="35"/>
      <c r="F7" s="35" t="str">
        <f t="shared" si="0"/>
        <v>INS</v>
      </c>
      <c r="G7" s="5" t="e">
        <f>IF(OR(E7="Jeopardy",E7="APP Moonlighting",E7="Differential Pay"),"",Aug[[#This Row],[SysID]])</f>
        <v>#N/A</v>
      </c>
      <c r="H7" s="5" t="e">
        <f>IF(E7="Jeopardy",IF(C7="MD",Relay!$E$7,Relay!$E$8),IF(C7="MD",IF(COUNTIF(G:G,B7)&gt;1,Relay!$E$2,Relay!$E$1),IF(AND(COUNTIF(G:G,B7)&gt;1,COUNTA(A7)&gt;0),Relay!$E$5,Relay!$E$4)))</f>
        <v>#N/A</v>
      </c>
      <c r="I7" s="8">
        <f t="shared" si="1"/>
        <v>0</v>
      </c>
      <c r="J7" s="35"/>
      <c r="K7" s="35"/>
      <c r="L7" s="35"/>
      <c r="M7" s="35"/>
      <c r="N7" s="10" t="e">
        <f>IF(H7=Aug!$E$2,"N",IF(AND(COUNTIF(B:B,B7)=1,D7&gt;14),"Y","N"))</f>
        <v>#N/A</v>
      </c>
      <c r="O7" s="55" t="str">
        <f>IF(COUNT(Aug[[#This Row],[Date]])&gt;0,IF(Aug[[#This Row],[Date]]&gt;14,"Yes","No"),"N/A")</f>
        <v>N/A</v>
      </c>
      <c r="P7" s="55"/>
      <c r="Q7" s="5">
        <f>Relay!A6</f>
        <v>0</v>
      </c>
      <c r="R7" s="5">
        <f>Relay!B6</f>
        <v>5</v>
      </c>
      <c r="S7" s="8">
        <f>IF(Aug[After the 14th?]="No",SUMIF(Aug[SysID],R7,Aug[Pay Amount]),0)+IF(July[After the 14th?]="Yes",SUMIF(July[SysID],R7,July[Pay Amount]),0)</f>
        <v>0</v>
      </c>
      <c r="T7" s="8"/>
      <c r="U7" s="5" t="str">
        <f t="shared" si="2"/>
        <v>N</v>
      </c>
      <c r="X7" s="56"/>
      <c r="Y7" s="56"/>
      <c r="Z7" s="56"/>
      <c r="AA7" s="56"/>
      <c r="AC7" s="56"/>
    </row>
    <row r="8" spans="1:30" x14ac:dyDescent="0.25">
      <c r="A8" s="35"/>
      <c r="B8" s="5" t="e">
        <f>VLOOKUP(A8,Relay!$A$1:$B$50,2,FALSE)</f>
        <v>#N/A</v>
      </c>
      <c r="C8" s="5" t="e">
        <f>VLOOKUP(A8,Relay!$A$2:$C$51,3,FALSE)</f>
        <v>#N/A</v>
      </c>
      <c r="D8" s="39"/>
      <c r="E8" s="35"/>
      <c r="F8" s="35" t="str">
        <f t="shared" si="0"/>
        <v>INS</v>
      </c>
      <c r="G8" s="5" t="e">
        <f>IF(OR(E8="Jeopardy",E8="APP Moonlighting",E8="Differential Pay"),"",Aug[[#This Row],[SysID]])</f>
        <v>#N/A</v>
      </c>
      <c r="H8" s="5" t="e">
        <f>IF(E8="Jeopardy",IF(C8="MD",Relay!$E$7,Relay!$E$8),IF(C8="MD",IF(COUNTIF(G:G,B8)&gt;1,Relay!$E$2,Relay!$E$1),IF(AND(COUNTIF(G:G,B8)&gt;1,COUNTA(A8)&gt;0),Relay!$E$5,Relay!$E$4)))</f>
        <v>#N/A</v>
      </c>
      <c r="I8" s="8">
        <f t="shared" si="1"/>
        <v>0</v>
      </c>
      <c r="J8" s="35"/>
      <c r="K8" s="35"/>
      <c r="L8" s="35"/>
      <c r="M8" s="35"/>
      <c r="N8" s="10" t="e">
        <f>IF(H8=Aug!$E$2,"N",IF(AND(COUNTIF(B:B,B8)=1,D8&gt;14),"Y","N"))</f>
        <v>#N/A</v>
      </c>
      <c r="O8" s="55" t="str">
        <f>IF(COUNT(Aug[[#This Row],[Date]])&gt;0,IF(Aug[[#This Row],[Date]]&gt;14,"Yes","No"),"N/A")</f>
        <v>N/A</v>
      </c>
      <c r="P8" s="55"/>
      <c r="Q8" s="5">
        <f>Relay!A7</f>
        <v>0</v>
      </c>
      <c r="R8" s="5">
        <f>Relay!B7</f>
        <v>6</v>
      </c>
      <c r="S8" s="8">
        <f>IF(Aug[After the 14th?]="No",SUMIF(Aug[SysID],R8,Aug[Pay Amount]),0)+IF(July[After the 14th?]="Yes",SUMIF(July[SysID],R8,July[Pay Amount]),0)</f>
        <v>0</v>
      </c>
      <c r="T8" s="8"/>
      <c r="U8" s="5" t="str">
        <f t="shared" si="2"/>
        <v>N</v>
      </c>
      <c r="X8" s="56"/>
      <c r="Y8" s="56"/>
      <c r="Z8" s="56"/>
      <c r="AA8" s="56"/>
      <c r="AC8" s="56"/>
    </row>
    <row r="9" spans="1:30" x14ac:dyDescent="0.25">
      <c r="A9" s="35"/>
      <c r="B9" s="5" t="e">
        <f>VLOOKUP(A9,Relay!$A$1:$B$50,2,FALSE)</f>
        <v>#N/A</v>
      </c>
      <c r="C9" s="5" t="e">
        <f>VLOOKUP(A9,Relay!$A$2:$C$51,3,FALSE)</f>
        <v>#N/A</v>
      </c>
      <c r="D9" s="39"/>
      <c r="E9" s="35"/>
      <c r="F9" s="35" t="str">
        <f t="shared" si="0"/>
        <v>INS</v>
      </c>
      <c r="G9" s="5" t="e">
        <f>IF(OR(E9="Jeopardy",E9="APP Moonlighting",E9="Differential Pay"),"",Aug[[#This Row],[SysID]])</f>
        <v>#N/A</v>
      </c>
      <c r="H9" s="5" t="e">
        <f>IF(E9="Jeopardy",IF(C9="MD",Relay!$E$7,Relay!$E$8),IF(C9="MD",IF(COUNTIF(G:G,B9)&gt;1,Relay!$E$2,Relay!$E$1),IF(AND(COUNTIF(G:G,B9)&gt;1,COUNTA(A9)&gt;0),Relay!$E$5,Relay!$E$4)))</f>
        <v>#N/A</v>
      </c>
      <c r="I9" s="8">
        <f t="shared" si="1"/>
        <v>0</v>
      </c>
      <c r="J9" s="35"/>
      <c r="K9" s="35"/>
      <c r="L9" s="35"/>
      <c r="M9" s="35"/>
      <c r="N9" s="10" t="e">
        <f>IF(H9=Aug!$E$2,"N",IF(AND(COUNTIF(B:B,B9)=1,D9&gt;14),"Y","N"))</f>
        <v>#N/A</v>
      </c>
      <c r="O9" s="55" t="str">
        <f>IF(COUNT(Aug[[#This Row],[Date]])&gt;0,IF(Aug[[#This Row],[Date]]&gt;14,"Yes","No"),"N/A")</f>
        <v>N/A</v>
      </c>
      <c r="P9" s="55"/>
      <c r="Q9" s="5">
        <f>Relay!A8</f>
        <v>0</v>
      </c>
      <c r="R9" s="5">
        <f>Relay!B8</f>
        <v>7</v>
      </c>
      <c r="S9" s="8">
        <f>IF(Aug[After the 14th?]="No",SUMIF(Aug[SysID],R9,Aug[Pay Amount]),0)+IF(July[After the 14th?]="Yes",SUMIF(July[SysID],R9,July[Pay Amount]),0)</f>
        <v>0</v>
      </c>
      <c r="T9" s="8"/>
      <c r="U9" s="5" t="str">
        <f t="shared" si="2"/>
        <v>N</v>
      </c>
      <c r="X9" s="56"/>
      <c r="Y9" s="56"/>
      <c r="Z9" s="56"/>
      <c r="AA9" s="56"/>
      <c r="AC9" s="56"/>
    </row>
    <row r="10" spans="1:30" x14ac:dyDescent="0.25">
      <c r="A10" s="35"/>
      <c r="B10" s="5" t="e">
        <f>VLOOKUP(A10,Relay!$A$1:$B$50,2,FALSE)</f>
        <v>#N/A</v>
      </c>
      <c r="C10" s="5" t="e">
        <f>VLOOKUP(A10,Relay!$A$2:$C$51,3,FALSE)</f>
        <v>#N/A</v>
      </c>
      <c r="D10" s="39"/>
      <c r="E10" s="35"/>
      <c r="F10" s="35" t="str">
        <f t="shared" si="0"/>
        <v>INS</v>
      </c>
      <c r="G10" s="5" t="e">
        <f>IF(OR(E10="Jeopardy",E10="APP Moonlighting",E10="Differential Pay"),"",Aug[[#This Row],[SysID]])</f>
        <v>#N/A</v>
      </c>
      <c r="H10" s="5" t="e">
        <f>IF(E10="Jeopardy",IF(C10="MD",Relay!$E$7,Relay!$E$8),IF(C10="MD",IF(COUNTIF(G:G,B10)&gt;1,Relay!$E$2,Relay!$E$1),IF(AND(COUNTIF(G:G,B10)&gt;1,COUNTA(A10)&gt;0),Relay!$E$5,Relay!$E$4)))</f>
        <v>#N/A</v>
      </c>
      <c r="I10" s="8">
        <f t="shared" si="1"/>
        <v>0</v>
      </c>
      <c r="J10" s="35"/>
      <c r="K10" s="35"/>
      <c r="L10" s="35"/>
      <c r="M10" s="35"/>
      <c r="N10" s="10" t="e">
        <f>IF(H10=Aug!$E$2,"N",IF(AND(COUNTIF(B:B,B10)=1,D10&gt;14),"Y","N"))</f>
        <v>#N/A</v>
      </c>
      <c r="O10" s="55" t="str">
        <f>IF(COUNT(Aug[[#This Row],[Date]])&gt;0,IF(Aug[[#This Row],[Date]]&gt;14,"Yes","No"),"N/A")</f>
        <v>N/A</v>
      </c>
      <c r="P10" s="55"/>
      <c r="Q10" s="5">
        <f>Relay!A9</f>
        <v>0</v>
      </c>
      <c r="R10" s="5">
        <f>Relay!B9</f>
        <v>8</v>
      </c>
      <c r="S10" s="8">
        <f>IF(Aug[After the 14th?]="No",SUMIF(Aug[SysID],R10,Aug[Pay Amount]),0)+IF(July[After the 14th?]="Yes",SUMIF(July[SysID],R10,July[Pay Amount]),0)</f>
        <v>0</v>
      </c>
      <c r="T10" s="8"/>
      <c r="U10" s="5" t="str">
        <f t="shared" si="2"/>
        <v>N</v>
      </c>
      <c r="X10" s="56"/>
      <c r="Y10" s="56"/>
      <c r="Z10" s="56"/>
      <c r="AA10" s="56"/>
      <c r="AC10" s="56"/>
    </row>
    <row r="11" spans="1:30" x14ac:dyDescent="0.25">
      <c r="A11" s="35"/>
      <c r="B11" s="5" t="e">
        <f>VLOOKUP(A11,Relay!$A$1:$B$50,2,FALSE)</f>
        <v>#N/A</v>
      </c>
      <c r="C11" s="5" t="e">
        <f>VLOOKUP(A11,Relay!$A$2:$C$51,3,FALSE)</f>
        <v>#N/A</v>
      </c>
      <c r="D11" s="39"/>
      <c r="E11" s="35"/>
      <c r="F11" s="35" t="str">
        <f t="shared" si="0"/>
        <v>INS</v>
      </c>
      <c r="G11" s="5" t="e">
        <f>IF(OR(E11="Jeopardy",E11="APP Moonlighting",E11="Differential Pay"),"",Aug[[#This Row],[SysID]])</f>
        <v>#N/A</v>
      </c>
      <c r="H11" s="5" t="e">
        <f>IF(E11="Jeopardy",IF(C11="MD",Relay!$E$7,Relay!$E$8),IF(C11="MD",IF(COUNTIF(G:G,B11)&gt;1,Relay!$E$2,Relay!$E$1),IF(AND(COUNTIF(G:G,B11)&gt;1,COUNTA(A11)&gt;0),Relay!$E$5,Relay!$E$4)))</f>
        <v>#N/A</v>
      </c>
      <c r="I11" s="8">
        <f t="shared" si="1"/>
        <v>0</v>
      </c>
      <c r="J11" s="35"/>
      <c r="K11" s="35"/>
      <c r="L11" s="35"/>
      <c r="M11" s="35"/>
      <c r="N11" s="10" t="e">
        <f>IF(H11=Aug!$E$2,"N",IF(AND(COUNTIF(B:B,B11)=1,D11&gt;14),"Y","N"))</f>
        <v>#N/A</v>
      </c>
      <c r="O11" s="55" t="str">
        <f>IF(COUNT(Aug[[#This Row],[Date]])&gt;0,IF(Aug[[#This Row],[Date]]&gt;14,"Yes","No"),"N/A")</f>
        <v>N/A</v>
      </c>
      <c r="P11" s="55"/>
      <c r="Q11" s="5">
        <f>Relay!A10</f>
        <v>0</v>
      </c>
      <c r="R11" s="5">
        <f>Relay!B10</f>
        <v>9</v>
      </c>
      <c r="S11" s="8">
        <f>IF(Aug[After the 14th?]="No",SUMIF(Aug[SysID],R11,Aug[Pay Amount]),0)+IF(July[After the 14th?]="Yes",SUMIF(July[SysID],R11,July[Pay Amount]),0)</f>
        <v>0</v>
      </c>
      <c r="T11" s="8"/>
      <c r="U11" s="5" t="str">
        <f t="shared" si="2"/>
        <v>N</v>
      </c>
      <c r="X11" s="56"/>
      <c r="Y11" s="56"/>
      <c r="Z11" s="56"/>
      <c r="AA11" s="56"/>
      <c r="AC11" s="56"/>
    </row>
    <row r="12" spans="1:30" x14ac:dyDescent="0.25">
      <c r="A12" s="35"/>
      <c r="B12" s="5" t="e">
        <f>VLOOKUP(A12,Relay!$A$1:$B$50,2,FALSE)</f>
        <v>#N/A</v>
      </c>
      <c r="C12" s="5" t="e">
        <f>VLOOKUP(A12,Relay!$A$2:$C$51,3,FALSE)</f>
        <v>#N/A</v>
      </c>
      <c r="D12" s="39"/>
      <c r="E12" s="35"/>
      <c r="F12" s="35" t="str">
        <f t="shared" si="0"/>
        <v>INS</v>
      </c>
      <c r="G12" s="5" t="e">
        <f>IF(OR(E12="Jeopardy",E12="APP Moonlighting",E12="Differential Pay"),"",Aug[[#This Row],[SysID]])</f>
        <v>#N/A</v>
      </c>
      <c r="H12" s="5" t="e">
        <f>IF(E12="Jeopardy",IF(C12="MD",Relay!$E$7,Relay!$E$8),IF(C12="MD",IF(COUNTIF(G:G,B12)&gt;1,Relay!$E$2,Relay!$E$1),IF(AND(COUNTIF(G:G,B12)&gt;1,COUNTA(A12)&gt;0),Relay!$E$5,Relay!$E$4)))</f>
        <v>#N/A</v>
      </c>
      <c r="I12" s="8">
        <f t="shared" si="1"/>
        <v>0</v>
      </c>
      <c r="J12" s="35"/>
      <c r="K12" s="35"/>
      <c r="L12" s="35"/>
      <c r="M12" s="35"/>
      <c r="N12" s="10" t="e">
        <f>IF(H12=Aug!$E$2,"N",IF(AND(COUNTIF(B:B,B12)=1,D12&gt;14),"Y","N"))</f>
        <v>#N/A</v>
      </c>
      <c r="O12" s="55" t="str">
        <f>IF(COUNT(Aug[[#This Row],[Date]])&gt;0,IF(Aug[[#This Row],[Date]]&gt;14,"Yes","No"),"N/A")</f>
        <v>N/A</v>
      </c>
      <c r="P12" s="55"/>
      <c r="Q12" s="5">
        <f>Relay!A11</f>
        <v>0</v>
      </c>
      <c r="R12" s="5">
        <f>Relay!B11</f>
        <v>10</v>
      </c>
      <c r="S12" s="8">
        <f>IF(Aug[After the 14th?]="No",SUMIF(Aug[SysID],R12,Aug[Pay Amount]),0)+IF(July[After the 14th?]="Yes",SUMIF(July[SysID],R12,July[Pay Amount]),0)</f>
        <v>0</v>
      </c>
      <c r="T12" s="8"/>
      <c r="U12" s="5" t="str">
        <f t="shared" si="2"/>
        <v>N</v>
      </c>
      <c r="X12" s="56"/>
      <c r="Y12" s="56"/>
      <c r="Z12" s="56"/>
      <c r="AA12" s="56"/>
      <c r="AC12" s="56"/>
    </row>
    <row r="13" spans="1:30" x14ac:dyDescent="0.25">
      <c r="A13" s="35"/>
      <c r="B13" s="5" t="e">
        <f>VLOOKUP(A13,Relay!$A$1:$B$50,2,FALSE)</f>
        <v>#N/A</v>
      </c>
      <c r="C13" s="5" t="e">
        <f>VLOOKUP(A13,Relay!$A$2:$C$51,3,FALSE)</f>
        <v>#N/A</v>
      </c>
      <c r="D13" s="39"/>
      <c r="E13" s="35"/>
      <c r="F13" s="35" t="str">
        <f t="shared" si="0"/>
        <v>INS</v>
      </c>
      <c r="G13" s="5" t="e">
        <f>IF(OR(E13="Jeopardy",E13="APP Moonlighting",E13="Differential Pay"),"",Aug[[#This Row],[SysID]])</f>
        <v>#N/A</v>
      </c>
      <c r="H13" s="5" t="e">
        <f>IF(E13="Jeopardy",IF(C13="MD",Relay!$E$7,Relay!$E$8),IF(C13="MD",IF(COUNTIF(G:G,B13)&gt;1,Relay!$E$2,Relay!$E$1),IF(AND(COUNTIF(G:G,B13)&gt;1,COUNTA(A13)&gt;0),Relay!$E$5,Relay!$E$4)))</f>
        <v>#N/A</v>
      </c>
      <c r="I13" s="8">
        <f t="shared" si="1"/>
        <v>0</v>
      </c>
      <c r="J13" s="35"/>
      <c r="K13" s="35"/>
      <c r="L13" s="35"/>
      <c r="M13" s="35"/>
      <c r="N13" s="10" t="e">
        <f>IF(H13=Aug!$E$2,"N",IF(AND(COUNTIF(B:B,B13)=1,D13&gt;14),"Y","N"))</f>
        <v>#N/A</v>
      </c>
      <c r="O13" s="55" t="str">
        <f>IF(COUNT(Aug[[#This Row],[Date]])&gt;0,IF(Aug[[#This Row],[Date]]&gt;14,"Yes","No"),"N/A")</f>
        <v>N/A</v>
      </c>
      <c r="P13" s="55"/>
      <c r="Q13" s="5">
        <f>Relay!A12</f>
        <v>0</v>
      </c>
      <c r="R13" s="5">
        <f>Relay!B12</f>
        <v>11</v>
      </c>
      <c r="S13" s="8">
        <f>IF(Aug[After the 14th?]="No",SUMIF(Aug[SysID],R13,Aug[Pay Amount]),0)+IF(July[After the 14th?]="Yes",SUMIF(July[SysID],R13,July[Pay Amount]),0)</f>
        <v>0</v>
      </c>
      <c r="T13" s="8"/>
      <c r="U13" s="5" t="str">
        <f t="shared" si="2"/>
        <v>N</v>
      </c>
      <c r="X13" s="56"/>
      <c r="Y13" s="56"/>
      <c r="Z13" s="56"/>
      <c r="AA13" s="56"/>
      <c r="AC13" s="56"/>
    </row>
    <row r="14" spans="1:30" x14ac:dyDescent="0.25">
      <c r="A14" s="35"/>
      <c r="B14" s="5" t="e">
        <f>VLOOKUP(A14,Relay!$A$1:$B$50,2,FALSE)</f>
        <v>#N/A</v>
      </c>
      <c r="C14" s="5" t="e">
        <f>VLOOKUP(A14,Relay!$A$2:$C$51,3,FALSE)</f>
        <v>#N/A</v>
      </c>
      <c r="D14" s="39"/>
      <c r="E14" s="35"/>
      <c r="F14" s="35" t="str">
        <f t="shared" si="0"/>
        <v>INS</v>
      </c>
      <c r="G14" s="5" t="e">
        <f>IF(OR(E14="Jeopardy",E14="APP Moonlighting",E14="Differential Pay"),"",Aug[[#This Row],[SysID]])</f>
        <v>#N/A</v>
      </c>
      <c r="H14" s="5" t="e">
        <f>IF(E14="Jeopardy",IF(C14="MD",Relay!$E$7,Relay!$E$8),IF(C14="MD",IF(COUNTIF(G:G,B14)&gt;1,Relay!$E$2,Relay!$E$1),IF(AND(COUNTIF(G:G,B14)&gt;1,COUNTA(A14)&gt;0),Relay!$E$5,Relay!$E$4)))</f>
        <v>#N/A</v>
      </c>
      <c r="I14" s="8">
        <f t="shared" si="1"/>
        <v>0</v>
      </c>
      <c r="J14" s="35"/>
      <c r="K14" s="35"/>
      <c r="L14" s="35"/>
      <c r="M14" s="35"/>
      <c r="N14" s="10" t="e">
        <f>IF(H14=Aug!$E$2,"N",IF(AND(COUNTIF(B:B,B14)=1,D14&gt;14),"Y","N"))</f>
        <v>#N/A</v>
      </c>
      <c r="O14" s="55" t="str">
        <f>IF(COUNT(Aug[[#This Row],[Date]])&gt;0,IF(Aug[[#This Row],[Date]]&gt;14,"Yes","No"),"N/A")</f>
        <v>N/A</v>
      </c>
      <c r="P14" s="55"/>
      <c r="Q14" s="5">
        <f>Relay!A13</f>
        <v>0</v>
      </c>
      <c r="R14" s="5">
        <f>Relay!B13</f>
        <v>12</v>
      </c>
      <c r="S14" s="8">
        <f>IF(Aug[After the 14th?]="No",SUMIF(Aug[SysID],R14,Aug[Pay Amount]),0)+IF(July[After the 14th?]="Yes",SUMIF(July[SysID],R14,July[Pay Amount]),0)</f>
        <v>0</v>
      </c>
      <c r="T14" s="8"/>
      <c r="U14" s="5" t="str">
        <f t="shared" si="2"/>
        <v>N</v>
      </c>
      <c r="X14" s="56"/>
      <c r="Y14" s="56"/>
      <c r="Z14" s="56"/>
      <c r="AA14" s="56"/>
      <c r="AC14" s="56"/>
    </row>
    <row r="15" spans="1:30" x14ac:dyDescent="0.25">
      <c r="A15" s="35"/>
      <c r="B15" s="5" t="e">
        <f>VLOOKUP(A15,Relay!$A$1:$B$50,2,FALSE)</f>
        <v>#N/A</v>
      </c>
      <c r="C15" s="5" t="e">
        <f>VLOOKUP(A15,Relay!$A$2:$C$51,3,FALSE)</f>
        <v>#N/A</v>
      </c>
      <c r="D15" s="39"/>
      <c r="E15" s="35"/>
      <c r="F15" s="35" t="str">
        <f t="shared" si="0"/>
        <v>INS</v>
      </c>
      <c r="G15" s="5" t="e">
        <f>IF(OR(E15="Jeopardy",E15="APP Moonlighting",E15="Differential Pay"),"",Aug[[#This Row],[SysID]])</f>
        <v>#N/A</v>
      </c>
      <c r="H15" s="5" t="e">
        <f>IF(E15="Jeopardy",IF(C15="MD",Relay!$E$7,Relay!$E$8),IF(C15="MD",IF(COUNTIF(G:G,B15)&gt;1,Relay!$E$2,Relay!$E$1),IF(AND(COUNTIF(G:G,B15)&gt;1,COUNTA(A15)&gt;0),Relay!$E$5,Relay!$E$4)))</f>
        <v>#N/A</v>
      </c>
      <c r="I15" s="8">
        <f t="shared" si="1"/>
        <v>0</v>
      </c>
      <c r="J15" s="35"/>
      <c r="K15" s="35"/>
      <c r="L15" s="35"/>
      <c r="M15" s="35"/>
      <c r="N15" s="10" t="e">
        <f>IF(H15=Aug!$E$2,"N",IF(AND(COUNTIF(B:B,B15)=1,D15&gt;14),"Y","N"))</f>
        <v>#N/A</v>
      </c>
      <c r="O15" s="55" t="str">
        <f>IF(COUNT(Aug[[#This Row],[Date]])&gt;0,IF(Aug[[#This Row],[Date]]&gt;14,"Yes","No"),"N/A")</f>
        <v>N/A</v>
      </c>
      <c r="P15" s="55"/>
      <c r="Q15" s="5">
        <f>Relay!A14</f>
        <v>0</v>
      </c>
      <c r="R15" s="5">
        <f>Relay!B14</f>
        <v>13</v>
      </c>
      <c r="S15" s="8">
        <f>IF(Aug[After the 14th?]="No",SUMIF(Aug[SysID],R15,Aug[Pay Amount]),0)+IF(July[After the 14th?]="Yes",SUMIF(July[SysID],R15,July[Pay Amount]),0)</f>
        <v>0</v>
      </c>
      <c r="T15" s="8"/>
      <c r="U15" s="5" t="str">
        <f t="shared" si="2"/>
        <v>N</v>
      </c>
      <c r="X15" s="56"/>
      <c r="Y15" s="56"/>
      <c r="Z15" s="56"/>
      <c r="AA15" s="56"/>
      <c r="AC15" s="56"/>
    </row>
    <row r="16" spans="1:30" x14ac:dyDescent="0.25">
      <c r="A16" s="35"/>
      <c r="B16" s="5" t="e">
        <f>VLOOKUP(A16,Relay!$A$1:$B$50,2,FALSE)</f>
        <v>#N/A</v>
      </c>
      <c r="C16" s="5" t="e">
        <f>VLOOKUP(A16,Relay!$A$2:$C$51,3,FALSE)</f>
        <v>#N/A</v>
      </c>
      <c r="D16" s="39"/>
      <c r="E16" s="35"/>
      <c r="F16" s="35" t="str">
        <f t="shared" si="0"/>
        <v>INS</v>
      </c>
      <c r="G16" s="5" t="e">
        <f>IF(OR(E16="Jeopardy",E16="APP Moonlighting",E16="Differential Pay"),"",Aug[[#This Row],[SysID]])</f>
        <v>#N/A</v>
      </c>
      <c r="H16" s="5" t="e">
        <f>IF(E16="Jeopardy",IF(C16="MD",Relay!$E$7,Relay!$E$8),IF(C16="MD",IF(COUNTIF(G:G,B16)&gt;1,Relay!$E$2,Relay!$E$1),IF(AND(COUNTIF(G:G,B16)&gt;1,COUNTA(A16)&gt;0),Relay!$E$5,Relay!$E$4)))</f>
        <v>#N/A</v>
      </c>
      <c r="I16" s="8">
        <f t="shared" si="1"/>
        <v>0</v>
      </c>
      <c r="J16" s="35"/>
      <c r="K16" s="35"/>
      <c r="L16" s="35"/>
      <c r="M16" s="35"/>
      <c r="N16" s="10" t="e">
        <f>IF(H16=Aug!$E$2,"N",IF(AND(COUNTIF(B:B,B16)=1,D16&gt;14),"Y","N"))</f>
        <v>#N/A</v>
      </c>
      <c r="O16" s="55" t="str">
        <f>IF(COUNT(Aug[[#This Row],[Date]])&gt;0,IF(Aug[[#This Row],[Date]]&gt;14,"Yes","No"),"N/A")</f>
        <v>N/A</v>
      </c>
      <c r="P16" s="55"/>
      <c r="Q16" s="5">
        <f>Relay!A15</f>
        <v>0</v>
      </c>
      <c r="R16" s="5">
        <f>Relay!B15</f>
        <v>14</v>
      </c>
      <c r="S16" s="8">
        <f>IF(Aug[After the 14th?]="No",SUMIF(Aug[SysID],R16,Aug[Pay Amount]),0)+IF(July[After the 14th?]="Yes",SUMIF(July[SysID],R16,July[Pay Amount]),0)</f>
        <v>0</v>
      </c>
      <c r="T16" s="8"/>
      <c r="U16" s="5" t="str">
        <f t="shared" si="2"/>
        <v>N</v>
      </c>
      <c r="X16" s="56"/>
      <c r="Y16" s="56"/>
      <c r="Z16" s="56"/>
      <c r="AA16" s="56"/>
      <c r="AC16" s="56"/>
    </row>
    <row r="17" spans="1:29" x14ac:dyDescent="0.25">
      <c r="A17" s="35"/>
      <c r="B17" s="5" t="e">
        <f>VLOOKUP(A17,Relay!$A$1:$B$50,2,FALSE)</f>
        <v>#N/A</v>
      </c>
      <c r="C17" s="5" t="e">
        <f>VLOOKUP(A17,Relay!$A$2:$C$51,3,FALSE)</f>
        <v>#N/A</v>
      </c>
      <c r="D17" s="39"/>
      <c r="E17" s="35"/>
      <c r="F17" s="35" t="str">
        <f t="shared" si="0"/>
        <v>INS</v>
      </c>
      <c r="G17" s="5" t="e">
        <f>IF(OR(E17="Jeopardy",E17="APP Moonlighting",E17="Differential Pay"),"",Aug[[#This Row],[SysID]])</f>
        <v>#N/A</v>
      </c>
      <c r="H17" s="5" t="e">
        <f>IF(E17="Jeopardy",IF(C17="MD",Relay!$E$7,Relay!$E$8),IF(C17="MD",IF(COUNTIF(G:G,B17)&gt;1,Relay!$E$2,Relay!$E$1),IF(AND(COUNTIF(G:G,B17)&gt;1,COUNTA(A17)&gt;0),Relay!$E$5,Relay!$E$4)))</f>
        <v>#N/A</v>
      </c>
      <c r="I17" s="8">
        <f t="shared" si="1"/>
        <v>0</v>
      </c>
      <c r="J17" s="35"/>
      <c r="K17" s="35"/>
      <c r="L17" s="35"/>
      <c r="M17" s="35"/>
      <c r="N17" s="10" t="e">
        <f>IF(H17=Aug!$E$2,"N",IF(AND(COUNTIF(B:B,B17)=1,D17&gt;14),"Y","N"))</f>
        <v>#N/A</v>
      </c>
      <c r="O17" s="55" t="str">
        <f>IF(COUNT(Aug[[#This Row],[Date]])&gt;0,IF(Aug[[#This Row],[Date]]&gt;14,"Yes","No"),"N/A")</f>
        <v>N/A</v>
      </c>
      <c r="P17" s="55"/>
      <c r="Q17" s="5">
        <f>Relay!A16</f>
        <v>0</v>
      </c>
      <c r="R17" s="5">
        <f>Relay!B16</f>
        <v>15</v>
      </c>
      <c r="S17" s="8">
        <f>IF(Aug[After the 14th?]="No",SUMIF(Aug[SysID],R17,Aug[Pay Amount]),0)+IF(July[After the 14th?]="Yes",SUMIF(July[SysID],R17,July[Pay Amount]),0)</f>
        <v>0</v>
      </c>
      <c r="T17" s="8"/>
      <c r="U17" s="5" t="str">
        <f t="shared" si="2"/>
        <v>N</v>
      </c>
      <c r="X17" s="56"/>
      <c r="Y17" s="56"/>
      <c r="Z17" s="56"/>
      <c r="AA17" s="56"/>
      <c r="AC17" s="56"/>
    </row>
    <row r="18" spans="1:29" x14ac:dyDescent="0.25">
      <c r="A18" s="35"/>
      <c r="B18" s="5" t="e">
        <f>VLOOKUP(A18,Relay!$A$1:$B$50,2,FALSE)</f>
        <v>#N/A</v>
      </c>
      <c r="C18" s="5" t="e">
        <f>VLOOKUP(A18,Relay!$A$2:$C$51,3,FALSE)</f>
        <v>#N/A</v>
      </c>
      <c r="D18" s="39"/>
      <c r="E18" s="35"/>
      <c r="F18" s="35" t="str">
        <f t="shared" si="0"/>
        <v>INS</v>
      </c>
      <c r="G18" s="5" t="e">
        <f>IF(OR(E18="Jeopardy",E18="APP Moonlighting",E18="Differential Pay"),"",Aug[[#This Row],[SysID]])</f>
        <v>#N/A</v>
      </c>
      <c r="H18" s="5" t="e">
        <f>IF(E18="Jeopardy",IF(C18="MD",Relay!$E$7,Relay!$E$8),IF(C18="MD",IF(COUNTIF(G:G,B18)&gt;1,Relay!$E$2,Relay!$E$1),IF(AND(COUNTIF(G:G,B18)&gt;1,COUNTA(A18)&gt;0),Relay!$E$5,Relay!$E$4)))</f>
        <v>#N/A</v>
      </c>
      <c r="I18" s="8">
        <f t="shared" si="1"/>
        <v>0</v>
      </c>
      <c r="J18" s="35"/>
      <c r="K18" s="35"/>
      <c r="L18" s="35"/>
      <c r="M18" s="35"/>
      <c r="N18" s="10" t="e">
        <f>IF(H18=Aug!$E$2,"N",IF(AND(COUNTIF(B:B,B18)=1,D18&gt;14),"Y","N"))</f>
        <v>#N/A</v>
      </c>
      <c r="O18" s="55" t="str">
        <f>IF(COUNT(Aug[[#This Row],[Date]])&gt;0,IF(Aug[[#This Row],[Date]]&gt;14,"Yes","No"),"N/A")</f>
        <v>N/A</v>
      </c>
      <c r="P18" s="55"/>
      <c r="Q18" s="5">
        <f>Relay!A17</f>
        <v>0</v>
      </c>
      <c r="R18" s="5">
        <f>Relay!B17</f>
        <v>16</v>
      </c>
      <c r="S18" s="8">
        <f>IF(Aug[After the 14th?]="No",SUMIF(Aug[SysID],R18,Aug[Pay Amount]),0)+IF(July[After the 14th?]="Yes",SUMIF(July[SysID],R18,July[Pay Amount]),0)</f>
        <v>0</v>
      </c>
      <c r="T18" s="8"/>
      <c r="U18" s="5" t="str">
        <f t="shared" si="2"/>
        <v>N</v>
      </c>
      <c r="X18" s="56"/>
      <c r="Y18" s="56"/>
      <c r="Z18" s="56"/>
      <c r="AA18" s="56"/>
      <c r="AC18" s="56"/>
    </row>
    <row r="19" spans="1:29" x14ac:dyDescent="0.25">
      <c r="A19" s="35"/>
      <c r="B19" s="5" t="e">
        <f>VLOOKUP(A19,Relay!$A$1:$B$50,2,FALSE)</f>
        <v>#N/A</v>
      </c>
      <c r="C19" s="5" t="e">
        <f>VLOOKUP(A19,Relay!$A$2:$C$51,3,FALSE)</f>
        <v>#N/A</v>
      </c>
      <c r="D19" s="39"/>
      <c r="E19" s="35"/>
      <c r="F19" s="35" t="str">
        <f t="shared" si="0"/>
        <v>INS</v>
      </c>
      <c r="G19" s="5" t="e">
        <f>IF(OR(E19="Jeopardy",E19="APP Moonlighting",E19="Differential Pay"),"",Aug[[#This Row],[SysID]])</f>
        <v>#N/A</v>
      </c>
      <c r="H19" s="5" t="e">
        <f>IF(E19="Jeopardy",IF(C19="MD",Relay!$E$7,Relay!$E$8),IF(C19="MD",IF(COUNTIF(G:G,B19)&gt;1,Relay!$E$2,Relay!$E$1),IF(AND(COUNTIF(G:G,B19)&gt;1,COUNTA(A19)&gt;0),Relay!$E$5,Relay!$E$4)))</f>
        <v>#N/A</v>
      </c>
      <c r="I19" s="8">
        <f t="shared" si="1"/>
        <v>0</v>
      </c>
      <c r="J19" s="35"/>
      <c r="K19" s="35"/>
      <c r="L19" s="35"/>
      <c r="M19" s="35"/>
      <c r="N19" s="10" t="e">
        <f>IF(H19=Aug!$E$2,"N",IF(AND(COUNTIF(B:B,B19)=1,D19&gt;14),"Y","N"))</f>
        <v>#N/A</v>
      </c>
      <c r="O19" s="55" t="str">
        <f>IF(COUNT(Aug[[#This Row],[Date]])&gt;0,IF(Aug[[#This Row],[Date]]&gt;14,"Yes","No"),"N/A")</f>
        <v>N/A</v>
      </c>
      <c r="P19" s="55"/>
      <c r="Q19" s="5">
        <f>Relay!A18</f>
        <v>0</v>
      </c>
      <c r="R19" s="5">
        <f>Relay!B18</f>
        <v>17</v>
      </c>
      <c r="S19" s="8">
        <f>IF(Aug[After the 14th?]="No",SUMIF(Aug[SysID],R19,Aug[Pay Amount]),0)+IF(July[After the 14th?]="Yes",SUMIF(July[SysID],R19,July[Pay Amount]),0)</f>
        <v>0</v>
      </c>
      <c r="T19" s="8"/>
      <c r="U19" s="5" t="str">
        <f t="shared" si="2"/>
        <v>N</v>
      </c>
      <c r="X19" s="56"/>
      <c r="Y19" s="56"/>
      <c r="Z19" s="56"/>
      <c r="AA19" s="56"/>
      <c r="AC19" s="56"/>
    </row>
    <row r="20" spans="1:29" x14ac:dyDescent="0.25">
      <c r="A20" s="35"/>
      <c r="B20" s="5" t="e">
        <f>VLOOKUP(A20,Relay!$A$1:$B$50,2,FALSE)</f>
        <v>#N/A</v>
      </c>
      <c r="C20" s="5" t="e">
        <f>VLOOKUP(A20,Relay!$A$2:$C$51,3,FALSE)</f>
        <v>#N/A</v>
      </c>
      <c r="D20" s="39"/>
      <c r="E20" s="35"/>
      <c r="F20" s="35" t="str">
        <f t="shared" si="0"/>
        <v>INS</v>
      </c>
      <c r="G20" s="5" t="e">
        <f>IF(OR(E20="Jeopardy",E20="APP Moonlighting",E20="Differential Pay"),"",Aug[[#This Row],[SysID]])</f>
        <v>#N/A</v>
      </c>
      <c r="H20" s="5" t="e">
        <f>IF(E20="Jeopardy",IF(C20="MD",Relay!$E$7,Relay!$E$8),IF(C20="MD",IF(COUNTIF(G:G,B20)&gt;1,Relay!$E$2,Relay!$E$1),IF(AND(COUNTIF(G:G,B20)&gt;1,COUNTA(A20)&gt;0),Relay!$E$5,Relay!$E$4)))</f>
        <v>#N/A</v>
      </c>
      <c r="I20" s="8">
        <f t="shared" si="1"/>
        <v>0</v>
      </c>
      <c r="J20" s="35"/>
      <c r="K20" s="35"/>
      <c r="L20" s="35"/>
      <c r="M20" s="35"/>
      <c r="N20" s="10" t="e">
        <f>IF(H20=Aug!$E$2,"N",IF(AND(COUNTIF(B:B,B20)=1,D20&gt;14),"Y","N"))</f>
        <v>#N/A</v>
      </c>
      <c r="O20" s="55" t="str">
        <f>IF(COUNT(Aug[[#This Row],[Date]])&gt;0,IF(Aug[[#This Row],[Date]]&gt;14,"Yes","No"),"N/A")</f>
        <v>N/A</v>
      </c>
      <c r="P20" s="55"/>
      <c r="Q20" s="5">
        <f>Relay!A19</f>
        <v>0</v>
      </c>
      <c r="R20" s="5">
        <f>Relay!B19</f>
        <v>18</v>
      </c>
      <c r="S20" s="8">
        <f>IF(Aug[After the 14th?]="No",SUMIF(Aug[SysID],R20,Aug[Pay Amount]),0)+IF(July[After the 14th?]="Yes",SUMIF(July[SysID],R20,July[Pay Amount]),0)</f>
        <v>0</v>
      </c>
      <c r="T20" s="8"/>
      <c r="U20" s="5" t="str">
        <f t="shared" si="2"/>
        <v>N</v>
      </c>
      <c r="X20" s="56"/>
      <c r="Y20" s="56"/>
      <c r="Z20" s="56"/>
      <c r="AA20" s="56"/>
      <c r="AC20" s="56"/>
    </row>
    <row r="21" spans="1:29" x14ac:dyDescent="0.25">
      <c r="A21" s="35"/>
      <c r="B21" s="5" t="e">
        <f>VLOOKUP(A21,Relay!$A$1:$B$50,2,FALSE)</f>
        <v>#N/A</v>
      </c>
      <c r="C21" s="5" t="e">
        <f>VLOOKUP(A21,Relay!$A$2:$C$51,3,FALSE)</f>
        <v>#N/A</v>
      </c>
      <c r="D21" s="39"/>
      <c r="E21" s="35"/>
      <c r="F21" s="35" t="str">
        <f t="shared" si="0"/>
        <v>INS</v>
      </c>
      <c r="G21" s="5" t="e">
        <f>IF(OR(E21="Jeopardy",E21="APP Moonlighting",E21="Differential Pay"),"",Aug[[#This Row],[SysID]])</f>
        <v>#N/A</v>
      </c>
      <c r="H21" s="5" t="e">
        <f>IF(E21="Jeopardy",IF(C21="MD",Relay!$E$7,Relay!$E$8),IF(C21="MD",IF(COUNTIF(G:G,B21)&gt;1,Relay!$E$2,Relay!$E$1),IF(AND(COUNTIF(G:G,B21)&gt;1,COUNTA(A21)&gt;0),Relay!$E$5,Relay!$E$4)))</f>
        <v>#N/A</v>
      </c>
      <c r="I21" s="8">
        <f t="shared" si="1"/>
        <v>0</v>
      </c>
      <c r="J21" s="35"/>
      <c r="K21" s="35"/>
      <c r="L21" s="35"/>
      <c r="M21" s="35"/>
      <c r="N21" s="10" t="e">
        <f>IF(H21=Aug!$E$2,"N",IF(AND(COUNTIF(B:B,B21)=1,D21&gt;14),"Y","N"))</f>
        <v>#N/A</v>
      </c>
      <c r="O21" s="55" t="str">
        <f>IF(COUNT(Aug[[#This Row],[Date]])&gt;0,IF(Aug[[#This Row],[Date]]&gt;14,"Yes","No"),"N/A")</f>
        <v>N/A</v>
      </c>
      <c r="P21" s="55"/>
      <c r="Q21" s="5">
        <f>Relay!A20</f>
        <v>0</v>
      </c>
      <c r="R21" s="5">
        <f>Relay!B20</f>
        <v>19</v>
      </c>
      <c r="S21" s="8">
        <f>IF(Aug[After the 14th?]="No",SUMIF(Aug[SysID],R21,Aug[Pay Amount]),0)+IF(July[After the 14th?]="Yes",SUMIF(July[SysID],R21,July[Pay Amount]),0)</f>
        <v>0</v>
      </c>
      <c r="T21" s="8"/>
      <c r="U21" s="5" t="str">
        <f t="shared" si="2"/>
        <v>N</v>
      </c>
      <c r="X21" s="56"/>
      <c r="Y21" s="56"/>
      <c r="Z21" s="56"/>
      <c r="AA21" s="56"/>
      <c r="AC21" s="56"/>
    </row>
    <row r="22" spans="1:29" x14ac:dyDescent="0.25">
      <c r="A22" s="35"/>
      <c r="B22" s="5" t="e">
        <f>VLOOKUP(A22,Relay!$A$1:$B$50,2,FALSE)</f>
        <v>#N/A</v>
      </c>
      <c r="C22" s="5" t="e">
        <f>VLOOKUP(A22,Relay!$A$2:$C$51,3,FALSE)</f>
        <v>#N/A</v>
      </c>
      <c r="D22" s="39"/>
      <c r="E22" s="35"/>
      <c r="F22" s="35" t="str">
        <f t="shared" si="0"/>
        <v>INS</v>
      </c>
      <c r="G22" s="5" t="e">
        <f>IF(OR(E22="Jeopardy",E22="APP Moonlighting",E22="Differential Pay"),"",Aug[[#This Row],[SysID]])</f>
        <v>#N/A</v>
      </c>
      <c r="H22" s="5" t="e">
        <f>IF(E22="Jeopardy",IF(C22="MD",Relay!$E$7,Relay!$E$8),IF(C22="MD",IF(COUNTIF(G:G,B22)&gt;1,Relay!$E$2,Relay!$E$1),IF(AND(COUNTIF(G:G,B22)&gt;1,COUNTA(A22)&gt;0),Relay!$E$5,Relay!$E$4)))</f>
        <v>#N/A</v>
      </c>
      <c r="I22" s="8">
        <f t="shared" si="1"/>
        <v>0</v>
      </c>
      <c r="J22" s="35"/>
      <c r="K22" s="35"/>
      <c r="L22" s="35"/>
      <c r="M22" s="35"/>
      <c r="N22" s="10" t="e">
        <f>IF(H22=Aug!$E$2,"N",IF(AND(COUNTIF(B:B,B22)=1,D22&gt;14),"Y","N"))</f>
        <v>#N/A</v>
      </c>
      <c r="O22" s="55" t="str">
        <f>IF(COUNT(Aug[[#This Row],[Date]])&gt;0,IF(Aug[[#This Row],[Date]]&gt;14,"Yes","No"),"N/A")</f>
        <v>N/A</v>
      </c>
      <c r="P22" s="55"/>
      <c r="Q22" s="5">
        <f>Relay!A21</f>
        <v>0</v>
      </c>
      <c r="R22" s="5">
        <f>Relay!B21</f>
        <v>20</v>
      </c>
      <c r="S22" s="8">
        <f>IF(Aug[After the 14th?]="No",SUMIF(Aug[SysID],R22,Aug[Pay Amount]),0)+IF(July[After the 14th?]="Yes",SUMIF(July[SysID],R22,July[Pay Amount]),0)</f>
        <v>0</v>
      </c>
      <c r="T22" s="8"/>
      <c r="U22" s="5" t="str">
        <f t="shared" si="2"/>
        <v>N</v>
      </c>
      <c r="X22" s="56"/>
      <c r="Y22" s="56"/>
      <c r="Z22" s="56"/>
      <c r="AA22" s="56"/>
      <c r="AC22" s="56"/>
    </row>
    <row r="23" spans="1:29" x14ac:dyDescent="0.25">
      <c r="A23" s="35"/>
      <c r="B23" s="5" t="e">
        <f>VLOOKUP(A23,Relay!$A$1:$B$50,2,FALSE)</f>
        <v>#N/A</v>
      </c>
      <c r="C23" s="5" t="e">
        <f>VLOOKUP(A23,Relay!$A$2:$C$51,3,FALSE)</f>
        <v>#N/A</v>
      </c>
      <c r="D23" s="39"/>
      <c r="E23" s="35"/>
      <c r="F23" s="35" t="str">
        <f t="shared" si="0"/>
        <v>INS</v>
      </c>
      <c r="G23" s="5" t="e">
        <f>IF(OR(E23="Jeopardy",E23="APP Moonlighting",E23="Differential Pay"),"",Aug[[#This Row],[SysID]])</f>
        <v>#N/A</v>
      </c>
      <c r="H23" s="5" t="e">
        <f>IF(E23="Jeopardy",IF(C23="MD",Relay!$E$7,Relay!$E$8),IF(C23="MD",IF(COUNTIF(G:G,B23)&gt;1,Relay!$E$2,Relay!$E$1),IF(AND(COUNTIF(G:G,B23)&gt;1,COUNTA(A23)&gt;0),Relay!$E$5,Relay!$E$4)))</f>
        <v>#N/A</v>
      </c>
      <c r="I23" s="8">
        <f t="shared" si="1"/>
        <v>0</v>
      </c>
      <c r="J23" s="35"/>
      <c r="K23" s="35"/>
      <c r="L23" s="35"/>
      <c r="M23" s="35"/>
      <c r="N23" s="10" t="e">
        <f>IF(H23=Aug!$E$2,"N",IF(AND(COUNTIF(B:B,B23)=1,D23&gt;14),"Y","N"))</f>
        <v>#N/A</v>
      </c>
      <c r="O23" s="55" t="str">
        <f>IF(COUNT(Aug[[#This Row],[Date]])&gt;0,IF(Aug[[#This Row],[Date]]&gt;14,"Yes","No"),"N/A")</f>
        <v>N/A</v>
      </c>
      <c r="P23" s="55"/>
      <c r="Q23" s="5">
        <f>Relay!A22</f>
        <v>0</v>
      </c>
      <c r="R23" s="5">
        <f>Relay!B22</f>
        <v>21</v>
      </c>
      <c r="S23" s="8">
        <f>IF(Aug[After the 14th?]="No",SUMIF(Aug[SysID],R23,Aug[Pay Amount]),0)+IF(July[After the 14th?]="Yes",SUMIF(July[SysID],R23,July[Pay Amount]),0)</f>
        <v>0</v>
      </c>
      <c r="T23" s="8"/>
      <c r="U23" s="5" t="str">
        <f t="shared" si="2"/>
        <v>N</v>
      </c>
      <c r="X23" s="56"/>
      <c r="Y23" s="56"/>
      <c r="Z23" s="56"/>
      <c r="AA23" s="56"/>
      <c r="AC23" s="56"/>
    </row>
    <row r="24" spans="1:29" x14ac:dyDescent="0.25">
      <c r="A24" s="35"/>
      <c r="B24" s="5" t="e">
        <f>VLOOKUP(A24,Relay!$A$1:$B$50,2,FALSE)</f>
        <v>#N/A</v>
      </c>
      <c r="C24" s="5" t="e">
        <f>VLOOKUP(A24,Relay!$A$2:$C$51,3,FALSE)</f>
        <v>#N/A</v>
      </c>
      <c r="D24" s="39"/>
      <c r="E24" s="35"/>
      <c r="F24" s="35" t="str">
        <f t="shared" si="0"/>
        <v>INS</v>
      </c>
      <c r="G24" s="5" t="e">
        <f>IF(OR(E24="Jeopardy",E24="APP Moonlighting",E24="Differential Pay"),"",Aug[[#This Row],[SysID]])</f>
        <v>#N/A</v>
      </c>
      <c r="H24" s="5" t="e">
        <f>IF(E24="Jeopardy",IF(C24="MD",Relay!$E$7,Relay!$E$8),IF(C24="MD",IF(COUNTIF(G:G,B24)&gt;1,Relay!$E$2,Relay!$E$1),IF(AND(COUNTIF(G:G,B24)&gt;1,COUNTA(A24)&gt;0),Relay!$E$5,Relay!$E$4)))</f>
        <v>#N/A</v>
      </c>
      <c r="I24" s="8">
        <f t="shared" si="1"/>
        <v>0</v>
      </c>
      <c r="J24" s="35"/>
      <c r="K24" s="35"/>
      <c r="L24" s="35"/>
      <c r="M24" s="35"/>
      <c r="N24" s="10" t="e">
        <f>IF(H24=Aug!$E$2,"N",IF(AND(COUNTIF(B:B,B24)=1,D24&gt;14),"Y","N"))</f>
        <v>#N/A</v>
      </c>
      <c r="O24" s="55" t="str">
        <f>IF(COUNT(Aug[[#This Row],[Date]])&gt;0,IF(Aug[[#This Row],[Date]]&gt;14,"Yes","No"),"N/A")</f>
        <v>N/A</v>
      </c>
      <c r="P24" s="55"/>
      <c r="Q24" s="5">
        <f>Relay!A23</f>
        <v>0</v>
      </c>
      <c r="R24" s="5">
        <f>Relay!B23</f>
        <v>22</v>
      </c>
      <c r="S24" s="8">
        <f>IF(Aug[After the 14th?]="No",SUMIF(Aug[SysID],R24,Aug[Pay Amount]),0)+IF(July[After the 14th?]="Yes",SUMIF(July[SysID],R24,July[Pay Amount]),0)</f>
        <v>0</v>
      </c>
      <c r="T24" s="8"/>
      <c r="U24" s="5" t="str">
        <f t="shared" si="2"/>
        <v>N</v>
      </c>
      <c r="X24" s="56"/>
      <c r="Y24" s="56"/>
      <c r="Z24" s="56"/>
      <c r="AA24" s="56"/>
      <c r="AC24" s="56"/>
    </row>
    <row r="25" spans="1:29" x14ac:dyDescent="0.25">
      <c r="A25" s="35"/>
      <c r="B25" s="5" t="e">
        <f>VLOOKUP(A25,Relay!$A$1:$B$50,2,FALSE)</f>
        <v>#N/A</v>
      </c>
      <c r="C25" s="5" t="e">
        <f>VLOOKUP(A25,Relay!$A$2:$C$51,3,FALSE)</f>
        <v>#N/A</v>
      </c>
      <c r="D25" s="39"/>
      <c r="E25" s="35"/>
      <c r="F25" s="35" t="str">
        <f t="shared" si="0"/>
        <v>INS</v>
      </c>
      <c r="G25" s="5" t="e">
        <f>IF(OR(E25="Jeopardy",E25="APP Moonlighting",E25="Differential Pay"),"",Aug[[#This Row],[SysID]])</f>
        <v>#N/A</v>
      </c>
      <c r="H25" s="5" t="e">
        <f>IF(E25="Jeopardy",IF(C25="MD",Relay!$E$7,Relay!$E$8),IF(C25="MD",IF(COUNTIF(G:G,B25)&gt;1,Relay!$E$2,Relay!$E$1),IF(AND(COUNTIF(G:G,B25)&gt;1,COUNTA(A25)&gt;0),Relay!$E$5,Relay!$E$4)))</f>
        <v>#N/A</v>
      </c>
      <c r="I25" s="8">
        <f t="shared" si="1"/>
        <v>0</v>
      </c>
      <c r="J25" s="35"/>
      <c r="K25" s="35"/>
      <c r="L25" s="35"/>
      <c r="M25" s="35"/>
      <c r="N25" s="10" t="e">
        <f>IF(H25=Aug!$E$2,"N",IF(AND(COUNTIF(B:B,B25)=1,D25&gt;14),"Y","N"))</f>
        <v>#N/A</v>
      </c>
      <c r="O25" s="55" t="str">
        <f>IF(COUNT(Aug[[#This Row],[Date]])&gt;0,IF(Aug[[#This Row],[Date]]&gt;14,"Yes","No"),"N/A")</f>
        <v>N/A</v>
      </c>
      <c r="P25" s="55"/>
      <c r="Q25" s="5">
        <f>Relay!A24</f>
        <v>0</v>
      </c>
      <c r="R25" s="5">
        <f>Relay!B24</f>
        <v>23</v>
      </c>
      <c r="S25" s="8">
        <f>IF(Aug[After the 14th?]="No",SUMIF(Aug[SysID],R25,Aug[Pay Amount]),0)+IF(July[After the 14th?]="Yes",SUMIF(July[SysID],R25,July[Pay Amount]),0)</f>
        <v>0</v>
      </c>
      <c r="T25" s="8"/>
      <c r="U25" s="5" t="str">
        <f t="shared" si="2"/>
        <v>N</v>
      </c>
      <c r="X25" s="56"/>
      <c r="Y25" s="56"/>
      <c r="Z25" s="56"/>
      <c r="AA25" s="56"/>
      <c r="AC25" s="56"/>
    </row>
    <row r="26" spans="1:29" x14ac:dyDescent="0.25">
      <c r="A26" s="35"/>
      <c r="B26" s="5" t="e">
        <f>VLOOKUP(A26,Relay!$A$1:$B$50,2,FALSE)</f>
        <v>#N/A</v>
      </c>
      <c r="C26" s="5" t="e">
        <f>VLOOKUP(A26,Relay!$A$2:$C$51,3,FALSE)</f>
        <v>#N/A</v>
      </c>
      <c r="D26" s="39"/>
      <c r="E26" s="35"/>
      <c r="F26" s="35" t="str">
        <f t="shared" si="0"/>
        <v>INS</v>
      </c>
      <c r="G26" s="5" t="e">
        <f>IF(OR(E26="Jeopardy",E26="APP Moonlighting",E26="Differential Pay"),"",Aug[[#This Row],[SysID]])</f>
        <v>#N/A</v>
      </c>
      <c r="H26" s="5" t="e">
        <f>IF(E26="Jeopardy",IF(C26="MD",Relay!$E$7,Relay!$E$8),IF(C26="MD",IF(COUNTIF(G:G,B26)&gt;1,Relay!$E$2,Relay!$E$1),IF(AND(COUNTIF(G:G,B26)&gt;1,COUNTA(A26)&gt;0),Relay!$E$5,Relay!$E$4)))</f>
        <v>#N/A</v>
      </c>
      <c r="I26" s="8">
        <f t="shared" si="1"/>
        <v>0</v>
      </c>
      <c r="J26" s="35"/>
      <c r="K26" s="35"/>
      <c r="L26" s="35"/>
      <c r="M26" s="35"/>
      <c r="N26" s="10" t="e">
        <f>IF(H26=Aug!$E$2,"N",IF(AND(COUNTIF(B:B,B26)=1,D26&gt;14),"Y","N"))</f>
        <v>#N/A</v>
      </c>
      <c r="O26" s="55" t="str">
        <f>IF(COUNT(Aug[[#This Row],[Date]])&gt;0,IF(Aug[[#This Row],[Date]]&gt;14,"Yes","No"),"N/A")</f>
        <v>N/A</v>
      </c>
      <c r="P26" s="55"/>
      <c r="Q26" s="5">
        <f>Relay!A25</f>
        <v>0</v>
      </c>
      <c r="R26" s="5">
        <f>Relay!B25</f>
        <v>24</v>
      </c>
      <c r="S26" s="8">
        <f>IF(Aug[After the 14th?]="No",SUMIF(Aug[SysID],R26,Aug[Pay Amount]),0)+IF(July[After the 14th?]="Yes",SUMIF(July[SysID],R26,July[Pay Amount]),0)</f>
        <v>0</v>
      </c>
      <c r="T26" s="8"/>
      <c r="U26" s="5" t="str">
        <f t="shared" si="2"/>
        <v>N</v>
      </c>
      <c r="X26" s="56"/>
      <c r="Y26" s="56"/>
      <c r="Z26" s="56"/>
      <c r="AA26" s="56"/>
      <c r="AC26" s="56"/>
    </row>
    <row r="27" spans="1:29" x14ac:dyDescent="0.25">
      <c r="A27" s="35"/>
      <c r="B27" s="5" t="e">
        <f>VLOOKUP(A27,Relay!$A$1:$B$50,2,FALSE)</f>
        <v>#N/A</v>
      </c>
      <c r="C27" s="5" t="e">
        <f>VLOOKUP(A27,Relay!$A$2:$C$51,3,FALSE)</f>
        <v>#N/A</v>
      </c>
      <c r="D27" s="39"/>
      <c r="E27" s="35"/>
      <c r="F27" s="35" t="str">
        <f t="shared" si="0"/>
        <v>INS</v>
      </c>
      <c r="G27" s="5" t="e">
        <f>IF(OR(E27="Jeopardy",E27="APP Moonlighting",E27="Differential Pay"),"",Aug[[#This Row],[SysID]])</f>
        <v>#N/A</v>
      </c>
      <c r="H27" s="5" t="e">
        <f>IF(E27="Jeopardy",IF(C27="MD",Relay!$E$7,Relay!$E$8),IF(C27="MD",IF(COUNTIF(G:G,B27)&gt;1,Relay!$E$2,Relay!$E$1),IF(AND(COUNTIF(G:G,B27)&gt;1,COUNTA(A27)&gt;0),Relay!$E$5,Relay!$E$4)))</f>
        <v>#N/A</v>
      </c>
      <c r="I27" s="8">
        <f t="shared" si="1"/>
        <v>0</v>
      </c>
      <c r="J27" s="35"/>
      <c r="K27" s="35"/>
      <c r="L27" s="35"/>
      <c r="M27" s="35"/>
      <c r="N27" s="10" t="e">
        <f>IF(H27=Aug!$E$2,"N",IF(AND(COUNTIF(B:B,B27)=1,D27&gt;14),"Y","N"))</f>
        <v>#N/A</v>
      </c>
      <c r="O27" s="55" t="str">
        <f>IF(COUNT(Aug[[#This Row],[Date]])&gt;0,IF(Aug[[#This Row],[Date]]&gt;14,"Yes","No"),"N/A")</f>
        <v>N/A</v>
      </c>
      <c r="P27" s="55"/>
      <c r="Q27" s="5">
        <f>Relay!A26</f>
        <v>0</v>
      </c>
      <c r="R27" s="5">
        <f>Relay!B26</f>
        <v>25</v>
      </c>
      <c r="S27" s="8">
        <f>IF(Aug[After the 14th?]="No",SUMIF(Aug[SysID],R27,Aug[Pay Amount]),0)+IF(July[After the 14th?]="Yes",SUMIF(July[SysID],R27,July[Pay Amount]),0)</f>
        <v>0</v>
      </c>
      <c r="T27" s="8"/>
      <c r="U27" s="5" t="str">
        <f t="shared" si="2"/>
        <v>N</v>
      </c>
      <c r="X27" s="56"/>
      <c r="Y27" s="56"/>
      <c r="Z27" s="56"/>
      <c r="AA27" s="56"/>
      <c r="AC27" s="56"/>
    </row>
    <row r="28" spans="1:29" x14ac:dyDescent="0.25">
      <c r="A28" s="35"/>
      <c r="B28" s="5" t="e">
        <f>VLOOKUP(A28,Relay!$A$1:$B$50,2,FALSE)</f>
        <v>#N/A</v>
      </c>
      <c r="C28" s="5" t="e">
        <f>VLOOKUP(A28,Relay!$A$2:$C$51,3,FALSE)</f>
        <v>#N/A</v>
      </c>
      <c r="D28" s="39"/>
      <c r="E28" s="35"/>
      <c r="F28" s="35" t="str">
        <f t="shared" si="0"/>
        <v>INS</v>
      </c>
      <c r="G28" s="5" t="e">
        <f>IF(OR(E28="Jeopardy",E28="APP Moonlighting",E28="Differential Pay"),"",Aug[[#This Row],[SysID]])</f>
        <v>#N/A</v>
      </c>
      <c r="H28" s="5" t="e">
        <f>IF(E28="Jeopardy",IF(C28="MD",Relay!$E$7,Relay!$E$8),IF(C28="MD",IF(COUNTIF(G:G,B28)&gt;1,Relay!$E$2,Relay!$E$1),IF(AND(COUNTIF(G:G,B28)&gt;1,COUNTA(A28)&gt;0),Relay!$E$5,Relay!$E$4)))</f>
        <v>#N/A</v>
      </c>
      <c r="I28" s="8">
        <f t="shared" si="1"/>
        <v>0</v>
      </c>
      <c r="J28" s="35"/>
      <c r="K28" s="35"/>
      <c r="L28" s="35"/>
      <c r="M28" s="35"/>
      <c r="N28" s="10" t="e">
        <f>IF(H28=Aug!$E$2,"N",IF(AND(COUNTIF(B:B,B28)=1,D28&gt;14),"Y","N"))</f>
        <v>#N/A</v>
      </c>
      <c r="O28" s="55" t="str">
        <f>IF(COUNT(Aug[[#This Row],[Date]])&gt;0,IF(Aug[[#This Row],[Date]]&gt;14,"Yes","No"),"N/A")</f>
        <v>N/A</v>
      </c>
      <c r="P28" s="55"/>
      <c r="Q28" s="5">
        <f>Relay!A27</f>
        <v>0</v>
      </c>
      <c r="R28" s="5">
        <f>Relay!B27</f>
        <v>26</v>
      </c>
      <c r="S28" s="8">
        <f>IF(Aug[After the 14th?]="No",SUMIF(Aug[SysID],R28,Aug[Pay Amount]),0)+IF(July[After the 14th?]="Yes",SUMIF(July[SysID],R28,July[Pay Amount]),0)</f>
        <v>0</v>
      </c>
      <c r="T28" s="8"/>
      <c r="U28" s="5" t="str">
        <f t="shared" si="2"/>
        <v>N</v>
      </c>
      <c r="X28" s="56"/>
      <c r="Y28" s="56"/>
      <c r="Z28" s="56"/>
      <c r="AA28" s="56"/>
      <c r="AC28" s="56"/>
    </row>
    <row r="29" spans="1:29" x14ac:dyDescent="0.25">
      <c r="A29" s="35"/>
      <c r="B29" s="5" t="e">
        <f>VLOOKUP(A29,Relay!$A$1:$B$50,2,FALSE)</f>
        <v>#N/A</v>
      </c>
      <c r="C29" s="5" t="e">
        <f>VLOOKUP(A29,Relay!$A$2:$C$51,3,FALSE)</f>
        <v>#N/A</v>
      </c>
      <c r="D29" s="39"/>
      <c r="E29" s="35"/>
      <c r="F29" s="35" t="str">
        <f t="shared" si="0"/>
        <v>INS</v>
      </c>
      <c r="G29" s="5" t="e">
        <f>IF(OR(E29="Jeopardy",E29="APP Moonlighting",E29="Differential Pay"),"",Aug[[#This Row],[SysID]])</f>
        <v>#N/A</v>
      </c>
      <c r="H29" s="5" t="e">
        <f>IF(E29="Jeopardy",IF(C29="MD",Relay!$E$7,Relay!$E$8),IF(C29="MD",IF(COUNTIF(G:G,B29)&gt;1,Relay!$E$2,Relay!$E$1),IF(AND(COUNTIF(G:G,B29)&gt;1,COUNTA(A29)&gt;0),Relay!$E$5,Relay!$E$4)))</f>
        <v>#N/A</v>
      </c>
      <c r="I29" s="8">
        <f t="shared" si="1"/>
        <v>0</v>
      </c>
      <c r="J29" s="35"/>
      <c r="K29" s="35"/>
      <c r="L29" s="35"/>
      <c r="M29" s="35"/>
      <c r="N29" s="10" t="e">
        <f>IF(H29=Aug!$E$2,"N",IF(AND(COUNTIF(B:B,B29)=1,D29&gt;14),"Y","N"))</f>
        <v>#N/A</v>
      </c>
      <c r="O29" s="55" t="str">
        <f>IF(COUNT(Aug[[#This Row],[Date]])&gt;0,IF(Aug[[#This Row],[Date]]&gt;14,"Yes","No"),"N/A")</f>
        <v>N/A</v>
      </c>
      <c r="P29" s="55"/>
      <c r="Q29" s="5">
        <f>Relay!A28</f>
        <v>0</v>
      </c>
      <c r="R29" s="5">
        <f>Relay!B28</f>
        <v>27</v>
      </c>
      <c r="S29" s="8">
        <f>IF(Aug[After the 14th?]="No",SUMIF(Aug[SysID],R29,Aug[Pay Amount]),0)+IF(July[After the 14th?]="Yes",SUMIF(July[SysID],R29,July[Pay Amount]),0)</f>
        <v>0</v>
      </c>
      <c r="T29" s="8"/>
      <c r="U29" s="5" t="str">
        <f t="shared" si="2"/>
        <v>N</v>
      </c>
      <c r="X29" s="56"/>
      <c r="Y29" s="56"/>
      <c r="Z29" s="56"/>
      <c r="AA29" s="56"/>
      <c r="AC29" s="56"/>
    </row>
    <row r="30" spans="1:29" x14ac:dyDescent="0.25">
      <c r="A30" s="35"/>
      <c r="B30" s="5" t="e">
        <f>VLOOKUP(A30,Relay!$A$1:$B$50,2,FALSE)</f>
        <v>#N/A</v>
      </c>
      <c r="C30" s="5" t="e">
        <f>VLOOKUP(A30,Relay!$A$2:$C$51,3,FALSE)</f>
        <v>#N/A</v>
      </c>
      <c r="D30" s="39"/>
      <c r="E30" s="35"/>
      <c r="F30" s="35" t="str">
        <f t="shared" si="0"/>
        <v>INS</v>
      </c>
      <c r="G30" s="5" t="e">
        <f>IF(OR(E30="Jeopardy",E30="APP Moonlighting",E30="Differential Pay"),"",Aug[[#This Row],[SysID]])</f>
        <v>#N/A</v>
      </c>
      <c r="H30" s="5" t="e">
        <f>IF(E30="Jeopardy",IF(C30="MD",Relay!$E$7,Relay!$E$8),IF(C30="MD",IF(COUNTIF(G:G,B30)&gt;1,Relay!$E$2,Relay!$E$1),IF(AND(COUNTIF(G:G,B30)&gt;1,COUNTA(A30)&gt;0),Relay!$E$5,Relay!$E$4)))</f>
        <v>#N/A</v>
      </c>
      <c r="I30" s="8">
        <f t="shared" si="1"/>
        <v>0</v>
      </c>
      <c r="J30" s="35"/>
      <c r="K30" s="35"/>
      <c r="L30" s="35"/>
      <c r="M30" s="35"/>
      <c r="N30" s="10" t="e">
        <f>IF(H30=Aug!$E$2,"N",IF(AND(COUNTIF(B:B,B30)=1,D30&gt;14),"Y","N"))</f>
        <v>#N/A</v>
      </c>
      <c r="O30" s="55" t="str">
        <f>IF(COUNT(Aug[[#This Row],[Date]])&gt;0,IF(Aug[[#This Row],[Date]]&gt;14,"Yes","No"),"N/A")</f>
        <v>N/A</v>
      </c>
      <c r="P30" s="55"/>
      <c r="Q30" s="5">
        <f>Relay!A29</f>
        <v>0</v>
      </c>
      <c r="R30" s="5">
        <f>Relay!B29</f>
        <v>28</v>
      </c>
      <c r="S30" s="8">
        <f>IF(Aug[After the 14th?]="No",SUMIF(Aug[SysID],R30,Aug[Pay Amount]),0)+IF(July[After the 14th?]="Yes",SUMIF(July[SysID],R30,July[Pay Amount]),0)</f>
        <v>0</v>
      </c>
      <c r="T30" s="8"/>
      <c r="U30" s="5" t="str">
        <f t="shared" si="2"/>
        <v>N</v>
      </c>
      <c r="X30" s="56"/>
      <c r="Y30" s="56"/>
      <c r="Z30" s="56"/>
      <c r="AA30" s="56"/>
      <c r="AC30" s="56"/>
    </row>
    <row r="31" spans="1:29" x14ac:dyDescent="0.25">
      <c r="A31" s="35"/>
      <c r="B31" s="5" t="e">
        <f>VLOOKUP(A31,Relay!$A$1:$B$50,2,FALSE)</f>
        <v>#N/A</v>
      </c>
      <c r="C31" s="5" t="e">
        <f>VLOOKUP(A31,Relay!$A$2:$C$51,3,FALSE)</f>
        <v>#N/A</v>
      </c>
      <c r="D31" s="39"/>
      <c r="E31" s="35"/>
      <c r="F31" s="35" t="str">
        <f t="shared" si="0"/>
        <v>INS</v>
      </c>
      <c r="G31" s="5" t="e">
        <f>IF(OR(E31="Jeopardy",E31="APP Moonlighting",E31="Differential Pay"),"",Aug[[#This Row],[SysID]])</f>
        <v>#N/A</v>
      </c>
      <c r="H31" s="5" t="e">
        <f>IF(E31="Jeopardy",IF(C31="MD",Relay!$E$7,Relay!$E$8),IF(C31="MD",IF(COUNTIF(G:G,B31)&gt;1,Relay!$E$2,Relay!$E$1),IF(AND(COUNTIF(G:G,B31)&gt;1,COUNTA(A31)&gt;0),Relay!$E$5,Relay!$E$4)))</f>
        <v>#N/A</v>
      </c>
      <c r="I31" s="8">
        <f t="shared" si="1"/>
        <v>0</v>
      </c>
      <c r="J31" s="35"/>
      <c r="K31" s="35"/>
      <c r="L31" s="35"/>
      <c r="M31" s="35"/>
      <c r="N31" s="10" t="e">
        <f>IF(H31=Aug!$E$2,"N",IF(AND(COUNTIF(B:B,B31)=1,D31&gt;14),"Y","N"))</f>
        <v>#N/A</v>
      </c>
      <c r="O31" s="55" t="str">
        <f>IF(COUNT(Aug[[#This Row],[Date]])&gt;0,IF(Aug[[#This Row],[Date]]&gt;14,"Yes","No"),"N/A")</f>
        <v>N/A</v>
      </c>
      <c r="P31" s="55"/>
      <c r="Q31" s="5">
        <f>Relay!A30</f>
        <v>0</v>
      </c>
      <c r="R31" s="5">
        <f>Relay!B30</f>
        <v>29</v>
      </c>
      <c r="S31" s="8">
        <f>IF(Aug[After the 14th?]="No",SUMIF(Aug[SysID],R31,Aug[Pay Amount]),0)+IF(July[After the 14th?]="Yes",SUMIF(July[SysID],R31,July[Pay Amount]),0)</f>
        <v>0</v>
      </c>
      <c r="T31" s="8"/>
      <c r="U31" s="5" t="str">
        <f t="shared" si="2"/>
        <v>N</v>
      </c>
      <c r="X31" s="56"/>
      <c r="Y31" s="56"/>
      <c r="Z31" s="56"/>
      <c r="AA31" s="56"/>
      <c r="AC31" s="56"/>
    </row>
    <row r="32" spans="1:29" x14ac:dyDescent="0.25">
      <c r="A32" s="35"/>
      <c r="B32" s="5" t="e">
        <f>VLOOKUP(A32,Relay!$A$1:$B$50,2,FALSE)</f>
        <v>#N/A</v>
      </c>
      <c r="C32" s="5" t="e">
        <f>VLOOKUP(A32,Relay!$A$2:$C$51,3,FALSE)</f>
        <v>#N/A</v>
      </c>
      <c r="D32" s="39"/>
      <c r="E32" s="35"/>
      <c r="F32" s="35" t="str">
        <f t="shared" si="0"/>
        <v>INS</v>
      </c>
      <c r="G32" s="5" t="e">
        <f>IF(OR(E32="Jeopardy",E32="APP Moonlighting",E32="Differential Pay"),"",Aug[[#This Row],[SysID]])</f>
        <v>#N/A</v>
      </c>
      <c r="H32" s="5" t="e">
        <f>IF(E32="Jeopardy",IF(C32="MD",Relay!$E$7,Relay!$E$8),IF(C32="MD",IF(COUNTIF(G:G,B32)&gt;1,Relay!$E$2,Relay!$E$1),IF(AND(COUNTIF(G:G,B32)&gt;1,COUNTA(A32)&gt;0),Relay!$E$5,Relay!$E$4)))</f>
        <v>#N/A</v>
      </c>
      <c r="I32" s="8">
        <f t="shared" si="1"/>
        <v>0</v>
      </c>
      <c r="J32" s="35"/>
      <c r="K32" s="35"/>
      <c r="L32" s="35"/>
      <c r="M32" s="35"/>
      <c r="N32" s="10" t="e">
        <f>IF(H32=Aug!$E$2,"N",IF(AND(COUNTIF(B:B,B32)=1,D32&gt;14),"Y","N"))</f>
        <v>#N/A</v>
      </c>
      <c r="O32" s="55" t="str">
        <f>IF(COUNT(Aug[[#This Row],[Date]])&gt;0,IF(Aug[[#This Row],[Date]]&gt;14,"Yes","No"),"N/A")</f>
        <v>N/A</v>
      </c>
      <c r="P32" s="55"/>
      <c r="Q32" s="5">
        <f>Relay!A31</f>
        <v>0</v>
      </c>
      <c r="R32" s="5">
        <f>Relay!B31</f>
        <v>30</v>
      </c>
      <c r="S32" s="8">
        <f>IF(Aug[After the 14th?]="No",SUMIF(Aug[SysID],R32,Aug[Pay Amount]),0)+IF(July[After the 14th?]="Yes",SUMIF(July[SysID],R32,July[Pay Amount]),0)</f>
        <v>0</v>
      </c>
      <c r="T32" s="8"/>
      <c r="U32" s="5" t="str">
        <f t="shared" si="2"/>
        <v>N</v>
      </c>
      <c r="X32" s="56"/>
      <c r="Y32" s="56"/>
      <c r="Z32" s="56"/>
      <c r="AA32" s="56"/>
      <c r="AC32" s="56"/>
    </row>
    <row r="33" spans="1:29" x14ac:dyDescent="0.25">
      <c r="A33" s="35"/>
      <c r="B33" s="5" t="e">
        <f>VLOOKUP(A33,Relay!$A$1:$B$50,2,FALSE)</f>
        <v>#N/A</v>
      </c>
      <c r="C33" s="5" t="e">
        <f>VLOOKUP(A33,Relay!$A$2:$C$51,3,FALSE)</f>
        <v>#N/A</v>
      </c>
      <c r="D33" s="39"/>
      <c r="E33" s="35"/>
      <c r="F33" s="35" t="str">
        <f t="shared" si="0"/>
        <v>INS</v>
      </c>
      <c r="G33" s="5" t="e">
        <f>IF(OR(E33="Jeopardy",E33="APP Moonlighting",E33="Differential Pay"),"",Aug[[#This Row],[SysID]])</f>
        <v>#N/A</v>
      </c>
      <c r="H33" s="5" t="e">
        <f>IF(E33="Jeopardy",IF(C33="MD",Relay!$E$7,Relay!$E$8),IF(C33="MD",IF(COUNTIF(G:G,B33)&gt;1,Relay!$E$2,Relay!$E$1),IF(AND(COUNTIF(G:G,B33)&gt;1,COUNTA(A33)&gt;0),Relay!$E$5,Relay!$E$4)))</f>
        <v>#N/A</v>
      </c>
      <c r="I33" s="8">
        <f t="shared" si="1"/>
        <v>0</v>
      </c>
      <c r="J33" s="35"/>
      <c r="K33" s="35"/>
      <c r="L33" s="35"/>
      <c r="M33" s="35"/>
      <c r="N33" s="10" t="e">
        <f>IF(H33=Aug!$E$2,"N",IF(AND(COUNTIF(B:B,B33)=1,D33&gt;14),"Y","N"))</f>
        <v>#N/A</v>
      </c>
      <c r="O33" s="55" t="str">
        <f>IF(COUNT(Aug[[#This Row],[Date]])&gt;0,IF(Aug[[#This Row],[Date]]&gt;14,"Yes","No"),"N/A")</f>
        <v>N/A</v>
      </c>
      <c r="P33" s="55"/>
      <c r="Q33" s="5">
        <f>Relay!A32</f>
        <v>0</v>
      </c>
      <c r="R33" s="5">
        <f>Relay!B32</f>
        <v>31</v>
      </c>
      <c r="S33" s="8">
        <f>IF(Aug[After the 14th?]="No",SUMIF(Aug[SysID],R33,Aug[Pay Amount]),0)+IF(July[After the 14th?]="Yes",SUMIF(July[SysID],R33,July[Pay Amount]),0)</f>
        <v>0</v>
      </c>
      <c r="T33" s="8"/>
      <c r="U33" s="5" t="str">
        <f t="shared" si="2"/>
        <v>N</v>
      </c>
      <c r="X33" s="56"/>
      <c r="Y33" s="56"/>
      <c r="Z33" s="56"/>
      <c r="AA33" s="56"/>
      <c r="AC33" s="56"/>
    </row>
    <row r="34" spans="1:29" x14ac:dyDescent="0.25">
      <c r="A34" s="35"/>
      <c r="B34" s="5" t="e">
        <f>VLOOKUP(A34,Relay!$A$1:$B$50,2,FALSE)</f>
        <v>#N/A</v>
      </c>
      <c r="C34" s="5" t="e">
        <f>VLOOKUP(A34,Relay!$A$2:$C$51,3,FALSE)</f>
        <v>#N/A</v>
      </c>
      <c r="D34" s="39"/>
      <c r="E34" s="35"/>
      <c r="F34" s="35" t="str">
        <f t="shared" si="0"/>
        <v>INS</v>
      </c>
      <c r="G34" s="5" t="e">
        <f>IF(OR(E34="Jeopardy",E34="APP Moonlighting",E34="Differential Pay"),"",Aug[[#This Row],[SysID]])</f>
        <v>#N/A</v>
      </c>
      <c r="H34" s="5" t="e">
        <f>IF(E34="Jeopardy",IF(C34="MD",Relay!$E$7,Relay!$E$8),IF(C34="MD",IF(COUNTIF(G:G,B34)&gt;1,Relay!$E$2,Relay!$E$1),IF(AND(COUNTIF(G:G,B34)&gt;1,COUNTA(A34)&gt;0),Relay!$E$5,Relay!$E$4)))</f>
        <v>#N/A</v>
      </c>
      <c r="I34" s="8">
        <f t="shared" si="1"/>
        <v>0</v>
      </c>
      <c r="J34" s="35"/>
      <c r="K34" s="35"/>
      <c r="L34" s="35"/>
      <c r="M34" s="35"/>
      <c r="N34" s="10" t="e">
        <f>IF(H34=Aug!$E$2,"N",IF(AND(COUNTIF(B:B,B34)=1,D34&gt;14),"Y","N"))</f>
        <v>#N/A</v>
      </c>
      <c r="O34" s="55" t="str">
        <f>IF(COUNT(Aug[[#This Row],[Date]])&gt;0,IF(Aug[[#This Row],[Date]]&gt;14,"Yes","No"),"N/A")</f>
        <v>N/A</v>
      </c>
      <c r="P34" s="55"/>
      <c r="Q34" s="5">
        <f>Relay!A33</f>
        <v>0</v>
      </c>
      <c r="R34" s="5">
        <f>Relay!B33</f>
        <v>32</v>
      </c>
      <c r="S34" s="8">
        <f>IF(Aug[After the 14th?]="No",SUMIF(Aug[SysID],R34,Aug[Pay Amount]),0)+IF(July[After the 14th?]="Yes",SUMIF(July[SysID],R34,July[Pay Amount]),0)</f>
        <v>0</v>
      </c>
      <c r="T34" s="8"/>
      <c r="U34" s="5" t="str">
        <f t="shared" si="2"/>
        <v>N</v>
      </c>
      <c r="X34" s="56"/>
      <c r="Y34" s="56"/>
      <c r="Z34" s="56"/>
      <c r="AA34" s="56"/>
      <c r="AC34" s="56"/>
    </row>
    <row r="35" spans="1:29" x14ac:dyDescent="0.25">
      <c r="A35" s="35"/>
      <c r="B35" s="5" t="e">
        <f>VLOOKUP(A35,Relay!$A$1:$B$50,2,FALSE)</f>
        <v>#N/A</v>
      </c>
      <c r="C35" s="5" t="e">
        <f>VLOOKUP(A35,Relay!$A$2:$C$51,3,FALSE)</f>
        <v>#N/A</v>
      </c>
      <c r="D35" s="39"/>
      <c r="E35" s="35"/>
      <c r="F35" s="35" t="str">
        <f t="shared" si="0"/>
        <v>INS</v>
      </c>
      <c r="G35" s="5" t="e">
        <f>IF(OR(E35="Jeopardy",E35="APP Moonlighting",E35="Differential Pay"),"",Aug[[#This Row],[SysID]])</f>
        <v>#N/A</v>
      </c>
      <c r="H35" s="5" t="e">
        <f>IF(E35="Jeopardy",IF(C35="MD",Relay!$E$7,Relay!$E$8),IF(C35="MD",IF(COUNTIF(G:G,B35)&gt;1,Relay!$E$2,Relay!$E$1),IF(AND(COUNTIF(G:G,B35)&gt;1,COUNTA(A35)&gt;0),Relay!$E$5,Relay!$E$4)))</f>
        <v>#N/A</v>
      </c>
      <c r="I35" s="8">
        <f t="shared" si="1"/>
        <v>0</v>
      </c>
      <c r="J35" s="35"/>
      <c r="K35" s="35"/>
      <c r="L35" s="35"/>
      <c r="M35" s="35"/>
      <c r="N35" s="10" t="e">
        <f>IF(H35=Aug!$E$2,"N",IF(AND(COUNTIF(B:B,B35)=1,D35&gt;14),"Y","N"))</f>
        <v>#N/A</v>
      </c>
      <c r="O35" s="55" t="str">
        <f>IF(COUNT(Aug[[#This Row],[Date]])&gt;0,IF(Aug[[#This Row],[Date]]&gt;14,"Yes","No"),"N/A")</f>
        <v>N/A</v>
      </c>
      <c r="P35" s="55"/>
      <c r="Q35" s="5">
        <f>Relay!A34</f>
        <v>0</v>
      </c>
      <c r="R35" s="5">
        <f>Relay!B34</f>
        <v>33</v>
      </c>
      <c r="S35" s="8">
        <f>IF(Aug[After the 14th?]="No",SUMIF(Aug[SysID],R35,Aug[Pay Amount]),0)+IF(July[After the 14th?]="Yes",SUMIF(July[SysID],R35,July[Pay Amount]),0)</f>
        <v>0</v>
      </c>
      <c r="T35" s="8"/>
      <c r="U35" s="5" t="str">
        <f t="shared" si="2"/>
        <v>N</v>
      </c>
      <c r="X35" s="56"/>
      <c r="Y35" s="56"/>
      <c r="Z35" s="56"/>
      <c r="AA35" s="56"/>
      <c r="AC35" s="56"/>
    </row>
    <row r="36" spans="1:29" x14ac:dyDescent="0.25">
      <c r="A36" s="35"/>
      <c r="B36" s="5" t="e">
        <f>VLOOKUP(A36,Relay!$A$1:$B$50,2,FALSE)</f>
        <v>#N/A</v>
      </c>
      <c r="C36" s="5" t="e">
        <f>VLOOKUP(A36,Relay!$A$2:$C$51,3,FALSE)</f>
        <v>#N/A</v>
      </c>
      <c r="D36" s="39"/>
      <c r="E36" s="35"/>
      <c r="F36" s="35" t="str">
        <f t="shared" si="0"/>
        <v>INS</v>
      </c>
      <c r="G36" s="5" t="e">
        <f>IF(OR(E36="Jeopardy",E36="APP Moonlighting",E36="Differential Pay"),"",Aug[[#This Row],[SysID]])</f>
        <v>#N/A</v>
      </c>
      <c r="H36" s="5" t="e">
        <f>IF(E36="Jeopardy",IF(C36="MD",Relay!$E$7,Relay!$E$8),IF(C36="MD",IF(COUNTIF(G:G,B36)&gt;1,Relay!$E$2,Relay!$E$1),IF(AND(COUNTIF(G:G,B36)&gt;1,COUNTA(A36)&gt;0),Relay!$E$5,Relay!$E$4)))</f>
        <v>#N/A</v>
      </c>
      <c r="I36" s="8">
        <f t="shared" si="1"/>
        <v>0</v>
      </c>
      <c r="J36" s="35"/>
      <c r="K36" s="35"/>
      <c r="L36" s="35"/>
      <c r="M36" s="35"/>
      <c r="N36" s="10" t="e">
        <f>IF(H36=Aug!$E$2,"N",IF(AND(COUNTIF(B:B,B36)=1,D36&gt;14),"Y","N"))</f>
        <v>#N/A</v>
      </c>
      <c r="O36" s="55" t="str">
        <f>IF(COUNT(Aug[[#This Row],[Date]])&gt;0,IF(Aug[[#This Row],[Date]]&gt;14,"Yes","No"),"N/A")</f>
        <v>N/A</v>
      </c>
      <c r="P36" s="55"/>
      <c r="Q36" s="5">
        <f>Relay!A35</f>
        <v>0</v>
      </c>
      <c r="R36" s="5">
        <f>Relay!B35</f>
        <v>34</v>
      </c>
      <c r="S36" s="8">
        <f>IF(Aug[After the 14th?]="No",SUMIF(Aug[SysID],R36,Aug[Pay Amount]),0)+IF(July[After the 14th?]="Yes",SUMIF(July[SysID],R36,July[Pay Amount]),0)</f>
        <v>0</v>
      </c>
      <c r="T36" s="8"/>
      <c r="U36" s="5" t="str">
        <f t="shared" si="2"/>
        <v>N</v>
      </c>
      <c r="X36" s="56"/>
      <c r="Y36" s="56"/>
      <c r="Z36" s="56"/>
      <c r="AA36" s="56"/>
      <c r="AC36" s="56"/>
    </row>
    <row r="37" spans="1:29" x14ac:dyDescent="0.25">
      <c r="A37" s="35"/>
      <c r="B37" s="5" t="e">
        <f>VLOOKUP(A37,Relay!$A$1:$B$50,2,FALSE)</f>
        <v>#N/A</v>
      </c>
      <c r="C37" s="5" t="e">
        <f>VLOOKUP(A37,Relay!$A$2:$C$51,3,FALSE)</f>
        <v>#N/A</v>
      </c>
      <c r="D37" s="39"/>
      <c r="E37" s="35"/>
      <c r="F37" s="35" t="str">
        <f t="shared" si="0"/>
        <v>INS</v>
      </c>
      <c r="G37" s="5" t="e">
        <f>IF(OR(E37="Jeopardy",E37="APP Moonlighting",E37="Differential Pay"),"",Aug[[#This Row],[SysID]])</f>
        <v>#N/A</v>
      </c>
      <c r="H37" s="5" t="e">
        <f>IF(E37="Jeopardy",IF(C37="MD",Relay!$E$7,Relay!$E$8),IF(C37="MD",IF(COUNTIF(G:G,B37)&gt;1,Relay!$E$2,Relay!$E$1),IF(AND(COUNTIF(G:G,B37)&gt;1,COUNTA(A37)&gt;0),Relay!$E$5,Relay!$E$4)))</f>
        <v>#N/A</v>
      </c>
      <c r="I37" s="8">
        <f t="shared" si="1"/>
        <v>0</v>
      </c>
      <c r="J37" s="35"/>
      <c r="K37" s="35"/>
      <c r="L37" s="35"/>
      <c r="M37" s="35"/>
      <c r="N37" s="10" t="e">
        <f>IF(H37=Aug!$E$2,"N",IF(AND(COUNTIF(B:B,B37)=1,D37&gt;14),"Y","N"))</f>
        <v>#N/A</v>
      </c>
      <c r="O37" s="55" t="str">
        <f>IF(COUNT(Aug[[#This Row],[Date]])&gt;0,IF(Aug[[#This Row],[Date]]&gt;14,"Yes","No"),"N/A")</f>
        <v>N/A</v>
      </c>
      <c r="P37" s="55"/>
      <c r="Q37" s="5">
        <f>Relay!A36</f>
        <v>0</v>
      </c>
      <c r="R37" s="5">
        <f>Relay!B36</f>
        <v>35</v>
      </c>
      <c r="S37" s="8">
        <f>IF(Aug[After the 14th?]="No",SUMIF(Aug[SysID],R37,Aug[Pay Amount]),0)+IF(July[After the 14th?]="Yes",SUMIF(July[SysID],R37,July[Pay Amount]),0)</f>
        <v>0</v>
      </c>
      <c r="T37" s="8"/>
      <c r="U37" s="5" t="str">
        <f t="shared" si="2"/>
        <v>N</v>
      </c>
      <c r="X37" s="56"/>
      <c r="Y37" s="56"/>
      <c r="Z37" s="56"/>
      <c r="AA37" s="56"/>
      <c r="AC37" s="56"/>
    </row>
    <row r="38" spans="1:29" x14ac:dyDescent="0.25">
      <c r="A38" s="35"/>
      <c r="B38" s="5" t="e">
        <f>VLOOKUP(A38,Relay!$A$1:$B$50,2,FALSE)</f>
        <v>#N/A</v>
      </c>
      <c r="C38" s="5" t="e">
        <f>VLOOKUP(A38,Relay!$A$2:$C$51,3,FALSE)</f>
        <v>#N/A</v>
      </c>
      <c r="D38" s="39"/>
      <c r="E38" s="35"/>
      <c r="F38" s="35" t="str">
        <f t="shared" si="0"/>
        <v>INS</v>
      </c>
      <c r="G38" s="5" t="e">
        <f>IF(OR(E38="Jeopardy",E38="APP Moonlighting",E38="Differential Pay"),"",Aug[[#This Row],[SysID]])</f>
        <v>#N/A</v>
      </c>
      <c r="H38" s="5" t="e">
        <f>IF(E38="Jeopardy",IF(C38="MD",Relay!$E$7,Relay!$E$8),IF(C38="MD",IF(COUNTIF(G:G,B38)&gt;1,Relay!$E$2,Relay!$E$1),IF(AND(COUNTIF(G:G,B38)&gt;1,COUNTA(A38)&gt;0),Relay!$E$5,Relay!$E$4)))</f>
        <v>#N/A</v>
      </c>
      <c r="I38" s="8">
        <f t="shared" si="1"/>
        <v>0</v>
      </c>
      <c r="J38" s="35"/>
      <c r="K38" s="35"/>
      <c r="L38" s="35"/>
      <c r="M38" s="35"/>
      <c r="N38" s="10" t="e">
        <f>IF(H38=Aug!$E$2,"N",IF(AND(COUNTIF(B:B,B38)=1,D38&gt;14),"Y","N"))</f>
        <v>#N/A</v>
      </c>
      <c r="O38" s="55" t="str">
        <f>IF(COUNT(Aug[[#This Row],[Date]])&gt;0,IF(Aug[[#This Row],[Date]]&gt;14,"Yes","No"),"N/A")</f>
        <v>N/A</v>
      </c>
      <c r="P38" s="55"/>
      <c r="Q38" s="5">
        <f>Relay!A37</f>
        <v>0</v>
      </c>
      <c r="R38" s="5">
        <f>Relay!B37</f>
        <v>36</v>
      </c>
      <c r="S38" s="8">
        <f>IF(Aug[After the 14th?]="No",SUMIF(Aug[SysID],R38,Aug[Pay Amount]),0)+IF(July[After the 14th?]="Yes",SUMIF(July[SysID],R38,July[Pay Amount]),0)</f>
        <v>0</v>
      </c>
      <c r="T38" s="8"/>
      <c r="U38" s="5" t="str">
        <f t="shared" si="2"/>
        <v>N</v>
      </c>
      <c r="X38" s="56"/>
      <c r="Y38" s="56"/>
      <c r="Z38" s="56"/>
      <c r="AA38" s="56"/>
      <c r="AC38" s="56"/>
    </row>
    <row r="39" spans="1:29" x14ac:dyDescent="0.25">
      <c r="A39" s="35"/>
      <c r="B39" s="5" t="e">
        <f>VLOOKUP(A39,Relay!$A$1:$B$50,2,FALSE)</f>
        <v>#N/A</v>
      </c>
      <c r="C39" s="5" t="e">
        <f>VLOOKUP(A39,Relay!$A$2:$C$51,3,FALSE)</f>
        <v>#N/A</v>
      </c>
      <c r="D39" s="39"/>
      <c r="E39" s="35"/>
      <c r="F39" s="35" t="str">
        <f t="shared" si="0"/>
        <v>INS</v>
      </c>
      <c r="G39" s="5" t="e">
        <f>IF(OR(E39="Jeopardy",E39="APP Moonlighting",E39="Differential Pay"),"",Aug[[#This Row],[SysID]])</f>
        <v>#N/A</v>
      </c>
      <c r="H39" s="5" t="e">
        <f>IF(E39="Jeopardy",IF(C39="MD",Relay!$E$7,Relay!$E$8),IF(C39="MD",IF(COUNTIF(G:G,B39)&gt;1,Relay!$E$2,Relay!$E$1),IF(AND(COUNTIF(G:G,B39)&gt;1,COUNTA(A39)&gt;0),Relay!$E$5,Relay!$E$4)))</f>
        <v>#N/A</v>
      </c>
      <c r="I39" s="8">
        <f t="shared" si="1"/>
        <v>0</v>
      </c>
      <c r="J39" s="35"/>
      <c r="K39" s="35"/>
      <c r="L39" s="35"/>
      <c r="M39" s="35"/>
      <c r="N39" s="10" t="e">
        <f>IF(H39=Aug!$E$2,"N",IF(AND(COUNTIF(B:B,B39)=1,D39&gt;14),"Y","N"))</f>
        <v>#N/A</v>
      </c>
      <c r="O39" s="55" t="str">
        <f>IF(COUNT(Aug[[#This Row],[Date]])&gt;0,IF(Aug[[#This Row],[Date]]&gt;14,"Yes","No"),"N/A")</f>
        <v>N/A</v>
      </c>
      <c r="P39" s="55"/>
      <c r="Q39" s="5">
        <f>Relay!A38</f>
        <v>0</v>
      </c>
      <c r="R39" s="5">
        <f>Relay!B38</f>
        <v>37</v>
      </c>
      <c r="S39" s="8">
        <f>IF(Aug[After the 14th?]="No",SUMIF(Aug[SysID],R39,Aug[Pay Amount]),0)+IF(July[After the 14th?]="Yes",SUMIF(July[SysID],R39,July[Pay Amount]),0)</f>
        <v>0</v>
      </c>
      <c r="T39" s="8"/>
      <c r="U39" s="5" t="str">
        <f t="shared" si="2"/>
        <v>N</v>
      </c>
      <c r="X39" s="56"/>
      <c r="Y39" s="56"/>
      <c r="Z39" s="56"/>
      <c r="AA39" s="56"/>
      <c r="AC39" s="56"/>
    </row>
    <row r="40" spans="1:29" x14ac:dyDescent="0.25">
      <c r="A40" s="35"/>
      <c r="B40" s="5" t="e">
        <f>VLOOKUP(A40,Relay!$A$1:$B$50,2,FALSE)</f>
        <v>#N/A</v>
      </c>
      <c r="C40" s="5" t="e">
        <f>VLOOKUP(A40,Relay!$A$2:$C$51,3,FALSE)</f>
        <v>#N/A</v>
      </c>
      <c r="D40" s="39"/>
      <c r="E40" s="35"/>
      <c r="F40" s="35" t="str">
        <f t="shared" si="0"/>
        <v>INS</v>
      </c>
      <c r="G40" s="5" t="e">
        <f>IF(OR(E40="Jeopardy",E40="APP Moonlighting",E40="Differential Pay"),"",Aug[[#This Row],[SysID]])</f>
        <v>#N/A</v>
      </c>
      <c r="H40" s="5" t="e">
        <f>IF(E40="Jeopardy",IF(C40="MD",Relay!$E$7,Relay!$E$8),IF(C40="MD",IF(COUNTIF(G:G,B40)&gt;1,Relay!$E$2,Relay!$E$1),IF(AND(COUNTIF(G:G,B40)&gt;1,COUNTA(A40)&gt;0),Relay!$E$5,Relay!$E$4)))</f>
        <v>#N/A</v>
      </c>
      <c r="I40" s="8">
        <f t="shared" si="1"/>
        <v>0</v>
      </c>
      <c r="J40" s="35"/>
      <c r="K40" s="35"/>
      <c r="L40" s="35"/>
      <c r="M40" s="35"/>
      <c r="N40" s="10" t="e">
        <f>IF(H40=Aug!$E$2,"N",IF(AND(COUNTIF(B:B,B40)=1,D40&gt;14),"Y","N"))</f>
        <v>#N/A</v>
      </c>
      <c r="O40" s="55" t="str">
        <f>IF(COUNT(Aug[[#This Row],[Date]])&gt;0,IF(Aug[[#This Row],[Date]]&gt;14,"Yes","No"),"N/A")</f>
        <v>N/A</v>
      </c>
      <c r="P40" s="55"/>
      <c r="Q40" s="5">
        <f>Relay!A39</f>
        <v>0</v>
      </c>
      <c r="R40" s="5">
        <f>Relay!B39</f>
        <v>38</v>
      </c>
      <c r="S40" s="8">
        <f>IF(Aug[After the 14th?]="No",SUMIF(Aug[SysID],R40,Aug[Pay Amount]),0)+IF(July[After the 14th?]="Yes",SUMIF(July[SysID],R40,July[Pay Amount]),0)</f>
        <v>0</v>
      </c>
      <c r="T40" s="8"/>
      <c r="U40" s="5" t="str">
        <f t="shared" si="2"/>
        <v>N</v>
      </c>
      <c r="X40" s="56"/>
      <c r="Y40" s="56"/>
      <c r="Z40" s="56"/>
      <c r="AA40" s="56"/>
      <c r="AC40" s="56"/>
    </row>
    <row r="41" spans="1:29" x14ac:dyDescent="0.25">
      <c r="A41" s="35"/>
      <c r="B41" s="5" t="e">
        <f>VLOOKUP(A41,Relay!$A$1:$B$50,2,FALSE)</f>
        <v>#N/A</v>
      </c>
      <c r="C41" s="5" t="e">
        <f>VLOOKUP(A41,Relay!$A$2:$C$51,3,FALSE)</f>
        <v>#N/A</v>
      </c>
      <c r="D41" s="39"/>
      <c r="E41" s="35"/>
      <c r="F41" s="35" t="str">
        <f t="shared" si="0"/>
        <v>INS</v>
      </c>
      <c r="G41" s="5" t="e">
        <f>IF(OR(E41="Jeopardy",E41="APP Moonlighting",E41="Differential Pay"),"",Aug[[#This Row],[SysID]])</f>
        <v>#N/A</v>
      </c>
      <c r="H41" s="5" t="e">
        <f>IF(E41="Jeopardy",IF(C41="MD",Relay!$E$7,Relay!$E$8),IF(C41="MD",IF(COUNTIF(G:G,B41)&gt;1,Relay!$E$2,Relay!$E$1),IF(AND(COUNTIF(G:G,B41)&gt;1,COUNTA(A41)&gt;0),Relay!$E$5,Relay!$E$4)))</f>
        <v>#N/A</v>
      </c>
      <c r="I41" s="8">
        <f t="shared" si="1"/>
        <v>0</v>
      </c>
      <c r="J41" s="35"/>
      <c r="K41" s="35"/>
      <c r="L41" s="35"/>
      <c r="M41" s="35"/>
      <c r="N41" s="10" t="e">
        <f>IF(H41=Aug!$E$2,"N",IF(AND(COUNTIF(B:B,B41)=1,D41&gt;14),"Y","N"))</f>
        <v>#N/A</v>
      </c>
      <c r="O41" s="55" t="str">
        <f>IF(COUNT(Aug[[#This Row],[Date]])&gt;0,IF(Aug[[#This Row],[Date]]&gt;14,"Yes","No"),"N/A")</f>
        <v>N/A</v>
      </c>
      <c r="P41" s="55"/>
      <c r="Q41" s="5">
        <f>Relay!A40</f>
        <v>0</v>
      </c>
      <c r="R41" s="5">
        <f>Relay!B40</f>
        <v>39</v>
      </c>
      <c r="S41" s="8">
        <f>IF(Aug[After the 14th?]="No",SUMIF(Aug[SysID],R41,Aug[Pay Amount]),0)+IF(July[After the 14th?]="Yes",SUMIF(July[SysID],R41,July[Pay Amount]),0)</f>
        <v>0</v>
      </c>
      <c r="T41" s="8"/>
      <c r="U41" s="5" t="str">
        <f t="shared" si="2"/>
        <v>N</v>
      </c>
      <c r="X41" s="56"/>
      <c r="Y41" s="56"/>
      <c r="Z41" s="56"/>
      <c r="AA41" s="56"/>
      <c r="AC41" s="56"/>
    </row>
    <row r="42" spans="1:29" x14ac:dyDescent="0.25">
      <c r="A42" s="35"/>
      <c r="B42" s="5" t="e">
        <f>VLOOKUP(A42,Relay!$A$1:$B$50,2,FALSE)</f>
        <v>#N/A</v>
      </c>
      <c r="C42" s="5" t="e">
        <f>VLOOKUP(A42,Relay!$A$2:$C$51,3,FALSE)</f>
        <v>#N/A</v>
      </c>
      <c r="D42" s="39"/>
      <c r="E42" s="35"/>
      <c r="F42" s="35" t="str">
        <f t="shared" si="0"/>
        <v>INS</v>
      </c>
      <c r="G42" s="5" t="e">
        <f>IF(OR(E42="Jeopardy",E42="APP Moonlighting",E42="Differential Pay"),"",Aug[[#This Row],[SysID]])</f>
        <v>#N/A</v>
      </c>
      <c r="H42" s="5" t="e">
        <f>IF(E42="Jeopardy",IF(C42="MD",Relay!$E$7,Relay!$E$8),IF(C42="MD",IF(COUNTIF(G:G,B42)&gt;1,Relay!$E$2,Relay!$E$1),IF(AND(COUNTIF(G:G,B42)&gt;1,COUNTA(A42)&gt;0),Relay!$E$5,Relay!$E$4)))</f>
        <v>#N/A</v>
      </c>
      <c r="I42" s="8">
        <f t="shared" si="1"/>
        <v>0</v>
      </c>
      <c r="J42" s="35"/>
      <c r="K42" s="35"/>
      <c r="L42" s="35"/>
      <c r="M42" s="35"/>
      <c r="N42" s="10" t="e">
        <f>IF(H42=Aug!$E$2,"N",IF(AND(COUNTIF(B:B,B42)=1,D42&gt;14),"Y","N"))</f>
        <v>#N/A</v>
      </c>
      <c r="O42" s="55" t="str">
        <f>IF(COUNT(Aug[[#This Row],[Date]])&gt;0,IF(Aug[[#This Row],[Date]]&gt;14,"Yes","No"),"N/A")</f>
        <v>N/A</v>
      </c>
      <c r="P42" s="55"/>
      <c r="Q42" s="5">
        <f>Relay!A41</f>
        <v>0</v>
      </c>
      <c r="R42" s="5">
        <f>Relay!B41</f>
        <v>40</v>
      </c>
      <c r="S42" s="8">
        <f>IF(Aug[After the 14th?]="No",SUMIF(Aug[SysID],R42,Aug[Pay Amount]),0)+IF(July[After the 14th?]="Yes",SUMIF(July[SysID],R42,July[Pay Amount]),0)</f>
        <v>0</v>
      </c>
      <c r="T42" s="8"/>
      <c r="U42" s="5" t="str">
        <f t="shared" si="2"/>
        <v>N</v>
      </c>
      <c r="X42" s="56"/>
      <c r="Y42" s="56"/>
      <c r="Z42" s="56"/>
      <c r="AA42" s="56"/>
      <c r="AC42" s="56"/>
    </row>
    <row r="43" spans="1:29" x14ac:dyDescent="0.25">
      <c r="A43" s="35"/>
      <c r="B43" s="5" t="e">
        <f>VLOOKUP(A43,Relay!$A$1:$B$50,2,FALSE)</f>
        <v>#N/A</v>
      </c>
      <c r="C43" s="5" t="e">
        <f>VLOOKUP(A43,Relay!$A$2:$C$51,3,FALSE)</f>
        <v>#N/A</v>
      </c>
      <c r="D43" s="39"/>
      <c r="E43" s="35"/>
      <c r="F43" s="35" t="str">
        <f t="shared" si="0"/>
        <v>INS</v>
      </c>
      <c r="G43" s="5" t="e">
        <f>IF(OR(E43="Jeopardy",E43="APP Moonlighting",E43="Differential Pay"),"",Aug[[#This Row],[SysID]])</f>
        <v>#N/A</v>
      </c>
      <c r="H43" s="5" t="e">
        <f>IF(E43="Jeopardy",IF(C43="MD",Relay!$E$7,Relay!$E$8),IF(C43="MD",IF(COUNTIF(G:G,B43)&gt;1,Relay!$E$2,Relay!$E$1),IF(AND(COUNTIF(G:G,B43)&gt;1,COUNTA(A43)&gt;0),Relay!$E$5,Relay!$E$4)))</f>
        <v>#N/A</v>
      </c>
      <c r="I43" s="8">
        <f t="shared" si="1"/>
        <v>0</v>
      </c>
      <c r="J43" s="35"/>
      <c r="K43" s="35"/>
      <c r="L43" s="35"/>
      <c r="M43" s="35"/>
      <c r="N43" s="10" t="e">
        <f>IF(H43=Aug!$E$2,"N",IF(AND(COUNTIF(B:B,B43)=1,D43&gt;14),"Y","N"))</f>
        <v>#N/A</v>
      </c>
      <c r="O43" s="55" t="str">
        <f>IF(COUNT(Aug[[#This Row],[Date]])&gt;0,IF(Aug[[#This Row],[Date]]&gt;14,"Yes","No"),"N/A")</f>
        <v>N/A</v>
      </c>
      <c r="P43" s="55"/>
      <c r="Q43" s="5">
        <f>Relay!A42</f>
        <v>0</v>
      </c>
      <c r="R43" s="5">
        <f>Relay!B42</f>
        <v>41</v>
      </c>
      <c r="S43" s="8">
        <f>IF(Aug[After the 14th?]="No",SUMIF(Aug[SysID],R43,Aug[Pay Amount]),0)+IF(July[After the 14th?]="Yes",SUMIF(July[SysID],R43,July[Pay Amount]),0)</f>
        <v>0</v>
      </c>
      <c r="T43" s="8"/>
      <c r="U43" s="5" t="str">
        <f t="shared" si="2"/>
        <v>N</v>
      </c>
      <c r="X43" s="56"/>
      <c r="Y43" s="56"/>
      <c r="Z43" s="56"/>
      <c r="AA43" s="56"/>
      <c r="AC43" s="56"/>
    </row>
    <row r="44" spans="1:29" x14ac:dyDescent="0.25">
      <c r="A44" s="35"/>
      <c r="B44" s="5" t="e">
        <f>VLOOKUP(A44,Relay!$A$1:$B$50,2,FALSE)</f>
        <v>#N/A</v>
      </c>
      <c r="C44" s="5" t="e">
        <f>VLOOKUP(A44,Relay!$A$2:$C$51,3,FALSE)</f>
        <v>#N/A</v>
      </c>
      <c r="D44" s="39"/>
      <c r="E44" s="35"/>
      <c r="F44" s="35" t="str">
        <f t="shared" si="0"/>
        <v>INS</v>
      </c>
      <c r="G44" s="5" t="e">
        <f>IF(OR(E44="Jeopardy",E44="APP Moonlighting",E44="Differential Pay"),"",Aug[[#This Row],[SysID]])</f>
        <v>#N/A</v>
      </c>
      <c r="H44" s="5" t="e">
        <f>IF(E44="Jeopardy",IF(C44="MD",Relay!$E$7,Relay!$E$8),IF(C44="MD",IF(COUNTIF(G:G,B44)&gt;1,Relay!$E$2,Relay!$E$1),IF(AND(COUNTIF(G:G,B44)&gt;1,COUNTA(A44)&gt;0),Relay!$E$5,Relay!$E$4)))</f>
        <v>#N/A</v>
      </c>
      <c r="I44" s="8">
        <f t="shared" si="1"/>
        <v>0</v>
      </c>
      <c r="J44" s="35"/>
      <c r="K44" s="35"/>
      <c r="L44" s="35"/>
      <c r="M44" s="35"/>
      <c r="N44" s="10" t="e">
        <f>IF(H44=Aug!$E$2,"N",IF(AND(COUNTIF(B:B,B44)=1,D44&gt;14),"Y","N"))</f>
        <v>#N/A</v>
      </c>
      <c r="O44" s="55" t="str">
        <f>IF(COUNT(Aug[[#This Row],[Date]])&gt;0,IF(Aug[[#This Row],[Date]]&gt;14,"Yes","No"),"N/A")</f>
        <v>N/A</v>
      </c>
      <c r="P44" s="55"/>
      <c r="Q44" s="5">
        <f>Relay!A43</f>
        <v>0</v>
      </c>
      <c r="R44" s="5">
        <f>Relay!B43</f>
        <v>42</v>
      </c>
      <c r="S44" s="8">
        <f>IF(Aug[After the 14th?]="No",SUMIF(Aug[SysID],R44,Aug[Pay Amount]),0)+IF(July[After the 14th?]="Yes",SUMIF(July[SysID],R44,July[Pay Amount]),0)</f>
        <v>0</v>
      </c>
      <c r="T44" s="8"/>
      <c r="U44" s="5" t="str">
        <f t="shared" si="2"/>
        <v>N</v>
      </c>
      <c r="X44" s="56"/>
      <c r="Y44" s="56"/>
      <c r="Z44" s="56"/>
      <c r="AA44" s="56"/>
      <c r="AC44" s="56"/>
    </row>
    <row r="45" spans="1:29" x14ac:dyDescent="0.25">
      <c r="A45" s="35"/>
      <c r="B45" s="5" t="e">
        <f>VLOOKUP(A45,Relay!$A$1:$B$50,2,FALSE)</f>
        <v>#N/A</v>
      </c>
      <c r="C45" s="5" t="e">
        <f>VLOOKUP(A45,Relay!$A$2:$C$51,3,FALSE)</f>
        <v>#N/A</v>
      </c>
      <c r="D45" s="39"/>
      <c r="E45" s="35"/>
      <c r="F45" s="35" t="str">
        <f t="shared" si="0"/>
        <v>INS</v>
      </c>
      <c r="G45" s="5" t="e">
        <f>IF(OR(E45="Jeopardy",E45="APP Moonlighting",E45="Differential Pay"),"",Aug[[#This Row],[SysID]])</f>
        <v>#N/A</v>
      </c>
      <c r="H45" s="5" t="e">
        <f>IF(E45="Jeopardy",IF(C45="MD",Relay!$E$7,Relay!$E$8),IF(C45="MD",IF(COUNTIF(G:G,B45)&gt;1,Relay!$E$2,Relay!$E$1),IF(AND(COUNTIF(G:G,B45)&gt;1,COUNTA(A45)&gt;0),Relay!$E$5,Relay!$E$4)))</f>
        <v>#N/A</v>
      </c>
      <c r="I45" s="8">
        <f t="shared" si="1"/>
        <v>0</v>
      </c>
      <c r="J45" s="35"/>
      <c r="K45" s="35"/>
      <c r="L45" s="35"/>
      <c r="M45" s="35"/>
      <c r="N45" s="10" t="e">
        <f>IF(H45=Aug!$E$2,"N",IF(AND(COUNTIF(B:B,B45)=1,D45&gt;14),"Y","N"))</f>
        <v>#N/A</v>
      </c>
      <c r="O45" s="55" t="str">
        <f>IF(COUNT(Aug[[#This Row],[Date]])&gt;0,IF(Aug[[#This Row],[Date]]&gt;14,"Yes","No"),"N/A")</f>
        <v>N/A</v>
      </c>
      <c r="P45" s="55"/>
      <c r="Q45" s="5">
        <f>Relay!A44</f>
        <v>0</v>
      </c>
      <c r="R45" s="5">
        <f>Relay!B44</f>
        <v>43</v>
      </c>
      <c r="S45" s="8">
        <f>IF(Aug[After the 14th?]="No",SUMIF(Aug[SysID],R45,Aug[Pay Amount]),0)+IF(July[After the 14th?]="Yes",SUMIF(July[SysID],R45,July[Pay Amount]),0)</f>
        <v>0</v>
      </c>
      <c r="T45" s="8"/>
      <c r="U45" s="5" t="str">
        <f t="shared" si="2"/>
        <v>N</v>
      </c>
      <c r="X45" s="56"/>
      <c r="Y45" s="56"/>
      <c r="Z45" s="56"/>
      <c r="AA45" s="56"/>
      <c r="AC45" s="56"/>
    </row>
    <row r="46" spans="1:29" x14ac:dyDescent="0.25">
      <c r="A46" s="35"/>
      <c r="B46" s="5" t="e">
        <f>VLOOKUP(A46,Relay!$A$1:$B$50,2,FALSE)</f>
        <v>#N/A</v>
      </c>
      <c r="C46" s="5" t="e">
        <f>VLOOKUP(A46,Relay!$A$2:$C$51,3,FALSE)</f>
        <v>#N/A</v>
      </c>
      <c r="D46" s="39"/>
      <c r="E46" s="35"/>
      <c r="F46" s="35" t="str">
        <f t="shared" si="0"/>
        <v>INS</v>
      </c>
      <c r="G46" s="5" t="e">
        <f>IF(OR(E46="Jeopardy",E46="APP Moonlighting",E46="Differential Pay"),"",Aug[[#This Row],[SysID]])</f>
        <v>#N/A</v>
      </c>
      <c r="H46" s="5" t="e">
        <f>IF(E46="Jeopardy",IF(C46="MD",Relay!$E$7,Relay!$E$8),IF(C46="MD",IF(COUNTIF(G:G,B46)&gt;1,Relay!$E$2,Relay!$E$1),IF(AND(COUNTIF(G:G,B46)&gt;1,COUNTA(A46)&gt;0),Relay!$E$5,Relay!$E$4)))</f>
        <v>#N/A</v>
      </c>
      <c r="I46" s="8">
        <f t="shared" si="1"/>
        <v>0</v>
      </c>
      <c r="J46" s="35"/>
      <c r="K46" s="35"/>
      <c r="L46" s="35"/>
      <c r="M46" s="35"/>
      <c r="N46" s="10" t="e">
        <f>IF(H46=Aug!$E$2,"N",IF(AND(COUNTIF(B:B,B46)=1,D46&gt;14),"Y","N"))</f>
        <v>#N/A</v>
      </c>
      <c r="O46" s="55" t="str">
        <f>IF(COUNT(Aug[[#This Row],[Date]])&gt;0,IF(Aug[[#This Row],[Date]]&gt;14,"Yes","No"),"N/A")</f>
        <v>N/A</v>
      </c>
      <c r="P46" s="55"/>
      <c r="Q46" s="5">
        <f>Relay!A45</f>
        <v>0</v>
      </c>
      <c r="R46" s="5">
        <f>Relay!B45</f>
        <v>44</v>
      </c>
      <c r="S46" s="8">
        <f>IF(Aug[After the 14th?]="No",SUMIF(Aug[SysID],R46,Aug[Pay Amount]),0)+IF(July[After the 14th?]="Yes",SUMIF(July[SysID],R46,July[Pay Amount]),0)</f>
        <v>0</v>
      </c>
      <c r="T46" s="8"/>
      <c r="U46" s="5" t="str">
        <f t="shared" si="2"/>
        <v>N</v>
      </c>
      <c r="X46" s="56"/>
      <c r="Y46" s="56"/>
      <c r="Z46" s="56"/>
      <c r="AA46" s="56"/>
      <c r="AC46" s="56"/>
    </row>
    <row r="47" spans="1:29" x14ac:dyDescent="0.25">
      <c r="A47" s="35"/>
      <c r="B47" s="5" t="e">
        <f>VLOOKUP(A47,Relay!$A$1:$B$50,2,FALSE)</f>
        <v>#N/A</v>
      </c>
      <c r="C47" s="5" t="e">
        <f>VLOOKUP(A47,Relay!$A$2:$C$51,3,FALSE)</f>
        <v>#N/A</v>
      </c>
      <c r="D47" s="39"/>
      <c r="E47" s="35"/>
      <c r="F47" s="35" t="str">
        <f t="shared" si="0"/>
        <v>INS</v>
      </c>
      <c r="G47" s="5" t="e">
        <f>IF(OR(E47="Jeopardy",E47="APP Moonlighting",E47="Differential Pay"),"",Aug[[#This Row],[SysID]])</f>
        <v>#N/A</v>
      </c>
      <c r="H47" s="5" t="e">
        <f>IF(E47="Jeopardy",IF(C47="MD",Relay!$E$7,Relay!$E$8),IF(C47="MD",IF(COUNTIF(G:G,B47)&gt;1,Relay!$E$2,Relay!$E$1),IF(AND(COUNTIF(G:G,B47)&gt;1,COUNTA(A47)&gt;0),Relay!$E$5,Relay!$E$4)))</f>
        <v>#N/A</v>
      </c>
      <c r="I47" s="8">
        <f t="shared" si="1"/>
        <v>0</v>
      </c>
      <c r="J47" s="35"/>
      <c r="K47" s="35"/>
      <c r="L47" s="35"/>
      <c r="M47" s="35"/>
      <c r="N47" s="10" t="e">
        <f>IF(H47=Aug!$E$2,"N",IF(AND(COUNTIF(B:B,B47)=1,D47&gt;14),"Y","N"))</f>
        <v>#N/A</v>
      </c>
      <c r="O47" s="55" t="str">
        <f>IF(COUNT(Aug[[#This Row],[Date]])&gt;0,IF(Aug[[#This Row],[Date]]&gt;14,"Yes","No"),"N/A")</f>
        <v>N/A</v>
      </c>
      <c r="P47" s="55"/>
      <c r="Q47" s="5">
        <f>Relay!A46</f>
        <v>0</v>
      </c>
      <c r="R47" s="5">
        <f>Relay!B46</f>
        <v>45</v>
      </c>
      <c r="S47" s="8">
        <f>IF(Aug[After the 14th?]="No",SUMIF(Aug[SysID],R47,Aug[Pay Amount]),0)+IF(July[After the 14th?]="Yes",SUMIF(July[SysID],R47,July[Pay Amount]),0)</f>
        <v>0</v>
      </c>
      <c r="T47" s="8"/>
      <c r="U47" s="5" t="str">
        <f t="shared" si="2"/>
        <v>N</v>
      </c>
      <c r="X47" s="56"/>
      <c r="Y47" s="56"/>
      <c r="Z47" s="56"/>
      <c r="AA47" s="56"/>
      <c r="AC47" s="56"/>
    </row>
    <row r="48" spans="1:29" x14ac:dyDescent="0.25">
      <c r="A48" s="35"/>
      <c r="B48" s="5" t="e">
        <f>VLOOKUP(A48,Relay!$A$1:$B$50,2,FALSE)</f>
        <v>#N/A</v>
      </c>
      <c r="C48" s="5" t="e">
        <f>VLOOKUP(A48,Relay!$A$2:$C$51,3,FALSE)</f>
        <v>#N/A</v>
      </c>
      <c r="D48" s="39"/>
      <c r="E48" s="35"/>
      <c r="F48" s="35" t="str">
        <f t="shared" si="0"/>
        <v>INS</v>
      </c>
      <c r="G48" s="5" t="e">
        <f>IF(OR(E48="Jeopardy",E48="APP Moonlighting",E48="Differential Pay"),"",Aug[[#This Row],[SysID]])</f>
        <v>#N/A</v>
      </c>
      <c r="H48" s="5" t="e">
        <f>IF(E48="Jeopardy",IF(C48="MD",Relay!$E$7,Relay!$E$8),IF(C48="MD",IF(COUNTIF(G:G,B48)&gt;1,Relay!$E$2,Relay!$E$1),IF(AND(COUNTIF(G:G,B48)&gt;1,COUNTA(A48)&gt;0),Relay!$E$5,Relay!$E$4)))</f>
        <v>#N/A</v>
      </c>
      <c r="I48" s="8">
        <f t="shared" si="1"/>
        <v>0</v>
      </c>
      <c r="J48" s="35"/>
      <c r="K48" s="35"/>
      <c r="L48" s="35"/>
      <c r="M48" s="35"/>
      <c r="N48" s="10" t="e">
        <f>IF(H48=Aug!$E$2,"N",IF(AND(COUNTIF(B:B,B48)=1,D48&gt;14),"Y","N"))</f>
        <v>#N/A</v>
      </c>
      <c r="O48" s="55" t="str">
        <f>IF(COUNT(Aug[[#This Row],[Date]])&gt;0,IF(Aug[[#This Row],[Date]]&gt;14,"Yes","No"),"N/A")</f>
        <v>N/A</v>
      </c>
      <c r="P48" s="55"/>
      <c r="Q48" s="5">
        <f>Relay!A47</f>
        <v>0</v>
      </c>
      <c r="R48" s="5">
        <f>Relay!B47</f>
        <v>46</v>
      </c>
      <c r="S48" s="8">
        <f>IF(Aug[After the 14th?]="No",SUMIF(Aug[SysID],R48,Aug[Pay Amount]),0)+IF(July[After the 14th?]="Yes",SUMIF(July[SysID],R48,July[Pay Amount]),0)</f>
        <v>0</v>
      </c>
      <c r="T48" s="8"/>
      <c r="U48" s="5" t="str">
        <f t="shared" si="2"/>
        <v>N</v>
      </c>
      <c r="X48" s="56"/>
      <c r="Y48" s="56"/>
      <c r="Z48" s="56"/>
      <c r="AA48" s="56"/>
      <c r="AC48" s="56"/>
    </row>
    <row r="49" spans="1:29" x14ac:dyDescent="0.25">
      <c r="A49" s="35"/>
      <c r="B49" s="5" t="e">
        <f>VLOOKUP(A49,Relay!$A$1:$B$50,2,FALSE)</f>
        <v>#N/A</v>
      </c>
      <c r="C49" s="5" t="e">
        <f>VLOOKUP(A49,Relay!$A$2:$C$51,3,FALSE)</f>
        <v>#N/A</v>
      </c>
      <c r="D49" s="39"/>
      <c r="E49" s="35"/>
      <c r="F49" s="35" t="str">
        <f t="shared" si="0"/>
        <v>INS</v>
      </c>
      <c r="G49" s="5" t="e">
        <f>IF(OR(E49="Jeopardy",E49="APP Moonlighting",E49="Differential Pay"),"",Aug[[#This Row],[SysID]])</f>
        <v>#N/A</v>
      </c>
      <c r="H49" s="5" t="e">
        <f>IF(E49="Jeopardy",IF(C49="MD",Relay!$E$7,Relay!$E$8),IF(C49="MD",IF(COUNTIF(G:G,B49)&gt;1,Relay!$E$2,Relay!$E$1),IF(AND(COUNTIF(G:G,B49)&gt;1,COUNTA(A49)&gt;0),Relay!$E$5,Relay!$E$4)))</f>
        <v>#N/A</v>
      </c>
      <c r="I49" s="8">
        <f t="shared" si="1"/>
        <v>0</v>
      </c>
      <c r="J49" s="35"/>
      <c r="K49" s="35"/>
      <c r="L49" s="35"/>
      <c r="M49" s="35"/>
      <c r="N49" s="10" t="e">
        <f>IF(H49=Aug!$E$2,"N",IF(AND(COUNTIF(B:B,B49)=1,D49&gt;14),"Y","N"))</f>
        <v>#N/A</v>
      </c>
      <c r="O49" s="55" t="str">
        <f>IF(COUNT(Aug[[#This Row],[Date]])&gt;0,IF(Aug[[#This Row],[Date]]&gt;14,"Yes","No"),"N/A")</f>
        <v>N/A</v>
      </c>
      <c r="P49" s="55"/>
      <c r="Q49" s="5">
        <f>Relay!A48</f>
        <v>0</v>
      </c>
      <c r="R49" s="5">
        <f>Relay!B48</f>
        <v>47</v>
      </c>
      <c r="S49" s="8">
        <f>IF(Aug[After the 14th?]="No",SUMIF(Aug[SysID],R49,Aug[Pay Amount]),0)+IF(July[After the 14th?]="Yes",SUMIF(July[SysID],R49,July[Pay Amount]),0)</f>
        <v>0</v>
      </c>
      <c r="T49" s="8"/>
      <c r="U49" s="5" t="str">
        <f t="shared" si="2"/>
        <v>N</v>
      </c>
      <c r="X49" s="56"/>
      <c r="Y49" s="56"/>
      <c r="Z49" s="56"/>
      <c r="AA49" s="56"/>
      <c r="AC49" s="56"/>
    </row>
    <row r="50" spans="1:29" x14ac:dyDescent="0.25">
      <c r="A50" s="35"/>
      <c r="B50" s="5" t="e">
        <f>VLOOKUP(A50,Relay!$A$1:$B$50,2,FALSE)</f>
        <v>#N/A</v>
      </c>
      <c r="C50" s="5" t="e">
        <f>VLOOKUP(A50,Relay!$A$2:$C$51,3,FALSE)</f>
        <v>#N/A</v>
      </c>
      <c r="D50" s="39"/>
      <c r="E50" s="35"/>
      <c r="F50" s="35" t="str">
        <f t="shared" si="0"/>
        <v>INS</v>
      </c>
      <c r="G50" s="5" t="e">
        <f>IF(OR(E50="Jeopardy",E50="APP Moonlighting",E50="Differential Pay"),"",Aug[[#This Row],[SysID]])</f>
        <v>#N/A</v>
      </c>
      <c r="H50" s="5" t="e">
        <f>IF(E50="Jeopardy",IF(C50="MD",Relay!$E$7,Relay!$E$8),IF(C50="MD",IF(COUNTIF(G:G,B50)&gt;1,Relay!$E$2,Relay!$E$1),IF(AND(COUNTIF(G:G,B50)&gt;1,COUNTA(A50)&gt;0),Relay!$E$5,Relay!$E$4)))</f>
        <v>#N/A</v>
      </c>
      <c r="I50" s="8">
        <f t="shared" si="1"/>
        <v>0</v>
      </c>
      <c r="J50" s="35"/>
      <c r="K50" s="35"/>
      <c r="L50" s="35"/>
      <c r="M50" s="35"/>
      <c r="N50" s="10" t="e">
        <f>IF(H50=Aug!$E$2,"N",IF(AND(COUNTIF(B:B,B50)=1,D50&gt;14),"Y","N"))</f>
        <v>#N/A</v>
      </c>
      <c r="O50" s="55" t="str">
        <f>IF(COUNT(Aug[[#This Row],[Date]])&gt;0,IF(Aug[[#This Row],[Date]]&gt;14,"Yes","No"),"N/A")</f>
        <v>N/A</v>
      </c>
      <c r="P50" s="55"/>
      <c r="Q50" s="5">
        <f>Relay!A49</f>
        <v>0</v>
      </c>
      <c r="R50" s="5">
        <f>Relay!B49</f>
        <v>48</v>
      </c>
      <c r="S50" s="8">
        <f>IF(Aug[After the 14th?]="No",SUMIF(Aug[SysID],R50,Aug[Pay Amount]),0)+IF(July[After the 14th?]="Yes",SUMIF(July[SysID],R50,July[Pay Amount]),0)</f>
        <v>0</v>
      </c>
      <c r="T50" s="8"/>
      <c r="U50" s="5" t="str">
        <f t="shared" si="2"/>
        <v>N</v>
      </c>
      <c r="X50" s="56"/>
      <c r="Y50" s="56"/>
      <c r="Z50" s="56"/>
      <c r="AA50" s="56"/>
      <c r="AC50" s="56"/>
    </row>
    <row r="51" spans="1:29" x14ac:dyDescent="0.25">
      <c r="A51" s="35"/>
      <c r="B51" s="32" t="e">
        <f>VLOOKUP(A51,Relay!$A$1:$B$50,2,FALSE)</f>
        <v>#N/A</v>
      </c>
      <c r="C51" s="32" t="e">
        <f>VLOOKUP(A51,Relay!$A$2:$C$101,3,FALSE)</f>
        <v>#N/A</v>
      </c>
      <c r="D51" s="39"/>
      <c r="E51" s="35"/>
      <c r="F51" s="58" t="str">
        <f t="shared" si="0"/>
        <v>INS</v>
      </c>
      <c r="G51" s="32" t="e">
        <f>IF(OR(E51="Jeopardy",E51="APP Moonlighting",E51="Differential Pay"),"",Aug[[#This Row],[SysID]])</f>
        <v>#N/A</v>
      </c>
      <c r="H51" s="32" t="e">
        <f>IF(E51="Jeopardy",IF(C51="MD",Relay!$E$7,Relay!$E$8),IF(C51="MD",IF(COUNTIF(G:G,B51)&gt;1,Relay!$E$2,Relay!$E$1),IF(AND(COUNTIF(G:G,B51)&gt;1,COUNTA(A51)&gt;0),Relay!$E$5,Relay!$E$4)))</f>
        <v>#N/A</v>
      </c>
      <c r="I51" s="8">
        <f t="shared" si="1"/>
        <v>0</v>
      </c>
      <c r="J51" s="35"/>
      <c r="K51" s="35"/>
      <c r="L51" s="35"/>
      <c r="M51" s="35"/>
      <c r="N51" s="32" t="e">
        <f>IF(H51=Aug!$E$2,"N",IF(AND(COUNTIF(B:B,B51)=1,D51&gt;14),"Y","N"))</f>
        <v>#N/A</v>
      </c>
      <c r="O51" s="55" t="str">
        <f>IF(COUNT(Aug[[#This Row],[Date]])&gt;0,IF(Aug[[#This Row],[Date]]&gt;14,"Yes","No"),"N/A")</f>
        <v>N/A</v>
      </c>
      <c r="P51" s="55"/>
      <c r="Q51" s="5">
        <f>Relay!A50</f>
        <v>0</v>
      </c>
      <c r="R51" s="5">
        <f>Relay!B50</f>
        <v>49</v>
      </c>
      <c r="S51" s="8">
        <f>IF(Aug[After the 14th?]="No",SUMIF(Aug[SysID],R51,Aug[Pay Amount]),0)+IF(July[After the 14th?]="Yes",SUMIF(July[SysID],R51,July[Pay Amount]),0)</f>
        <v>0</v>
      </c>
      <c r="T51" s="8"/>
      <c r="U51" s="5" t="str">
        <f t="shared" si="2"/>
        <v>N</v>
      </c>
      <c r="X51" s="56"/>
      <c r="Y51" s="56"/>
      <c r="Z51" s="56"/>
      <c r="AA51" s="56"/>
      <c r="AC51" s="56"/>
    </row>
    <row r="52" spans="1:29" x14ac:dyDescent="0.25">
      <c r="A52" s="35"/>
      <c r="B52" s="32" t="e">
        <f>VLOOKUP(A52,Relay!$A$1:$B$50,2,FALSE)</f>
        <v>#N/A</v>
      </c>
      <c r="C52" s="32" t="e">
        <f>VLOOKUP(A52,Relay!$A$2:$C$101,3,FALSE)</f>
        <v>#N/A</v>
      </c>
      <c r="D52" s="39"/>
      <c r="E52" s="35"/>
      <c r="F52" s="58" t="str">
        <f t="shared" si="0"/>
        <v>INS</v>
      </c>
      <c r="G52" s="32" t="e">
        <f>IF(OR(E52="Jeopardy",E52="APP Moonlighting",E52="Differential Pay"),"",Aug[[#This Row],[SysID]])</f>
        <v>#N/A</v>
      </c>
      <c r="H52" s="32" t="e">
        <f>IF(E52="Jeopardy",IF(C52="MD",Relay!$E$7,Relay!$E$8),IF(C52="MD",IF(COUNTIF(G:G,B52)&gt;1,Relay!$E$2,Relay!$E$1),IF(AND(COUNTIF(G:G,B52)&gt;1,COUNTA(A52)&gt;0),Relay!$E$5,Relay!$E$4)))</f>
        <v>#N/A</v>
      </c>
      <c r="I52" s="8">
        <f t="shared" si="1"/>
        <v>0</v>
      </c>
      <c r="J52" s="35"/>
      <c r="K52" s="35"/>
      <c r="L52" s="35"/>
      <c r="M52" s="35"/>
      <c r="N52" s="32" t="e">
        <f>IF(H52=Aug!$E$2,"N",IF(AND(COUNTIF(B:B,B52)=1,D52&gt;14),"Y","N"))</f>
        <v>#N/A</v>
      </c>
      <c r="O52" s="55" t="str">
        <f>IF(COUNT(Aug[[#This Row],[Date]])&gt;0,IF(Aug[[#This Row],[Date]]&gt;14,"Yes","No"),"N/A")</f>
        <v>N/A</v>
      </c>
      <c r="P52" s="55"/>
      <c r="Q52" s="5">
        <f>Relay!A51</f>
        <v>0</v>
      </c>
      <c r="R52" s="5">
        <f>Relay!B51</f>
        <v>50</v>
      </c>
      <c r="S52" s="8">
        <f>IF(Aug[After the 14th?]="No",SUMIF(Aug[SysID],R52,Aug[Pay Amount]),0)+IF(July[After the 14th?]="Yes",SUMIF(July[SysID],R52,July[Pay Amount]),0)</f>
        <v>0</v>
      </c>
      <c r="T52" s="8"/>
      <c r="U52" s="5" t="str">
        <f t="shared" si="2"/>
        <v>N</v>
      </c>
      <c r="X52" s="56"/>
      <c r="Y52" s="56"/>
      <c r="Z52" s="56"/>
      <c r="AA52" s="56"/>
      <c r="AC52" s="56"/>
    </row>
    <row r="53" spans="1:29" x14ac:dyDescent="0.25">
      <c r="A53" s="35"/>
      <c r="B53" s="32" t="e">
        <f>VLOOKUP(A53,Relay!$A$1:$B$50,2,FALSE)</f>
        <v>#N/A</v>
      </c>
      <c r="C53" s="32" t="e">
        <f>VLOOKUP(A53,Relay!$A$2:$C$101,3,FALSE)</f>
        <v>#N/A</v>
      </c>
      <c r="D53" s="39"/>
      <c r="E53" s="35"/>
      <c r="F53" s="58" t="str">
        <f t="shared" si="0"/>
        <v>INS</v>
      </c>
      <c r="G53" s="32" t="e">
        <f>IF(OR(E53="Jeopardy",E53="APP Moonlighting",E53="Differential Pay"),"",Aug[[#This Row],[SysID]])</f>
        <v>#N/A</v>
      </c>
      <c r="H53" s="32" t="e">
        <f>IF(E53="Jeopardy",IF(C53="MD",Relay!$E$7,Relay!$E$8),IF(C53="MD",IF(COUNTIF(G:G,B53)&gt;1,Relay!$E$2,Relay!$E$1),IF(AND(COUNTIF(G:G,B53)&gt;1,COUNTA(A53)&gt;0),Relay!$E$5,Relay!$E$4)))</f>
        <v>#N/A</v>
      </c>
      <c r="I53" s="8">
        <f t="shared" si="1"/>
        <v>0</v>
      </c>
      <c r="J53" s="35"/>
      <c r="K53" s="35"/>
      <c r="L53" s="35"/>
      <c r="M53" s="35"/>
      <c r="N53" s="32" t="e">
        <f>IF(H53=Aug!$E$2,"N",IF(AND(COUNTIF(B:B,B53)=1,D53&gt;14),"Y","N"))</f>
        <v>#N/A</v>
      </c>
      <c r="O53" s="55" t="str">
        <f>IF(COUNT(Aug[[#This Row],[Date]])&gt;0,IF(Aug[[#This Row],[Date]]&gt;14,"Yes","No"),"N/A")</f>
        <v>N/A</v>
      </c>
      <c r="P53" s="55"/>
      <c r="Q53" s="5">
        <f>Relay!A52</f>
        <v>0</v>
      </c>
      <c r="R53" s="5">
        <f>Relay!B52</f>
        <v>51</v>
      </c>
      <c r="S53" s="8">
        <f>IF(Aug[After the 14th?]="No",SUMIF(Aug[SysID],R53,Aug[Pay Amount]),0)+IF(July[After the 14th?]="Yes",SUMIF(July[SysID],R53,July[Pay Amount]),0)</f>
        <v>0</v>
      </c>
      <c r="T53" s="8"/>
      <c r="U53" s="5" t="str">
        <f t="shared" si="2"/>
        <v>N</v>
      </c>
      <c r="X53" s="56"/>
      <c r="Y53" s="56"/>
      <c r="Z53" s="56"/>
      <c r="AA53" s="56"/>
      <c r="AC53" s="56"/>
    </row>
    <row r="54" spans="1:29" x14ac:dyDescent="0.25">
      <c r="A54" s="35"/>
      <c r="B54" s="32" t="e">
        <f>VLOOKUP(A54,Relay!$A$1:$B$50,2,FALSE)</f>
        <v>#N/A</v>
      </c>
      <c r="C54" s="32" t="e">
        <f>VLOOKUP(A54,Relay!$A$2:$C$101,3,FALSE)</f>
        <v>#N/A</v>
      </c>
      <c r="D54" s="39"/>
      <c r="E54" s="35"/>
      <c r="F54" s="58" t="str">
        <f t="shared" si="0"/>
        <v>INS</v>
      </c>
      <c r="G54" s="32" t="e">
        <f>IF(OR(E54="Jeopardy",E54="APP Moonlighting",E54="Differential Pay"),"",Aug[[#This Row],[SysID]])</f>
        <v>#N/A</v>
      </c>
      <c r="H54" s="32" t="e">
        <f>IF(E54="Jeopardy",IF(C54="MD",Relay!$E$7,Relay!$E$8),IF(C54="MD",IF(COUNTIF(G:G,B54)&gt;1,Relay!$E$2,Relay!$E$1),IF(AND(COUNTIF(G:G,B54)&gt;1,COUNTA(A54)&gt;0),Relay!$E$5,Relay!$E$4)))</f>
        <v>#N/A</v>
      </c>
      <c r="I54" s="8">
        <f t="shared" si="1"/>
        <v>0</v>
      </c>
      <c r="J54" s="35"/>
      <c r="K54" s="35"/>
      <c r="L54" s="35"/>
      <c r="M54" s="35"/>
      <c r="N54" s="32" t="e">
        <f>IF(H54=Aug!$E$2,"N",IF(AND(COUNTIF(B:B,B54)=1,D54&gt;14),"Y","N"))</f>
        <v>#N/A</v>
      </c>
      <c r="O54" s="55" t="str">
        <f>IF(COUNT(Aug[[#This Row],[Date]])&gt;0,IF(Aug[[#This Row],[Date]]&gt;14,"Yes","No"),"N/A")</f>
        <v>N/A</v>
      </c>
      <c r="P54" s="55"/>
      <c r="Q54" s="5">
        <f>Relay!A53</f>
        <v>0</v>
      </c>
      <c r="R54" s="5">
        <f>Relay!B53</f>
        <v>52</v>
      </c>
      <c r="S54" s="8">
        <f>IF(Aug[After the 14th?]="No",SUMIF(Aug[SysID],R54,Aug[Pay Amount]),0)+IF(July[After the 14th?]="Yes",SUMIF(July[SysID],R54,July[Pay Amount]),0)</f>
        <v>0</v>
      </c>
      <c r="T54" s="8"/>
      <c r="U54" s="5" t="str">
        <f t="shared" si="2"/>
        <v>N</v>
      </c>
      <c r="X54" s="56"/>
      <c r="Y54" s="56"/>
      <c r="Z54" s="56"/>
      <c r="AA54" s="56"/>
      <c r="AC54" s="56"/>
    </row>
    <row r="55" spans="1:29" x14ac:dyDescent="0.25">
      <c r="A55" s="35"/>
      <c r="B55" s="32" t="e">
        <f>VLOOKUP(A55,Relay!$A$1:$B$50,2,FALSE)</f>
        <v>#N/A</v>
      </c>
      <c r="C55" s="32" t="e">
        <f>VLOOKUP(A55,Relay!$A$2:$C$101,3,FALSE)</f>
        <v>#N/A</v>
      </c>
      <c r="D55" s="39"/>
      <c r="E55" s="35"/>
      <c r="F55" s="58" t="str">
        <f t="shared" si="0"/>
        <v>INS</v>
      </c>
      <c r="G55" s="32" t="e">
        <f>IF(OR(E55="Jeopardy",E55="APP Moonlighting",E55="Differential Pay"),"",Aug[[#This Row],[SysID]])</f>
        <v>#N/A</v>
      </c>
      <c r="H55" s="32" t="e">
        <f>IF(E55="Jeopardy",IF(C55="MD",Relay!$E$7,Relay!$E$8),IF(C55="MD",IF(COUNTIF(G:G,B55)&gt;1,Relay!$E$2,Relay!$E$1),IF(AND(COUNTIF(G:G,B55)&gt;1,COUNTA(A55)&gt;0),Relay!$E$5,Relay!$E$4)))</f>
        <v>#N/A</v>
      </c>
      <c r="I55" s="8">
        <f t="shared" si="1"/>
        <v>0</v>
      </c>
      <c r="J55" s="35"/>
      <c r="K55" s="35"/>
      <c r="L55" s="35"/>
      <c r="M55" s="35"/>
      <c r="N55" s="32" t="e">
        <f>IF(H55=Aug!$E$2,"N",IF(AND(COUNTIF(B:B,B55)=1,D55&gt;14),"Y","N"))</f>
        <v>#N/A</v>
      </c>
      <c r="O55" s="55" t="str">
        <f>IF(COUNT(Aug[[#This Row],[Date]])&gt;0,IF(Aug[[#This Row],[Date]]&gt;14,"Yes","No"),"N/A")</f>
        <v>N/A</v>
      </c>
      <c r="P55" s="55"/>
      <c r="Q55" s="5">
        <f>Relay!A54</f>
        <v>0</v>
      </c>
      <c r="R55" s="5">
        <f>Relay!B54</f>
        <v>53</v>
      </c>
      <c r="S55" s="8">
        <f>IF(Aug[After the 14th?]="No",SUMIF(Aug[SysID],R55,Aug[Pay Amount]),0)+IF(July[After the 14th?]="Yes",SUMIF(July[SysID],R55,July[Pay Amount]),0)</f>
        <v>0</v>
      </c>
      <c r="T55" s="8"/>
      <c r="U55" s="5" t="str">
        <f t="shared" si="2"/>
        <v>N</v>
      </c>
      <c r="X55" s="56"/>
      <c r="Y55" s="56"/>
      <c r="Z55" s="56"/>
      <c r="AA55" s="56"/>
      <c r="AC55" s="56"/>
    </row>
    <row r="56" spans="1:29" x14ac:dyDescent="0.25">
      <c r="A56" s="35"/>
      <c r="B56" s="32" t="e">
        <f>VLOOKUP(A56,Relay!$A$1:$B$50,2,FALSE)</f>
        <v>#N/A</v>
      </c>
      <c r="C56" s="32" t="e">
        <f>VLOOKUP(A56,Relay!$A$2:$C$101,3,FALSE)</f>
        <v>#N/A</v>
      </c>
      <c r="D56" s="39"/>
      <c r="E56" s="35"/>
      <c r="F56" s="58" t="str">
        <f t="shared" si="0"/>
        <v>INS</v>
      </c>
      <c r="G56" s="32" t="e">
        <f>IF(OR(E56="Jeopardy",E56="APP Moonlighting",E56="Differential Pay"),"",Aug[[#This Row],[SysID]])</f>
        <v>#N/A</v>
      </c>
      <c r="H56" s="32" t="e">
        <f>IF(E56="Jeopardy",IF(C56="MD",Relay!$E$7,Relay!$E$8),IF(C56="MD",IF(COUNTIF(G:G,B56)&gt;1,Relay!$E$2,Relay!$E$1),IF(AND(COUNTIF(G:G,B56)&gt;1,COUNTA(A56)&gt;0),Relay!$E$5,Relay!$E$4)))</f>
        <v>#N/A</v>
      </c>
      <c r="I56" s="8">
        <f t="shared" si="1"/>
        <v>0</v>
      </c>
      <c r="J56" s="35"/>
      <c r="K56" s="35"/>
      <c r="L56" s="35"/>
      <c r="M56" s="35"/>
      <c r="N56" s="32" t="e">
        <f>IF(H56=Aug!$E$2,"N",IF(AND(COUNTIF(B:B,B56)=1,D56&gt;14),"Y","N"))</f>
        <v>#N/A</v>
      </c>
      <c r="O56" s="55" t="str">
        <f>IF(COUNT(Aug[[#This Row],[Date]])&gt;0,IF(Aug[[#This Row],[Date]]&gt;14,"Yes","No"),"N/A")</f>
        <v>N/A</v>
      </c>
      <c r="P56" s="55"/>
      <c r="Q56" s="5">
        <f>Relay!A55</f>
        <v>0</v>
      </c>
      <c r="R56" s="5">
        <f>Relay!B55</f>
        <v>54</v>
      </c>
      <c r="S56" s="8">
        <f>IF(Aug[After the 14th?]="No",SUMIF(Aug[SysID],R56,Aug[Pay Amount]),0)+IF(July[After the 14th?]="Yes",SUMIF(July[SysID],R56,July[Pay Amount]),0)</f>
        <v>0</v>
      </c>
      <c r="T56" s="8"/>
      <c r="U56" s="5" t="str">
        <f t="shared" si="2"/>
        <v>N</v>
      </c>
      <c r="X56" s="56"/>
      <c r="Y56" s="56"/>
      <c r="Z56" s="56"/>
      <c r="AA56" s="56"/>
      <c r="AC56" s="56"/>
    </row>
    <row r="57" spans="1:29" x14ac:dyDescent="0.25">
      <c r="A57" s="35"/>
      <c r="B57" s="32" t="e">
        <f>VLOOKUP(A57,Relay!$A$1:$B$50,2,FALSE)</f>
        <v>#N/A</v>
      </c>
      <c r="C57" s="32" t="e">
        <f>VLOOKUP(A57,Relay!$A$2:$C$101,3,FALSE)</f>
        <v>#N/A</v>
      </c>
      <c r="D57" s="39"/>
      <c r="E57" s="35"/>
      <c r="F57" s="58" t="str">
        <f t="shared" si="0"/>
        <v>INS</v>
      </c>
      <c r="G57" s="32" t="e">
        <f>IF(OR(E57="Jeopardy",E57="APP Moonlighting",E57="Differential Pay"),"",Aug[[#This Row],[SysID]])</f>
        <v>#N/A</v>
      </c>
      <c r="H57" s="32" t="e">
        <f>IF(E57="Jeopardy",IF(C57="MD",Relay!$E$7,Relay!$E$8),IF(C57="MD",IF(COUNTIF(G:G,B57)&gt;1,Relay!$E$2,Relay!$E$1),IF(AND(COUNTIF(G:G,B57)&gt;1,COUNTA(A57)&gt;0),Relay!$E$5,Relay!$E$4)))</f>
        <v>#N/A</v>
      </c>
      <c r="I57" s="8">
        <f t="shared" si="1"/>
        <v>0</v>
      </c>
      <c r="J57" s="35"/>
      <c r="K57" s="35"/>
      <c r="L57" s="35"/>
      <c r="M57" s="35"/>
      <c r="N57" s="32" t="e">
        <f>IF(H57=Aug!$E$2,"N",IF(AND(COUNTIF(B:B,B57)=1,D57&gt;14),"Y","N"))</f>
        <v>#N/A</v>
      </c>
      <c r="O57" s="55" t="str">
        <f>IF(COUNT(Aug[[#This Row],[Date]])&gt;0,IF(Aug[[#This Row],[Date]]&gt;14,"Yes","No"),"N/A")</f>
        <v>N/A</v>
      </c>
      <c r="P57" s="55"/>
      <c r="Q57" s="5">
        <f>Relay!A56</f>
        <v>0</v>
      </c>
      <c r="R57" s="5">
        <f>Relay!B56</f>
        <v>55</v>
      </c>
      <c r="S57" s="8">
        <f>IF(Aug[After the 14th?]="No",SUMIF(Aug[SysID],R57,Aug[Pay Amount]),0)+IF(July[After the 14th?]="Yes",SUMIF(July[SysID],R57,July[Pay Amount]),0)</f>
        <v>0</v>
      </c>
      <c r="T57" s="8"/>
      <c r="U57" s="5" t="str">
        <f t="shared" si="2"/>
        <v>N</v>
      </c>
      <c r="X57" s="56"/>
      <c r="Y57" s="56"/>
      <c r="Z57" s="56"/>
      <c r="AA57" s="56"/>
      <c r="AC57" s="56"/>
    </row>
    <row r="58" spans="1:29" x14ac:dyDescent="0.25">
      <c r="A58" s="35"/>
      <c r="B58" s="32" t="e">
        <f>VLOOKUP(A58,Relay!$A$1:$B$50,2,FALSE)</f>
        <v>#N/A</v>
      </c>
      <c r="C58" s="32" t="e">
        <f>VLOOKUP(A58,Relay!$A$2:$C$101,3,FALSE)</f>
        <v>#N/A</v>
      </c>
      <c r="D58" s="39"/>
      <c r="E58" s="35"/>
      <c r="F58" s="58" t="str">
        <f t="shared" si="0"/>
        <v>INS</v>
      </c>
      <c r="G58" s="32" t="e">
        <f>IF(OR(E58="Jeopardy",E58="APP Moonlighting",E58="Differential Pay"),"",Aug[[#This Row],[SysID]])</f>
        <v>#N/A</v>
      </c>
      <c r="H58" s="32" t="e">
        <f>IF(E58="Jeopardy",IF(C58="MD",Relay!$E$7,Relay!$E$8),IF(C58="MD",IF(COUNTIF(G:G,B58)&gt;1,Relay!$E$2,Relay!$E$1),IF(AND(COUNTIF(G:G,B58)&gt;1,COUNTA(A58)&gt;0),Relay!$E$5,Relay!$E$4)))</f>
        <v>#N/A</v>
      </c>
      <c r="I58" s="8">
        <f t="shared" si="1"/>
        <v>0</v>
      </c>
      <c r="J58" s="35"/>
      <c r="K58" s="35"/>
      <c r="L58" s="35"/>
      <c r="M58" s="35"/>
      <c r="N58" s="32" t="e">
        <f>IF(H58=Aug!$E$2,"N",IF(AND(COUNTIF(B:B,B58)=1,D58&gt;14),"Y","N"))</f>
        <v>#N/A</v>
      </c>
      <c r="O58" s="55" t="str">
        <f>IF(COUNT(Aug[[#This Row],[Date]])&gt;0,IF(Aug[[#This Row],[Date]]&gt;14,"Yes","No"),"N/A")</f>
        <v>N/A</v>
      </c>
      <c r="P58" s="55"/>
      <c r="Q58" s="5">
        <f>Relay!A57</f>
        <v>0</v>
      </c>
      <c r="R58" s="5">
        <f>Relay!B57</f>
        <v>56</v>
      </c>
      <c r="S58" s="8">
        <f>IF(Aug[After the 14th?]="No",SUMIF(Aug[SysID],R58,Aug[Pay Amount]),0)+IF(July[After the 14th?]="Yes",SUMIF(July[SysID],R58,July[Pay Amount]),0)</f>
        <v>0</v>
      </c>
      <c r="T58" s="8"/>
      <c r="U58" s="5" t="str">
        <f t="shared" si="2"/>
        <v>N</v>
      </c>
      <c r="X58" s="56"/>
      <c r="Y58" s="56"/>
      <c r="Z58" s="56"/>
      <c r="AA58" s="56"/>
      <c r="AC58" s="56"/>
    </row>
    <row r="59" spans="1:29" x14ac:dyDescent="0.25">
      <c r="A59" s="35"/>
      <c r="B59" s="32" t="e">
        <f>VLOOKUP(A59,Relay!$A$1:$B$50,2,FALSE)</f>
        <v>#N/A</v>
      </c>
      <c r="C59" s="32" t="e">
        <f>VLOOKUP(A59,Relay!$A$2:$C$101,3,FALSE)</f>
        <v>#N/A</v>
      </c>
      <c r="D59" s="39"/>
      <c r="E59" s="35"/>
      <c r="F59" s="58" t="str">
        <f t="shared" si="0"/>
        <v>INS</v>
      </c>
      <c r="G59" s="32" t="e">
        <f>IF(OR(E59="Jeopardy",E59="APP Moonlighting",E59="Differential Pay"),"",Aug[[#This Row],[SysID]])</f>
        <v>#N/A</v>
      </c>
      <c r="H59" s="32" t="e">
        <f>IF(E59="Jeopardy",IF(C59="MD",Relay!$E$7,Relay!$E$8),IF(C59="MD",IF(COUNTIF(G:G,B59)&gt;1,Relay!$E$2,Relay!$E$1),IF(AND(COUNTIF(G:G,B59)&gt;1,COUNTA(A59)&gt;0),Relay!$E$5,Relay!$E$4)))</f>
        <v>#N/A</v>
      </c>
      <c r="I59" s="8">
        <f t="shared" si="1"/>
        <v>0</v>
      </c>
      <c r="J59" s="35"/>
      <c r="K59" s="35"/>
      <c r="L59" s="35"/>
      <c r="M59" s="35"/>
      <c r="N59" s="32" t="e">
        <f>IF(H59=Aug!$E$2,"N",IF(AND(COUNTIF(B:B,B59)=1,D59&gt;14),"Y","N"))</f>
        <v>#N/A</v>
      </c>
      <c r="O59" s="55" t="str">
        <f>IF(COUNT(Aug[[#This Row],[Date]])&gt;0,IF(Aug[[#This Row],[Date]]&gt;14,"Yes","No"),"N/A")</f>
        <v>N/A</v>
      </c>
      <c r="P59" s="55"/>
      <c r="Q59" s="5">
        <f>Relay!A58</f>
        <v>0</v>
      </c>
      <c r="R59" s="5">
        <f>Relay!B58</f>
        <v>57</v>
      </c>
      <c r="S59" s="8">
        <f>IF(Aug[After the 14th?]="No",SUMIF(Aug[SysID],R59,Aug[Pay Amount]),0)+IF(July[After the 14th?]="Yes",SUMIF(July[SysID],R59,July[Pay Amount]),0)</f>
        <v>0</v>
      </c>
      <c r="T59" s="8"/>
      <c r="U59" s="5" t="str">
        <f t="shared" si="2"/>
        <v>N</v>
      </c>
      <c r="X59" s="56"/>
      <c r="Y59" s="56"/>
      <c r="Z59" s="56"/>
      <c r="AA59" s="56"/>
      <c r="AC59" s="56"/>
    </row>
    <row r="60" spans="1:29" x14ac:dyDescent="0.25">
      <c r="A60" s="35"/>
      <c r="B60" s="32" t="e">
        <f>VLOOKUP(A60,Relay!$A$1:$B$50,2,FALSE)</f>
        <v>#N/A</v>
      </c>
      <c r="C60" s="32" t="e">
        <f>VLOOKUP(A60,Relay!$A$2:$C$101,3,FALSE)</f>
        <v>#N/A</v>
      </c>
      <c r="D60" s="39"/>
      <c r="E60" s="35"/>
      <c r="F60" s="58" t="str">
        <f t="shared" si="0"/>
        <v>INS</v>
      </c>
      <c r="G60" s="32" t="e">
        <f>IF(OR(E60="Jeopardy",E60="APP Moonlighting",E60="Differential Pay"),"",Aug[[#This Row],[SysID]])</f>
        <v>#N/A</v>
      </c>
      <c r="H60" s="32" t="e">
        <f>IF(E60="Jeopardy",IF(C60="MD",Relay!$E$7,Relay!$E$8),IF(C60="MD",IF(COUNTIF(G:G,B60)&gt;1,Relay!$E$2,Relay!$E$1),IF(AND(COUNTIF(G:G,B60)&gt;1,COUNTA(A60)&gt;0),Relay!$E$5,Relay!$E$4)))</f>
        <v>#N/A</v>
      </c>
      <c r="I60" s="8">
        <f t="shared" si="1"/>
        <v>0</v>
      </c>
      <c r="J60" s="35"/>
      <c r="K60" s="35"/>
      <c r="L60" s="35"/>
      <c r="M60" s="35"/>
      <c r="N60" s="32" t="e">
        <f>IF(H60=Aug!$E$2,"N",IF(AND(COUNTIF(B:B,B60)=1,D60&gt;14),"Y","N"))</f>
        <v>#N/A</v>
      </c>
      <c r="O60" s="55" t="str">
        <f>IF(COUNT(Aug[[#This Row],[Date]])&gt;0,IF(Aug[[#This Row],[Date]]&gt;14,"Yes","No"),"N/A")</f>
        <v>N/A</v>
      </c>
      <c r="P60" s="55"/>
      <c r="Q60" s="5">
        <f>Relay!A59</f>
        <v>0</v>
      </c>
      <c r="R60" s="5">
        <f>Relay!B59</f>
        <v>58</v>
      </c>
      <c r="S60" s="8">
        <f>IF(Aug[After the 14th?]="No",SUMIF(Aug[SysID],R60,Aug[Pay Amount]),0)+IF(July[After the 14th?]="Yes",SUMIF(July[SysID],R60,July[Pay Amount]),0)</f>
        <v>0</v>
      </c>
      <c r="T60" s="8"/>
      <c r="U60" s="5" t="str">
        <f t="shared" si="2"/>
        <v>N</v>
      </c>
      <c r="X60" s="56"/>
      <c r="Y60" s="56"/>
      <c r="Z60" s="56"/>
      <c r="AA60" s="56"/>
      <c r="AC60" s="56"/>
    </row>
    <row r="61" spans="1:29" x14ac:dyDescent="0.25">
      <c r="A61" s="35"/>
      <c r="B61" s="32" t="e">
        <f>VLOOKUP(A61,Relay!$A$1:$B$50,2,FALSE)</f>
        <v>#N/A</v>
      </c>
      <c r="C61" s="32" t="e">
        <f>VLOOKUP(A61,Relay!$A$2:$C$101,3,FALSE)</f>
        <v>#N/A</v>
      </c>
      <c r="D61" s="39"/>
      <c r="E61" s="35"/>
      <c r="F61" s="58" t="str">
        <f t="shared" si="0"/>
        <v>INS</v>
      </c>
      <c r="G61" s="32" t="e">
        <f>IF(OR(E61="Jeopardy",E61="APP Moonlighting",E61="Differential Pay"),"",Aug[[#This Row],[SysID]])</f>
        <v>#N/A</v>
      </c>
      <c r="H61" s="32" t="e">
        <f>IF(E61="Jeopardy",IF(C61="MD",Relay!$E$7,Relay!$E$8),IF(C61="MD",IF(COUNTIF(G:G,B61)&gt;1,Relay!$E$2,Relay!$E$1),IF(AND(COUNTIF(G:G,B61)&gt;1,COUNTA(A61)&gt;0),Relay!$E$5,Relay!$E$4)))</f>
        <v>#N/A</v>
      </c>
      <c r="I61" s="8">
        <f t="shared" si="1"/>
        <v>0</v>
      </c>
      <c r="J61" s="35"/>
      <c r="K61" s="35"/>
      <c r="L61" s="35"/>
      <c r="M61" s="35"/>
      <c r="N61" s="32" t="e">
        <f>IF(H61=Aug!$E$2,"N",IF(AND(COUNTIF(B:B,B61)=1,D61&gt;14),"Y","N"))</f>
        <v>#N/A</v>
      </c>
      <c r="O61" s="55" t="str">
        <f>IF(COUNT(Aug[[#This Row],[Date]])&gt;0,IF(Aug[[#This Row],[Date]]&gt;14,"Yes","No"),"N/A")</f>
        <v>N/A</v>
      </c>
      <c r="P61" s="55"/>
      <c r="Q61" s="5">
        <f>Relay!A60</f>
        <v>0</v>
      </c>
      <c r="R61" s="5">
        <f>Relay!B60</f>
        <v>59</v>
      </c>
      <c r="S61" s="8">
        <f>IF(Aug[After the 14th?]="No",SUMIF(Aug[SysID],R61,Aug[Pay Amount]),0)+IF(July[After the 14th?]="Yes",SUMIF(July[SysID],R61,July[Pay Amount]),0)</f>
        <v>0</v>
      </c>
      <c r="T61" s="8"/>
      <c r="U61" s="5" t="str">
        <f t="shared" si="2"/>
        <v>N</v>
      </c>
      <c r="X61" s="56"/>
      <c r="Y61" s="56"/>
      <c r="Z61" s="56"/>
      <c r="AA61" s="56"/>
      <c r="AC61" s="56"/>
    </row>
    <row r="62" spans="1:29" x14ac:dyDescent="0.25">
      <c r="A62" s="35"/>
      <c r="B62" s="32" t="e">
        <f>VLOOKUP(A62,Relay!$A$1:$B$50,2,FALSE)</f>
        <v>#N/A</v>
      </c>
      <c r="C62" s="32" t="e">
        <f>VLOOKUP(A62,Relay!$A$2:$C$101,3,FALSE)</f>
        <v>#N/A</v>
      </c>
      <c r="D62" s="39"/>
      <c r="E62" s="35"/>
      <c r="F62" s="58" t="str">
        <f t="shared" si="0"/>
        <v>INS</v>
      </c>
      <c r="G62" s="32" t="e">
        <f>IF(OR(E62="Jeopardy",E62="APP Moonlighting",E62="Differential Pay"),"",Aug[[#This Row],[SysID]])</f>
        <v>#N/A</v>
      </c>
      <c r="H62" s="32" t="e">
        <f>IF(E62="Jeopardy",IF(C62="MD",Relay!$E$7,Relay!$E$8),IF(C62="MD",IF(COUNTIF(G:G,B62)&gt;1,Relay!$E$2,Relay!$E$1),IF(AND(COUNTIF(G:G,B62)&gt;1,COUNTA(A62)&gt;0),Relay!$E$5,Relay!$E$4)))</f>
        <v>#N/A</v>
      </c>
      <c r="I62" s="8">
        <f t="shared" si="1"/>
        <v>0</v>
      </c>
      <c r="J62" s="35"/>
      <c r="K62" s="35"/>
      <c r="L62" s="35"/>
      <c r="M62" s="35"/>
      <c r="N62" s="32" t="e">
        <f>IF(H62=Aug!$E$2,"N",IF(AND(COUNTIF(B:B,B62)=1,D62&gt;14),"Y","N"))</f>
        <v>#N/A</v>
      </c>
      <c r="O62" s="55" t="str">
        <f>IF(COUNT(Aug[[#This Row],[Date]])&gt;0,IF(Aug[[#This Row],[Date]]&gt;14,"Yes","No"),"N/A")</f>
        <v>N/A</v>
      </c>
      <c r="P62" s="55"/>
      <c r="Q62" s="5">
        <f>Relay!A61</f>
        <v>0</v>
      </c>
      <c r="R62" s="5">
        <f>Relay!B61</f>
        <v>60</v>
      </c>
      <c r="S62" s="8">
        <f>IF(Aug[After the 14th?]="No",SUMIF(Aug[SysID],R62,Aug[Pay Amount]),0)+IF(July[After the 14th?]="Yes",SUMIF(July[SysID],R62,July[Pay Amount]),0)</f>
        <v>0</v>
      </c>
      <c r="T62" s="8"/>
      <c r="U62" s="5" t="str">
        <f t="shared" si="2"/>
        <v>N</v>
      </c>
      <c r="X62" s="56"/>
      <c r="Y62" s="56"/>
      <c r="Z62" s="56"/>
      <c r="AA62" s="56"/>
      <c r="AC62" s="56"/>
    </row>
    <row r="63" spans="1:29" x14ac:dyDescent="0.25">
      <c r="A63" s="35"/>
      <c r="B63" s="32" t="e">
        <f>VLOOKUP(A63,Relay!$A$1:$B$50,2,FALSE)</f>
        <v>#N/A</v>
      </c>
      <c r="C63" s="32" t="e">
        <f>VLOOKUP(A63,Relay!$A$2:$C$101,3,FALSE)</f>
        <v>#N/A</v>
      </c>
      <c r="D63" s="39"/>
      <c r="E63" s="35"/>
      <c r="F63" s="58" t="str">
        <f t="shared" si="0"/>
        <v>INS</v>
      </c>
      <c r="G63" s="32" t="e">
        <f>IF(OR(E63="Jeopardy",E63="APP Moonlighting",E63="Differential Pay"),"",Aug[[#This Row],[SysID]])</f>
        <v>#N/A</v>
      </c>
      <c r="H63" s="32" t="e">
        <f>IF(E63="Jeopardy",IF(C63="MD",Relay!$E$7,Relay!$E$8),IF(C63="MD",IF(COUNTIF(G:G,B63)&gt;1,Relay!$E$2,Relay!$E$1),IF(AND(COUNTIF(G:G,B63)&gt;1,COUNTA(A63)&gt;0),Relay!$E$5,Relay!$E$4)))</f>
        <v>#N/A</v>
      </c>
      <c r="I63" s="8">
        <f t="shared" si="1"/>
        <v>0</v>
      </c>
      <c r="J63" s="35"/>
      <c r="K63" s="35"/>
      <c r="L63" s="35"/>
      <c r="M63" s="35"/>
      <c r="N63" s="32" t="e">
        <f>IF(H63=Aug!$E$2,"N",IF(AND(COUNTIF(B:B,B63)=1,D63&gt;14),"Y","N"))</f>
        <v>#N/A</v>
      </c>
      <c r="O63" s="55" t="str">
        <f>IF(COUNT(Aug[[#This Row],[Date]])&gt;0,IF(Aug[[#This Row],[Date]]&gt;14,"Yes","No"),"N/A")</f>
        <v>N/A</v>
      </c>
      <c r="P63" s="55"/>
      <c r="Q63" s="5">
        <f>Relay!A62</f>
        <v>0</v>
      </c>
      <c r="R63" s="5">
        <f>Relay!B62</f>
        <v>61</v>
      </c>
      <c r="S63" s="8">
        <f>IF(Aug[After the 14th?]="No",SUMIF(Aug[SysID],R63,Aug[Pay Amount]),0)+IF(July[After the 14th?]="Yes",SUMIF(July[SysID],R63,July[Pay Amount]),0)</f>
        <v>0</v>
      </c>
      <c r="T63" s="8"/>
      <c r="U63" s="5" t="str">
        <f t="shared" si="2"/>
        <v>N</v>
      </c>
      <c r="X63" s="56"/>
      <c r="Y63" s="56"/>
      <c r="Z63" s="56"/>
      <c r="AA63" s="56"/>
      <c r="AC63" s="56"/>
    </row>
    <row r="64" spans="1:29" x14ac:dyDescent="0.25">
      <c r="A64" s="35"/>
      <c r="B64" s="32" t="e">
        <f>VLOOKUP(A64,Relay!$A$1:$B$50,2,FALSE)</f>
        <v>#N/A</v>
      </c>
      <c r="C64" s="32" t="e">
        <f>VLOOKUP(A64,Relay!$A$2:$C$101,3,FALSE)</f>
        <v>#N/A</v>
      </c>
      <c r="D64" s="39"/>
      <c r="E64" s="35"/>
      <c r="F64" s="58" t="str">
        <f t="shared" si="0"/>
        <v>INS</v>
      </c>
      <c r="G64" s="32" t="e">
        <f>IF(OR(E64="Jeopardy",E64="APP Moonlighting",E64="Differential Pay"),"",Aug[[#This Row],[SysID]])</f>
        <v>#N/A</v>
      </c>
      <c r="H64" s="32" t="e">
        <f>IF(E64="Jeopardy",IF(C64="MD",Relay!$E$7,Relay!$E$8),IF(C64="MD",IF(COUNTIF(G:G,B64)&gt;1,Relay!$E$2,Relay!$E$1),IF(AND(COUNTIF(G:G,B64)&gt;1,COUNTA(A64)&gt;0),Relay!$E$5,Relay!$E$4)))</f>
        <v>#N/A</v>
      </c>
      <c r="I64" s="8">
        <f t="shared" si="1"/>
        <v>0</v>
      </c>
      <c r="J64" s="35"/>
      <c r="K64" s="35"/>
      <c r="L64" s="35"/>
      <c r="M64" s="35"/>
      <c r="N64" s="32" t="e">
        <f>IF(H64=Aug!$E$2,"N",IF(AND(COUNTIF(B:B,B64)=1,D64&gt;14),"Y","N"))</f>
        <v>#N/A</v>
      </c>
      <c r="O64" s="55" t="str">
        <f>IF(COUNT(Aug[[#This Row],[Date]])&gt;0,IF(Aug[[#This Row],[Date]]&gt;14,"Yes","No"),"N/A")</f>
        <v>N/A</v>
      </c>
      <c r="P64" s="55"/>
      <c r="Q64" s="5">
        <f>Relay!A63</f>
        <v>0</v>
      </c>
      <c r="R64" s="5">
        <f>Relay!B63</f>
        <v>62</v>
      </c>
      <c r="S64" s="8">
        <f>IF(Aug[After the 14th?]="No",SUMIF(Aug[SysID],R64,Aug[Pay Amount]),0)+IF(July[After the 14th?]="Yes",SUMIF(July[SysID],R64,July[Pay Amount]),0)</f>
        <v>0</v>
      </c>
      <c r="T64" s="8"/>
      <c r="U64" s="5" t="str">
        <f t="shared" si="2"/>
        <v>N</v>
      </c>
      <c r="X64" s="56"/>
      <c r="Y64" s="56"/>
      <c r="Z64" s="56"/>
      <c r="AA64" s="56"/>
      <c r="AC64" s="56"/>
    </row>
    <row r="65" spans="1:29" x14ac:dyDescent="0.25">
      <c r="A65" s="35"/>
      <c r="B65" s="32" t="e">
        <f>VLOOKUP(A65,Relay!$A$1:$B$50,2,FALSE)</f>
        <v>#N/A</v>
      </c>
      <c r="C65" s="32" t="e">
        <f>VLOOKUP(A65,Relay!$A$2:$C$101,3,FALSE)</f>
        <v>#N/A</v>
      </c>
      <c r="D65" s="39"/>
      <c r="E65" s="35"/>
      <c r="F65" s="58" t="str">
        <f t="shared" si="0"/>
        <v>INS</v>
      </c>
      <c r="G65" s="32" t="e">
        <f>IF(OR(E65="Jeopardy",E65="APP Moonlighting",E65="Differential Pay"),"",Aug[[#This Row],[SysID]])</f>
        <v>#N/A</v>
      </c>
      <c r="H65" s="32" t="e">
        <f>IF(E65="Jeopardy",IF(C65="MD",Relay!$E$7,Relay!$E$8),IF(C65="MD",IF(COUNTIF(G:G,B65)&gt;1,Relay!$E$2,Relay!$E$1),IF(AND(COUNTIF(G:G,B65)&gt;1,COUNTA(A65)&gt;0),Relay!$E$5,Relay!$E$4)))</f>
        <v>#N/A</v>
      </c>
      <c r="I65" s="8">
        <f t="shared" si="1"/>
        <v>0</v>
      </c>
      <c r="J65" s="35"/>
      <c r="K65" s="35"/>
      <c r="L65" s="35"/>
      <c r="M65" s="35"/>
      <c r="N65" s="32" t="e">
        <f>IF(H65=Aug!$E$2,"N",IF(AND(COUNTIF(B:B,B65)=1,D65&gt;14),"Y","N"))</f>
        <v>#N/A</v>
      </c>
      <c r="O65" s="55" t="str">
        <f>IF(COUNT(Aug[[#This Row],[Date]])&gt;0,IF(Aug[[#This Row],[Date]]&gt;14,"Yes","No"),"N/A")</f>
        <v>N/A</v>
      </c>
      <c r="P65" s="55"/>
      <c r="Q65" s="5">
        <f>Relay!A64</f>
        <v>0</v>
      </c>
      <c r="R65" s="5">
        <f>Relay!B64</f>
        <v>63</v>
      </c>
      <c r="S65" s="8">
        <f>IF(Aug[After the 14th?]="No",SUMIF(Aug[SysID],R65,Aug[Pay Amount]),0)+IF(July[After the 14th?]="Yes",SUMIF(July[SysID],R65,July[Pay Amount]),0)</f>
        <v>0</v>
      </c>
      <c r="T65" s="8"/>
      <c r="U65" s="5" t="str">
        <f t="shared" si="2"/>
        <v>N</v>
      </c>
      <c r="X65" s="56"/>
      <c r="Y65" s="56"/>
      <c r="Z65" s="56"/>
      <c r="AA65" s="56"/>
      <c r="AC65" s="56"/>
    </row>
    <row r="66" spans="1:29" x14ac:dyDescent="0.25">
      <c r="A66" s="35"/>
      <c r="B66" s="32" t="e">
        <f>VLOOKUP(A66,Relay!$A$1:$B$50,2,FALSE)</f>
        <v>#N/A</v>
      </c>
      <c r="C66" s="32" t="e">
        <f>VLOOKUP(A66,Relay!$A$2:$C$101,3,FALSE)</f>
        <v>#N/A</v>
      </c>
      <c r="D66" s="39"/>
      <c r="E66" s="35"/>
      <c r="F66" s="58" t="str">
        <f t="shared" si="0"/>
        <v>INS</v>
      </c>
      <c r="G66" s="32" t="e">
        <f>IF(OR(E66="Jeopardy",E66="APP Moonlighting",E66="Differential Pay"),"",Aug[[#This Row],[SysID]])</f>
        <v>#N/A</v>
      </c>
      <c r="H66" s="32" t="e">
        <f>IF(E66="Jeopardy",IF(C66="MD",Relay!$E$7,Relay!$E$8),IF(C66="MD",IF(COUNTIF(G:G,B66)&gt;1,Relay!$E$2,Relay!$E$1),IF(AND(COUNTIF(G:G,B66)&gt;1,COUNTA(A66)&gt;0),Relay!$E$5,Relay!$E$4)))</f>
        <v>#N/A</v>
      </c>
      <c r="I66" s="8">
        <f t="shared" si="1"/>
        <v>0</v>
      </c>
      <c r="J66" s="35"/>
      <c r="K66" s="35"/>
      <c r="L66" s="35"/>
      <c r="M66" s="35"/>
      <c r="N66" s="32" t="e">
        <f>IF(H66=Aug!$E$2,"N",IF(AND(COUNTIF(B:B,B66)=1,D66&gt;14),"Y","N"))</f>
        <v>#N/A</v>
      </c>
      <c r="O66" s="55" t="str">
        <f>IF(COUNT(Aug[[#This Row],[Date]])&gt;0,IF(Aug[[#This Row],[Date]]&gt;14,"Yes","No"),"N/A")</f>
        <v>N/A</v>
      </c>
      <c r="P66" s="55"/>
      <c r="Q66" s="5">
        <f>Relay!A65</f>
        <v>0</v>
      </c>
      <c r="R66" s="5">
        <f>Relay!B65</f>
        <v>64</v>
      </c>
      <c r="S66" s="8">
        <f>IF(Aug[After the 14th?]="No",SUMIF(Aug[SysID],R66,Aug[Pay Amount]),0)+IF(July[After the 14th?]="Yes",SUMIF(July[SysID],R66,July[Pay Amount]),0)</f>
        <v>0</v>
      </c>
      <c r="T66" s="8"/>
      <c r="U66" s="5" t="str">
        <f t="shared" si="2"/>
        <v>N</v>
      </c>
      <c r="X66" s="56"/>
      <c r="Y66" s="56"/>
      <c r="Z66" s="56"/>
      <c r="AA66" s="56"/>
      <c r="AC66" s="56"/>
    </row>
    <row r="67" spans="1:29" x14ac:dyDescent="0.25">
      <c r="A67" s="35"/>
      <c r="B67" s="32" t="e">
        <f>VLOOKUP(A67,Relay!$A$1:$B$50,2,FALSE)</f>
        <v>#N/A</v>
      </c>
      <c r="C67" s="32" t="e">
        <f>VLOOKUP(A67,Relay!$A$2:$C$101,3,FALSE)</f>
        <v>#N/A</v>
      </c>
      <c r="D67" s="39"/>
      <c r="E67" s="35"/>
      <c r="F67" s="58" t="str">
        <f t="shared" ref="F67:F103" si="3">IF(E67="Moonlighting", 12, "INS")</f>
        <v>INS</v>
      </c>
      <c r="G67" s="32" t="e">
        <f>IF(OR(E67="Jeopardy",E67="APP Moonlighting",E67="Differential Pay"),"",Aug[[#This Row],[SysID]])</f>
        <v>#N/A</v>
      </c>
      <c r="H67" s="32" t="e">
        <f>IF(E67="Jeopardy",IF(C67="MD",Relay!$E$7,Relay!$E$8),IF(C67="MD",IF(COUNTIF(G:G,B67)&gt;1,Relay!$E$2,Relay!$E$1),IF(AND(COUNTIF(G:G,B67)&gt;1,COUNTA(A67)&gt;0),Relay!$E$5,Relay!$E$4)))</f>
        <v>#N/A</v>
      </c>
      <c r="I67" s="8">
        <f t="shared" ref="I67:I103" si="4">IF(COUNTA(A67)&gt;0,H67*F67,0)</f>
        <v>0</v>
      </c>
      <c r="J67" s="35"/>
      <c r="K67" s="35"/>
      <c r="L67" s="35"/>
      <c r="M67" s="35"/>
      <c r="N67" s="32" t="e">
        <f>IF(H67=Aug!$E$2,"N",IF(AND(COUNTIF(B:B,B67)=1,D67&gt;14),"Y","N"))</f>
        <v>#N/A</v>
      </c>
      <c r="O67" s="55" t="str">
        <f>IF(COUNT(Aug[[#This Row],[Date]])&gt;0,IF(Aug[[#This Row],[Date]]&gt;14,"Yes","No"),"N/A")</f>
        <v>N/A</v>
      </c>
      <c r="P67" s="55"/>
      <c r="Q67" s="5">
        <f>Relay!A66</f>
        <v>0</v>
      </c>
      <c r="R67" s="5">
        <f>Relay!B66</f>
        <v>65</v>
      </c>
      <c r="S67" s="8">
        <f>IF(Aug[After the 14th?]="No",SUMIF(Aug[SysID],R67,Aug[Pay Amount]),0)+IF(July[After the 14th?]="Yes",SUMIF(July[SysID],R67,July[Pay Amount]),0)</f>
        <v>0</v>
      </c>
      <c r="T67" s="8"/>
      <c r="U67" s="5" t="str">
        <f t="shared" ref="U67:U103" si="5">IF(S67=T67,"N","Y")</f>
        <v>N</v>
      </c>
      <c r="X67" s="56"/>
      <c r="Y67" s="56"/>
      <c r="Z67" s="56"/>
      <c r="AA67" s="56"/>
      <c r="AC67" s="56"/>
    </row>
    <row r="68" spans="1:29" x14ac:dyDescent="0.25">
      <c r="A68" s="35"/>
      <c r="B68" s="32" t="e">
        <f>VLOOKUP(A68,Relay!$A$1:$B$50,2,FALSE)</f>
        <v>#N/A</v>
      </c>
      <c r="C68" s="32" t="e">
        <f>VLOOKUP(A68,Relay!$A$2:$C$101,3,FALSE)</f>
        <v>#N/A</v>
      </c>
      <c r="D68" s="39"/>
      <c r="E68" s="35"/>
      <c r="F68" s="58" t="str">
        <f t="shared" si="3"/>
        <v>INS</v>
      </c>
      <c r="G68" s="32" t="e">
        <f>IF(OR(E68="Jeopardy",E68="APP Moonlighting",E68="Differential Pay"),"",Aug[[#This Row],[SysID]])</f>
        <v>#N/A</v>
      </c>
      <c r="H68" s="32" t="e">
        <f>IF(E68="Jeopardy",IF(C68="MD",Relay!$E$7,Relay!$E$8),IF(C68="MD",IF(COUNTIF(G:G,B68)&gt;1,Relay!$E$2,Relay!$E$1),IF(AND(COUNTIF(G:G,B68)&gt;1,COUNTA(A68)&gt;0),Relay!$E$5,Relay!$E$4)))</f>
        <v>#N/A</v>
      </c>
      <c r="I68" s="8">
        <f t="shared" si="4"/>
        <v>0</v>
      </c>
      <c r="J68" s="35"/>
      <c r="K68" s="35"/>
      <c r="L68" s="35"/>
      <c r="M68" s="35"/>
      <c r="N68" s="32" t="e">
        <f>IF(H68=Aug!$E$2,"N",IF(AND(COUNTIF(B:B,B68)=1,D68&gt;14),"Y","N"))</f>
        <v>#N/A</v>
      </c>
      <c r="O68" s="55" t="str">
        <f>IF(COUNT(Aug[[#This Row],[Date]])&gt;0,IF(Aug[[#This Row],[Date]]&gt;14,"Yes","No"),"N/A")</f>
        <v>N/A</v>
      </c>
      <c r="P68" s="55"/>
      <c r="Q68" s="5">
        <f>Relay!A67</f>
        <v>0</v>
      </c>
      <c r="R68" s="5">
        <f>Relay!B67</f>
        <v>66</v>
      </c>
      <c r="S68" s="8">
        <f>IF(Aug[After the 14th?]="No",SUMIF(Aug[SysID],R68,Aug[Pay Amount]),0)+IF(July[After the 14th?]="Yes",SUMIF(July[SysID],R68,July[Pay Amount]),0)</f>
        <v>0</v>
      </c>
      <c r="T68" s="8"/>
      <c r="U68" s="5" t="str">
        <f t="shared" si="5"/>
        <v>N</v>
      </c>
      <c r="X68" s="56"/>
      <c r="Y68" s="56"/>
      <c r="Z68" s="56"/>
      <c r="AA68" s="56"/>
      <c r="AC68" s="56"/>
    </row>
    <row r="69" spans="1:29" x14ac:dyDescent="0.25">
      <c r="A69" s="35"/>
      <c r="B69" s="32" t="e">
        <f>VLOOKUP(A69,Relay!$A$1:$B$50,2,FALSE)</f>
        <v>#N/A</v>
      </c>
      <c r="C69" s="32" t="e">
        <f>VLOOKUP(A69,Relay!$A$2:$C$101,3,FALSE)</f>
        <v>#N/A</v>
      </c>
      <c r="D69" s="39"/>
      <c r="E69" s="35"/>
      <c r="F69" s="58" t="str">
        <f t="shared" si="3"/>
        <v>INS</v>
      </c>
      <c r="G69" s="32" t="e">
        <f>IF(OR(E69="Jeopardy",E69="APP Moonlighting",E69="Differential Pay"),"",Aug[[#This Row],[SysID]])</f>
        <v>#N/A</v>
      </c>
      <c r="H69" s="32" t="e">
        <f>IF(E69="Jeopardy",IF(C69="MD",Relay!$E$7,Relay!$E$8),IF(C69="MD",IF(COUNTIF(G:G,B69)&gt;1,Relay!$E$2,Relay!$E$1),IF(AND(COUNTIF(G:G,B69)&gt;1,COUNTA(A69)&gt;0),Relay!$E$5,Relay!$E$4)))</f>
        <v>#N/A</v>
      </c>
      <c r="I69" s="8">
        <f t="shared" si="4"/>
        <v>0</v>
      </c>
      <c r="J69" s="35"/>
      <c r="K69" s="35"/>
      <c r="L69" s="35"/>
      <c r="M69" s="35"/>
      <c r="N69" s="32" t="e">
        <f>IF(H69=Aug!$E$2,"N",IF(AND(COUNTIF(B:B,B69)=1,D69&gt;14),"Y","N"))</f>
        <v>#N/A</v>
      </c>
      <c r="O69" s="55" t="str">
        <f>IF(COUNT(Aug[[#This Row],[Date]])&gt;0,IF(Aug[[#This Row],[Date]]&gt;14,"Yes","No"),"N/A")</f>
        <v>N/A</v>
      </c>
      <c r="P69" s="55"/>
      <c r="Q69" s="5">
        <f>Relay!A68</f>
        <v>0</v>
      </c>
      <c r="R69" s="5">
        <f>Relay!B68</f>
        <v>67</v>
      </c>
      <c r="S69" s="8">
        <f>IF(Aug[After the 14th?]="No",SUMIF(Aug[SysID],R69,Aug[Pay Amount]),0)+IF(July[After the 14th?]="Yes",SUMIF(July[SysID],R69,July[Pay Amount]),0)</f>
        <v>0</v>
      </c>
      <c r="T69" s="8"/>
      <c r="U69" s="5" t="str">
        <f t="shared" si="5"/>
        <v>N</v>
      </c>
      <c r="X69" s="56"/>
      <c r="Y69" s="56"/>
      <c r="Z69" s="56"/>
      <c r="AA69" s="56"/>
      <c r="AC69" s="56"/>
    </row>
    <row r="70" spans="1:29" x14ac:dyDescent="0.25">
      <c r="A70" s="35"/>
      <c r="B70" s="32" t="e">
        <f>VLOOKUP(A70,Relay!$A$1:$B$50,2,FALSE)</f>
        <v>#N/A</v>
      </c>
      <c r="C70" s="32" t="e">
        <f>VLOOKUP(A70,Relay!$A$2:$C$101,3,FALSE)</f>
        <v>#N/A</v>
      </c>
      <c r="D70" s="39"/>
      <c r="E70" s="35"/>
      <c r="F70" s="58" t="str">
        <f t="shared" si="3"/>
        <v>INS</v>
      </c>
      <c r="G70" s="32" t="e">
        <f>IF(OR(E70="Jeopardy",E70="APP Moonlighting",E70="Differential Pay"),"",Aug[[#This Row],[SysID]])</f>
        <v>#N/A</v>
      </c>
      <c r="H70" s="32" t="e">
        <f>IF(E70="Jeopardy",IF(C70="MD",Relay!$E$7,Relay!$E$8),IF(C70="MD",IF(COUNTIF(G:G,B70)&gt;1,Relay!$E$2,Relay!$E$1),IF(AND(COUNTIF(G:G,B70)&gt;1,COUNTA(A70)&gt;0),Relay!$E$5,Relay!$E$4)))</f>
        <v>#N/A</v>
      </c>
      <c r="I70" s="8">
        <f t="shared" si="4"/>
        <v>0</v>
      </c>
      <c r="J70" s="35"/>
      <c r="K70" s="35"/>
      <c r="L70" s="35"/>
      <c r="M70" s="35"/>
      <c r="N70" s="32" t="e">
        <f>IF(H70=Aug!$E$2,"N",IF(AND(COUNTIF(B:B,B70)=1,D70&gt;14),"Y","N"))</f>
        <v>#N/A</v>
      </c>
      <c r="O70" s="55" t="str">
        <f>IF(COUNT(Aug[[#This Row],[Date]])&gt;0,IF(Aug[[#This Row],[Date]]&gt;14,"Yes","No"),"N/A")</f>
        <v>N/A</v>
      </c>
      <c r="P70" s="55"/>
      <c r="Q70" s="5">
        <f>Relay!A69</f>
        <v>0</v>
      </c>
      <c r="R70" s="5">
        <f>Relay!B69</f>
        <v>68</v>
      </c>
      <c r="S70" s="8">
        <f>IF(Aug[After the 14th?]="No",SUMIF(Aug[SysID],R70,Aug[Pay Amount]),0)+IF(July[After the 14th?]="Yes",SUMIF(July[SysID],R70,July[Pay Amount]),0)</f>
        <v>0</v>
      </c>
      <c r="T70" s="8"/>
      <c r="U70" s="5" t="str">
        <f t="shared" si="5"/>
        <v>N</v>
      </c>
      <c r="X70" s="56"/>
      <c r="Y70" s="56"/>
      <c r="Z70" s="56"/>
      <c r="AA70" s="56"/>
      <c r="AC70" s="56"/>
    </row>
    <row r="71" spans="1:29" x14ac:dyDescent="0.25">
      <c r="A71" s="35"/>
      <c r="B71" s="32" t="e">
        <f>VLOOKUP(A71,Relay!$A$1:$B$50,2,FALSE)</f>
        <v>#N/A</v>
      </c>
      <c r="C71" s="32" t="e">
        <f>VLOOKUP(A71,Relay!$A$2:$C$101,3,FALSE)</f>
        <v>#N/A</v>
      </c>
      <c r="D71" s="39"/>
      <c r="E71" s="35"/>
      <c r="F71" s="58" t="str">
        <f t="shared" si="3"/>
        <v>INS</v>
      </c>
      <c r="G71" s="32" t="e">
        <f>IF(OR(E71="Jeopardy",E71="APP Moonlighting",E71="Differential Pay"),"",Aug[[#This Row],[SysID]])</f>
        <v>#N/A</v>
      </c>
      <c r="H71" s="32" t="e">
        <f>IF(E71="Jeopardy",IF(C71="MD",Relay!$E$7,Relay!$E$8),IF(C71="MD",IF(COUNTIF(G:G,B71)&gt;1,Relay!$E$2,Relay!$E$1),IF(AND(COUNTIF(G:G,B71)&gt;1,COUNTA(A71)&gt;0),Relay!$E$5,Relay!$E$4)))</f>
        <v>#N/A</v>
      </c>
      <c r="I71" s="8">
        <f t="shared" si="4"/>
        <v>0</v>
      </c>
      <c r="J71" s="35"/>
      <c r="K71" s="35"/>
      <c r="L71" s="35"/>
      <c r="M71" s="35"/>
      <c r="N71" s="32" t="e">
        <f>IF(H71=Aug!$E$2,"N",IF(AND(COUNTIF(B:B,B71)=1,D71&gt;14),"Y","N"))</f>
        <v>#N/A</v>
      </c>
      <c r="O71" s="55" t="str">
        <f>IF(COUNT(Aug[[#This Row],[Date]])&gt;0,IF(Aug[[#This Row],[Date]]&gt;14,"Yes","No"),"N/A")</f>
        <v>N/A</v>
      </c>
      <c r="P71" s="55"/>
      <c r="Q71" s="5">
        <f>Relay!A70</f>
        <v>0</v>
      </c>
      <c r="R71" s="5">
        <f>Relay!B70</f>
        <v>69</v>
      </c>
      <c r="S71" s="8">
        <f>IF(Aug[After the 14th?]="No",SUMIF(Aug[SysID],R71,Aug[Pay Amount]),0)+IF(July[After the 14th?]="Yes",SUMIF(July[SysID],R71,July[Pay Amount]),0)</f>
        <v>0</v>
      </c>
      <c r="T71" s="8"/>
      <c r="U71" s="5" t="str">
        <f t="shared" si="5"/>
        <v>N</v>
      </c>
      <c r="X71" s="56"/>
      <c r="Y71" s="56"/>
      <c r="Z71" s="56"/>
      <c r="AA71" s="56"/>
      <c r="AC71" s="56"/>
    </row>
    <row r="72" spans="1:29" x14ac:dyDescent="0.25">
      <c r="A72" s="35"/>
      <c r="B72" s="32" t="e">
        <f>VLOOKUP(A72,Relay!$A$1:$B$50,2,FALSE)</f>
        <v>#N/A</v>
      </c>
      <c r="C72" s="32" t="e">
        <f>VLOOKUP(A72,Relay!$A$2:$C$101,3,FALSE)</f>
        <v>#N/A</v>
      </c>
      <c r="D72" s="39"/>
      <c r="E72" s="35"/>
      <c r="F72" s="58" t="str">
        <f t="shared" si="3"/>
        <v>INS</v>
      </c>
      <c r="G72" s="32" t="e">
        <f>IF(OR(E72="Jeopardy",E72="APP Moonlighting",E72="Differential Pay"),"",Aug[[#This Row],[SysID]])</f>
        <v>#N/A</v>
      </c>
      <c r="H72" s="32" t="e">
        <f>IF(E72="Jeopardy",IF(C72="MD",Relay!$E$7,Relay!$E$8),IF(C72="MD",IF(COUNTIF(G:G,B72)&gt;1,Relay!$E$2,Relay!$E$1),IF(AND(COUNTIF(G:G,B72)&gt;1,COUNTA(A72)&gt;0),Relay!$E$5,Relay!$E$4)))</f>
        <v>#N/A</v>
      </c>
      <c r="I72" s="8">
        <f t="shared" si="4"/>
        <v>0</v>
      </c>
      <c r="J72" s="35"/>
      <c r="K72" s="35"/>
      <c r="L72" s="35"/>
      <c r="M72" s="35"/>
      <c r="N72" s="32" t="e">
        <f>IF(H72=Aug!$E$2,"N",IF(AND(COUNTIF(B:B,B72)=1,D72&gt;14),"Y","N"))</f>
        <v>#N/A</v>
      </c>
      <c r="O72" s="55" t="str">
        <f>IF(COUNT(Aug[[#This Row],[Date]])&gt;0,IF(Aug[[#This Row],[Date]]&gt;14,"Yes","No"),"N/A")</f>
        <v>N/A</v>
      </c>
      <c r="P72" s="55"/>
      <c r="Q72" s="5">
        <f>Relay!A71</f>
        <v>0</v>
      </c>
      <c r="R72" s="5">
        <f>Relay!B71</f>
        <v>70</v>
      </c>
      <c r="S72" s="8">
        <f>IF(Aug[After the 14th?]="No",SUMIF(Aug[SysID],R72,Aug[Pay Amount]),0)+IF(July[After the 14th?]="Yes",SUMIF(July[SysID],R72,July[Pay Amount]),0)</f>
        <v>0</v>
      </c>
      <c r="T72" s="8"/>
      <c r="U72" s="5" t="str">
        <f t="shared" si="5"/>
        <v>N</v>
      </c>
      <c r="X72" s="56"/>
      <c r="Y72" s="56"/>
      <c r="Z72" s="56"/>
      <c r="AA72" s="56"/>
      <c r="AC72" s="56"/>
    </row>
    <row r="73" spans="1:29" x14ac:dyDescent="0.25">
      <c r="A73" s="35"/>
      <c r="B73" s="32" t="e">
        <f>VLOOKUP(A73,Relay!$A$1:$B$50,2,FALSE)</f>
        <v>#N/A</v>
      </c>
      <c r="C73" s="32" t="e">
        <f>VLOOKUP(A73,Relay!$A$2:$C$101,3,FALSE)</f>
        <v>#N/A</v>
      </c>
      <c r="D73" s="39"/>
      <c r="E73" s="35"/>
      <c r="F73" s="58" t="str">
        <f t="shared" si="3"/>
        <v>INS</v>
      </c>
      <c r="G73" s="32" t="e">
        <f>IF(OR(E73="Jeopardy",E73="APP Moonlighting",E73="Differential Pay"),"",Aug[[#This Row],[SysID]])</f>
        <v>#N/A</v>
      </c>
      <c r="H73" s="32" t="e">
        <f>IF(E73="Jeopardy",IF(C73="MD",Relay!$E$7,Relay!$E$8),IF(C73="MD",IF(COUNTIF(G:G,B73)&gt;1,Relay!$E$2,Relay!$E$1),IF(AND(COUNTIF(G:G,B73)&gt;1,COUNTA(A73)&gt;0),Relay!$E$5,Relay!$E$4)))</f>
        <v>#N/A</v>
      </c>
      <c r="I73" s="8">
        <f t="shared" si="4"/>
        <v>0</v>
      </c>
      <c r="J73" s="35"/>
      <c r="K73" s="35"/>
      <c r="L73" s="35"/>
      <c r="M73" s="35"/>
      <c r="N73" s="32" t="e">
        <f>IF(H73=Aug!$E$2,"N",IF(AND(COUNTIF(B:B,B73)=1,D73&gt;14),"Y","N"))</f>
        <v>#N/A</v>
      </c>
      <c r="O73" s="55" t="str">
        <f>IF(COUNT(Aug[[#This Row],[Date]])&gt;0,IF(Aug[[#This Row],[Date]]&gt;14,"Yes","No"),"N/A")</f>
        <v>N/A</v>
      </c>
      <c r="P73" s="55"/>
      <c r="Q73" s="5">
        <f>Relay!A72</f>
        <v>0</v>
      </c>
      <c r="R73" s="5">
        <f>Relay!B72</f>
        <v>71</v>
      </c>
      <c r="S73" s="8">
        <f>IF(Aug[After the 14th?]="No",SUMIF(Aug[SysID],R73,Aug[Pay Amount]),0)+IF(July[After the 14th?]="Yes",SUMIF(July[SysID],R73,July[Pay Amount]),0)</f>
        <v>0</v>
      </c>
      <c r="T73" s="8"/>
      <c r="U73" s="5" t="str">
        <f t="shared" si="5"/>
        <v>N</v>
      </c>
      <c r="X73" s="56"/>
      <c r="Y73" s="56"/>
      <c r="Z73" s="56"/>
      <c r="AA73" s="56"/>
      <c r="AC73" s="56"/>
    </row>
    <row r="74" spans="1:29" x14ac:dyDescent="0.25">
      <c r="A74" s="35"/>
      <c r="B74" s="32" t="e">
        <f>VLOOKUP(A74,Relay!$A$1:$B$50,2,FALSE)</f>
        <v>#N/A</v>
      </c>
      <c r="C74" s="32" t="e">
        <f>VLOOKUP(A74,Relay!$A$2:$C$101,3,FALSE)</f>
        <v>#N/A</v>
      </c>
      <c r="D74" s="39"/>
      <c r="E74" s="35"/>
      <c r="F74" s="58" t="str">
        <f t="shared" si="3"/>
        <v>INS</v>
      </c>
      <c r="G74" s="32" t="e">
        <f>IF(OR(E74="Jeopardy",E74="APP Moonlighting",E74="Differential Pay"),"",Aug[[#This Row],[SysID]])</f>
        <v>#N/A</v>
      </c>
      <c r="H74" s="32" t="e">
        <f>IF(E74="Jeopardy",IF(C74="MD",Relay!$E$7,Relay!$E$8),IF(C74="MD",IF(COUNTIF(G:G,B74)&gt;1,Relay!$E$2,Relay!$E$1),IF(AND(COUNTIF(G:G,B74)&gt;1,COUNTA(A74)&gt;0),Relay!$E$5,Relay!$E$4)))</f>
        <v>#N/A</v>
      </c>
      <c r="I74" s="8">
        <f t="shared" si="4"/>
        <v>0</v>
      </c>
      <c r="J74" s="35"/>
      <c r="K74" s="35"/>
      <c r="L74" s="35"/>
      <c r="M74" s="35"/>
      <c r="N74" s="32" t="e">
        <f>IF(H74=Aug!$E$2,"N",IF(AND(COUNTIF(B:B,B74)=1,D74&gt;14),"Y","N"))</f>
        <v>#N/A</v>
      </c>
      <c r="O74" s="55" t="str">
        <f>IF(COUNT(Aug[[#This Row],[Date]])&gt;0,IF(Aug[[#This Row],[Date]]&gt;14,"Yes","No"),"N/A")</f>
        <v>N/A</v>
      </c>
      <c r="P74" s="55"/>
      <c r="Q74" s="5">
        <f>Relay!A73</f>
        <v>0</v>
      </c>
      <c r="R74" s="5">
        <f>Relay!B73</f>
        <v>72</v>
      </c>
      <c r="S74" s="8">
        <f>IF(Aug[After the 14th?]="No",SUMIF(Aug[SysID],R74,Aug[Pay Amount]),0)+IF(July[After the 14th?]="Yes",SUMIF(July[SysID],R74,July[Pay Amount]),0)</f>
        <v>0</v>
      </c>
      <c r="T74" s="8"/>
      <c r="U74" s="5" t="str">
        <f t="shared" si="5"/>
        <v>N</v>
      </c>
      <c r="X74" s="56"/>
      <c r="Y74" s="56"/>
      <c r="Z74" s="56"/>
      <c r="AA74" s="56"/>
      <c r="AC74" s="56"/>
    </row>
    <row r="75" spans="1:29" x14ac:dyDescent="0.25">
      <c r="A75" s="35"/>
      <c r="B75" s="32" t="e">
        <f>VLOOKUP(A75,Relay!$A$1:$B$50,2,FALSE)</f>
        <v>#N/A</v>
      </c>
      <c r="C75" s="32" t="e">
        <f>VLOOKUP(A75,Relay!$A$2:$C$101,3,FALSE)</f>
        <v>#N/A</v>
      </c>
      <c r="D75" s="39"/>
      <c r="E75" s="35"/>
      <c r="F75" s="58" t="str">
        <f t="shared" si="3"/>
        <v>INS</v>
      </c>
      <c r="G75" s="32" t="e">
        <f>IF(OR(E75="Jeopardy",E75="APP Moonlighting",E75="Differential Pay"),"",Aug[[#This Row],[SysID]])</f>
        <v>#N/A</v>
      </c>
      <c r="H75" s="32" t="e">
        <f>IF(E75="Jeopardy",IF(C75="MD",Relay!$E$7,Relay!$E$8),IF(C75="MD",IF(COUNTIF(G:G,B75)&gt;1,Relay!$E$2,Relay!$E$1),IF(AND(COUNTIF(G:G,B75)&gt;1,COUNTA(A75)&gt;0),Relay!$E$5,Relay!$E$4)))</f>
        <v>#N/A</v>
      </c>
      <c r="I75" s="8">
        <f t="shared" si="4"/>
        <v>0</v>
      </c>
      <c r="J75" s="35"/>
      <c r="K75" s="35"/>
      <c r="L75" s="35"/>
      <c r="M75" s="35"/>
      <c r="N75" s="32" t="e">
        <f>IF(H75=Aug!$E$2,"N",IF(AND(COUNTIF(B:B,B75)=1,D75&gt;14),"Y","N"))</f>
        <v>#N/A</v>
      </c>
      <c r="O75" s="55" t="str">
        <f>IF(COUNT(Aug[[#This Row],[Date]])&gt;0,IF(Aug[[#This Row],[Date]]&gt;14,"Yes","No"),"N/A")</f>
        <v>N/A</v>
      </c>
      <c r="P75" s="55"/>
      <c r="Q75" s="5">
        <f>Relay!A74</f>
        <v>0</v>
      </c>
      <c r="R75" s="5">
        <f>Relay!B74</f>
        <v>73</v>
      </c>
      <c r="S75" s="8">
        <f>IF(Aug[After the 14th?]="No",SUMIF(Aug[SysID],R75,Aug[Pay Amount]),0)+IF(July[After the 14th?]="Yes",SUMIF(July[SysID],R75,July[Pay Amount]),0)</f>
        <v>0</v>
      </c>
      <c r="T75" s="8"/>
      <c r="U75" s="5" t="str">
        <f t="shared" si="5"/>
        <v>N</v>
      </c>
      <c r="X75" s="56"/>
      <c r="Y75" s="56"/>
      <c r="Z75" s="56"/>
      <c r="AA75" s="56"/>
      <c r="AC75" s="56"/>
    </row>
    <row r="76" spans="1:29" x14ac:dyDescent="0.25">
      <c r="A76" s="35"/>
      <c r="B76" s="32" t="e">
        <f>VLOOKUP(A76,Relay!$A$1:$B$50,2,FALSE)</f>
        <v>#N/A</v>
      </c>
      <c r="C76" s="32" t="e">
        <f>VLOOKUP(A76,Relay!$A$2:$C$101,3,FALSE)</f>
        <v>#N/A</v>
      </c>
      <c r="D76" s="39"/>
      <c r="E76" s="35"/>
      <c r="F76" s="58" t="str">
        <f t="shared" si="3"/>
        <v>INS</v>
      </c>
      <c r="G76" s="32" t="e">
        <f>IF(OR(E76="Jeopardy",E76="APP Moonlighting",E76="Differential Pay"),"",Aug[[#This Row],[SysID]])</f>
        <v>#N/A</v>
      </c>
      <c r="H76" s="32" t="e">
        <f>IF(E76="Jeopardy",IF(C76="MD",Relay!$E$7,Relay!$E$8),IF(C76="MD",IF(COUNTIF(G:G,B76)&gt;1,Relay!$E$2,Relay!$E$1),IF(AND(COUNTIF(G:G,B76)&gt;1,COUNTA(A76)&gt;0),Relay!$E$5,Relay!$E$4)))</f>
        <v>#N/A</v>
      </c>
      <c r="I76" s="8">
        <f t="shared" si="4"/>
        <v>0</v>
      </c>
      <c r="J76" s="35"/>
      <c r="K76" s="35"/>
      <c r="L76" s="35"/>
      <c r="M76" s="35"/>
      <c r="N76" s="32" t="e">
        <f>IF(H76=Aug!$E$2,"N",IF(AND(COUNTIF(B:B,B76)=1,D76&gt;14),"Y","N"))</f>
        <v>#N/A</v>
      </c>
      <c r="O76" s="55" t="str">
        <f>IF(COUNT(Aug[[#This Row],[Date]])&gt;0,IF(Aug[[#This Row],[Date]]&gt;14,"Yes","No"),"N/A")</f>
        <v>N/A</v>
      </c>
      <c r="P76" s="55"/>
      <c r="Q76" s="5">
        <f>Relay!A75</f>
        <v>0</v>
      </c>
      <c r="R76" s="5">
        <f>Relay!B75</f>
        <v>74</v>
      </c>
      <c r="S76" s="8">
        <f>IF(Aug[After the 14th?]="No",SUMIF(Aug[SysID],R76,Aug[Pay Amount]),0)+IF(July[After the 14th?]="Yes",SUMIF(July[SysID],R76,July[Pay Amount]),0)</f>
        <v>0</v>
      </c>
      <c r="T76" s="8"/>
      <c r="U76" s="5" t="str">
        <f t="shared" si="5"/>
        <v>N</v>
      </c>
      <c r="X76" s="56"/>
      <c r="Y76" s="56"/>
      <c r="Z76" s="56"/>
      <c r="AA76" s="56"/>
      <c r="AC76" s="56"/>
    </row>
    <row r="77" spans="1:29" x14ac:dyDescent="0.25">
      <c r="A77" s="35"/>
      <c r="B77" s="32" t="e">
        <f>VLOOKUP(A77,Relay!$A$1:$B$50,2,FALSE)</f>
        <v>#N/A</v>
      </c>
      <c r="C77" s="32" t="e">
        <f>VLOOKUP(A77,Relay!$A$2:$C$101,3,FALSE)</f>
        <v>#N/A</v>
      </c>
      <c r="D77" s="39"/>
      <c r="E77" s="35"/>
      <c r="F77" s="58" t="str">
        <f t="shared" si="3"/>
        <v>INS</v>
      </c>
      <c r="G77" s="32" t="e">
        <f>IF(OR(E77="Jeopardy",E77="APP Moonlighting",E77="Differential Pay"),"",Aug[[#This Row],[SysID]])</f>
        <v>#N/A</v>
      </c>
      <c r="H77" s="32" t="e">
        <f>IF(E77="Jeopardy",IF(C77="MD",Relay!$E$7,Relay!$E$8),IF(C77="MD",IF(COUNTIF(G:G,B77)&gt;1,Relay!$E$2,Relay!$E$1),IF(AND(COUNTIF(G:G,B77)&gt;1,COUNTA(A77)&gt;0),Relay!$E$5,Relay!$E$4)))</f>
        <v>#N/A</v>
      </c>
      <c r="I77" s="8">
        <f t="shared" si="4"/>
        <v>0</v>
      </c>
      <c r="J77" s="35"/>
      <c r="K77" s="35"/>
      <c r="L77" s="35"/>
      <c r="M77" s="35"/>
      <c r="N77" s="32" t="e">
        <f>IF(H77=Aug!$E$2,"N",IF(AND(COUNTIF(B:B,B77)=1,D77&gt;14),"Y","N"))</f>
        <v>#N/A</v>
      </c>
      <c r="O77" s="55" t="str">
        <f>IF(COUNT(Aug[[#This Row],[Date]])&gt;0,IF(Aug[[#This Row],[Date]]&gt;14,"Yes","No"),"N/A")</f>
        <v>N/A</v>
      </c>
      <c r="P77" s="55"/>
      <c r="Q77" s="5">
        <f>Relay!A76</f>
        <v>0</v>
      </c>
      <c r="R77" s="5">
        <f>Relay!B76</f>
        <v>75</v>
      </c>
      <c r="S77" s="8">
        <f>IF(Aug[After the 14th?]="No",SUMIF(Aug[SysID],R77,Aug[Pay Amount]),0)+IF(July[After the 14th?]="Yes",SUMIF(July[SysID],R77,July[Pay Amount]),0)</f>
        <v>0</v>
      </c>
      <c r="T77" s="8"/>
      <c r="U77" s="5" t="str">
        <f t="shared" si="5"/>
        <v>N</v>
      </c>
      <c r="X77" s="56"/>
      <c r="Y77" s="56"/>
      <c r="Z77" s="56"/>
      <c r="AA77" s="56"/>
      <c r="AC77" s="56"/>
    </row>
    <row r="78" spans="1:29" x14ac:dyDescent="0.25">
      <c r="A78" s="35"/>
      <c r="B78" s="32" t="e">
        <f>VLOOKUP(A78,Relay!$A$1:$B$50,2,FALSE)</f>
        <v>#N/A</v>
      </c>
      <c r="C78" s="32" t="e">
        <f>VLOOKUP(A78,Relay!$A$2:$C$101,3,FALSE)</f>
        <v>#N/A</v>
      </c>
      <c r="D78" s="39"/>
      <c r="E78" s="35"/>
      <c r="F78" s="58" t="str">
        <f t="shared" si="3"/>
        <v>INS</v>
      </c>
      <c r="G78" s="32" t="e">
        <f>IF(OR(E78="Jeopardy",E78="APP Moonlighting",E78="Differential Pay"),"",Aug[[#This Row],[SysID]])</f>
        <v>#N/A</v>
      </c>
      <c r="H78" s="32" t="e">
        <f>IF(E78="Jeopardy",IF(C78="MD",Relay!$E$7,Relay!$E$8),IF(C78="MD",IF(COUNTIF(G:G,B78)&gt;1,Relay!$E$2,Relay!$E$1),IF(AND(COUNTIF(G:G,B78)&gt;1,COUNTA(A78)&gt;0),Relay!$E$5,Relay!$E$4)))</f>
        <v>#N/A</v>
      </c>
      <c r="I78" s="8">
        <f t="shared" si="4"/>
        <v>0</v>
      </c>
      <c r="J78" s="35"/>
      <c r="K78" s="35"/>
      <c r="L78" s="35"/>
      <c r="M78" s="35"/>
      <c r="N78" s="32" t="e">
        <f>IF(H78=Aug!$E$2,"N",IF(AND(COUNTIF(B:B,B78)=1,D78&gt;14),"Y","N"))</f>
        <v>#N/A</v>
      </c>
      <c r="O78" s="55" t="str">
        <f>IF(COUNT(Aug[[#This Row],[Date]])&gt;0,IF(Aug[[#This Row],[Date]]&gt;14,"Yes","No"),"N/A")</f>
        <v>N/A</v>
      </c>
      <c r="P78" s="55"/>
      <c r="Q78" s="5">
        <f>Relay!A77</f>
        <v>0</v>
      </c>
      <c r="R78" s="5">
        <f>Relay!B77</f>
        <v>76</v>
      </c>
      <c r="S78" s="8">
        <f>IF(Aug[After the 14th?]="No",SUMIF(Aug[SysID],R78,Aug[Pay Amount]),0)+IF(July[After the 14th?]="Yes",SUMIF(July[SysID],R78,July[Pay Amount]),0)</f>
        <v>0</v>
      </c>
      <c r="T78" s="8"/>
      <c r="U78" s="5" t="str">
        <f t="shared" si="5"/>
        <v>N</v>
      </c>
      <c r="X78" s="56"/>
      <c r="Y78" s="56"/>
      <c r="Z78" s="56"/>
      <c r="AA78" s="56"/>
      <c r="AC78" s="56"/>
    </row>
    <row r="79" spans="1:29" x14ac:dyDescent="0.25">
      <c r="A79" s="35"/>
      <c r="B79" s="32" t="e">
        <f>VLOOKUP(A79,Relay!$A$1:$B$50,2,FALSE)</f>
        <v>#N/A</v>
      </c>
      <c r="C79" s="32" t="e">
        <f>VLOOKUP(A79,Relay!$A$2:$C$101,3,FALSE)</f>
        <v>#N/A</v>
      </c>
      <c r="D79" s="39"/>
      <c r="E79" s="35"/>
      <c r="F79" s="58" t="str">
        <f t="shared" si="3"/>
        <v>INS</v>
      </c>
      <c r="G79" s="32" t="e">
        <f>IF(OR(E79="Jeopardy",E79="APP Moonlighting",E79="Differential Pay"),"",Aug[[#This Row],[SysID]])</f>
        <v>#N/A</v>
      </c>
      <c r="H79" s="32" t="e">
        <f>IF(E79="Jeopardy",IF(C79="MD",Relay!$E$7,Relay!$E$8),IF(C79="MD",IF(COUNTIF(G:G,B79)&gt;1,Relay!$E$2,Relay!$E$1),IF(AND(COUNTIF(G:G,B79)&gt;1,COUNTA(A79)&gt;0),Relay!$E$5,Relay!$E$4)))</f>
        <v>#N/A</v>
      </c>
      <c r="I79" s="8">
        <f t="shared" si="4"/>
        <v>0</v>
      </c>
      <c r="J79" s="35"/>
      <c r="K79" s="35"/>
      <c r="L79" s="35"/>
      <c r="M79" s="35"/>
      <c r="N79" s="32" t="e">
        <f>IF(H79=Aug!$E$2,"N",IF(AND(COUNTIF(B:B,B79)=1,D79&gt;14),"Y","N"))</f>
        <v>#N/A</v>
      </c>
      <c r="O79" s="55" t="str">
        <f>IF(COUNT(Aug[[#This Row],[Date]])&gt;0,IF(Aug[[#This Row],[Date]]&gt;14,"Yes","No"),"N/A")</f>
        <v>N/A</v>
      </c>
      <c r="P79" s="55"/>
      <c r="Q79" s="5">
        <f>Relay!A78</f>
        <v>0</v>
      </c>
      <c r="R79" s="5">
        <f>Relay!B78</f>
        <v>77</v>
      </c>
      <c r="S79" s="8">
        <f>IF(Aug[After the 14th?]="No",SUMIF(Aug[SysID],R79,Aug[Pay Amount]),0)+IF(July[After the 14th?]="Yes",SUMIF(July[SysID],R79,July[Pay Amount]),0)</f>
        <v>0</v>
      </c>
      <c r="T79" s="8"/>
      <c r="U79" s="5" t="str">
        <f t="shared" si="5"/>
        <v>N</v>
      </c>
      <c r="X79" s="56"/>
      <c r="Y79" s="56"/>
      <c r="Z79" s="56"/>
      <c r="AA79" s="56"/>
      <c r="AC79" s="56"/>
    </row>
    <row r="80" spans="1:29" x14ac:dyDescent="0.25">
      <c r="A80" s="35"/>
      <c r="B80" s="32" t="e">
        <f>VLOOKUP(A80,Relay!$A$1:$B$50,2,FALSE)</f>
        <v>#N/A</v>
      </c>
      <c r="C80" s="32" t="e">
        <f>VLOOKUP(A80,Relay!$A$2:$C$101,3,FALSE)</f>
        <v>#N/A</v>
      </c>
      <c r="D80" s="39"/>
      <c r="E80" s="35"/>
      <c r="F80" s="58" t="str">
        <f t="shared" si="3"/>
        <v>INS</v>
      </c>
      <c r="G80" s="32" t="e">
        <f>IF(OR(E80="Jeopardy",E80="APP Moonlighting",E80="Differential Pay"),"",Aug[[#This Row],[SysID]])</f>
        <v>#N/A</v>
      </c>
      <c r="H80" s="32" t="e">
        <f>IF(E80="Jeopardy",IF(C80="MD",Relay!$E$7,Relay!$E$8),IF(C80="MD",IF(COUNTIF(G:G,B80)&gt;1,Relay!$E$2,Relay!$E$1),IF(AND(COUNTIF(G:G,B80)&gt;1,COUNTA(A80)&gt;0),Relay!$E$5,Relay!$E$4)))</f>
        <v>#N/A</v>
      </c>
      <c r="I80" s="8">
        <f t="shared" si="4"/>
        <v>0</v>
      </c>
      <c r="J80" s="35"/>
      <c r="K80" s="35"/>
      <c r="L80" s="35"/>
      <c r="M80" s="35"/>
      <c r="N80" s="32" t="e">
        <f>IF(H80=Aug!$E$2,"N",IF(AND(COUNTIF(B:B,B80)=1,D80&gt;14),"Y","N"))</f>
        <v>#N/A</v>
      </c>
      <c r="O80" s="55" t="str">
        <f>IF(COUNT(Aug[[#This Row],[Date]])&gt;0,IF(Aug[[#This Row],[Date]]&gt;14,"Yes","No"),"N/A")</f>
        <v>N/A</v>
      </c>
      <c r="P80" s="55"/>
      <c r="Q80" s="5">
        <f>Relay!A79</f>
        <v>0</v>
      </c>
      <c r="R80" s="5">
        <f>Relay!B79</f>
        <v>78</v>
      </c>
      <c r="S80" s="8">
        <f>IF(Aug[After the 14th?]="No",SUMIF(Aug[SysID],R80,Aug[Pay Amount]),0)+IF(July[After the 14th?]="Yes",SUMIF(July[SysID],R80,July[Pay Amount]),0)</f>
        <v>0</v>
      </c>
      <c r="T80" s="8"/>
      <c r="U80" s="5" t="str">
        <f t="shared" si="5"/>
        <v>N</v>
      </c>
      <c r="X80" s="56"/>
      <c r="Y80" s="56"/>
      <c r="Z80" s="56"/>
      <c r="AA80" s="56"/>
      <c r="AC80" s="56"/>
    </row>
    <row r="81" spans="1:29" x14ac:dyDescent="0.25">
      <c r="A81" s="35"/>
      <c r="B81" s="32" t="e">
        <f>VLOOKUP(A81,Relay!$A$1:$B$50,2,FALSE)</f>
        <v>#N/A</v>
      </c>
      <c r="C81" s="32" t="e">
        <f>VLOOKUP(A81,Relay!$A$2:$C$101,3,FALSE)</f>
        <v>#N/A</v>
      </c>
      <c r="D81" s="39"/>
      <c r="E81" s="35"/>
      <c r="F81" s="58" t="str">
        <f t="shared" si="3"/>
        <v>INS</v>
      </c>
      <c r="G81" s="32" t="e">
        <f>IF(OR(E81="Jeopardy",E81="APP Moonlighting",E81="Differential Pay"),"",Aug[[#This Row],[SysID]])</f>
        <v>#N/A</v>
      </c>
      <c r="H81" s="32" t="e">
        <f>IF(E81="Jeopardy",IF(C81="MD",Relay!$E$7,Relay!$E$8),IF(C81="MD",IF(COUNTIF(G:G,B81)&gt;1,Relay!$E$2,Relay!$E$1),IF(AND(COUNTIF(G:G,B81)&gt;1,COUNTA(A81)&gt;0),Relay!$E$5,Relay!$E$4)))</f>
        <v>#N/A</v>
      </c>
      <c r="I81" s="8">
        <f t="shared" si="4"/>
        <v>0</v>
      </c>
      <c r="J81" s="35"/>
      <c r="K81" s="35"/>
      <c r="L81" s="35"/>
      <c r="M81" s="35"/>
      <c r="N81" s="32" t="e">
        <f>IF(H81=Aug!$E$2,"N",IF(AND(COUNTIF(B:B,B81)=1,D81&gt;14),"Y","N"))</f>
        <v>#N/A</v>
      </c>
      <c r="O81" s="55" t="str">
        <f>IF(COUNT(Aug[[#This Row],[Date]])&gt;0,IF(Aug[[#This Row],[Date]]&gt;14,"Yes","No"),"N/A")</f>
        <v>N/A</v>
      </c>
      <c r="P81" s="55"/>
      <c r="Q81" s="5">
        <f>Relay!A80</f>
        <v>0</v>
      </c>
      <c r="R81" s="5">
        <f>Relay!B80</f>
        <v>79</v>
      </c>
      <c r="S81" s="8">
        <f>IF(Aug[After the 14th?]="No",SUMIF(Aug[SysID],R81,Aug[Pay Amount]),0)+IF(July[After the 14th?]="Yes",SUMIF(July[SysID],R81,July[Pay Amount]),0)</f>
        <v>0</v>
      </c>
      <c r="T81" s="8"/>
      <c r="U81" s="5" t="str">
        <f t="shared" si="5"/>
        <v>N</v>
      </c>
      <c r="X81" s="56"/>
      <c r="Y81" s="56"/>
      <c r="Z81" s="56"/>
      <c r="AA81" s="56"/>
      <c r="AC81" s="56"/>
    </row>
    <row r="82" spans="1:29" x14ac:dyDescent="0.25">
      <c r="A82" s="35"/>
      <c r="B82" s="32" t="e">
        <f>VLOOKUP(A82,Relay!$A$1:$B$50,2,FALSE)</f>
        <v>#N/A</v>
      </c>
      <c r="C82" s="32" t="e">
        <f>VLOOKUP(A82,Relay!$A$2:$C$101,3,FALSE)</f>
        <v>#N/A</v>
      </c>
      <c r="D82" s="39"/>
      <c r="E82" s="35"/>
      <c r="F82" s="58" t="str">
        <f t="shared" si="3"/>
        <v>INS</v>
      </c>
      <c r="G82" s="32" t="e">
        <f>IF(OR(E82="Jeopardy",E82="APP Moonlighting",E82="Differential Pay"),"",Aug[[#This Row],[SysID]])</f>
        <v>#N/A</v>
      </c>
      <c r="H82" s="32" t="e">
        <f>IF(E82="Jeopardy",IF(C82="MD",Relay!$E$7,Relay!$E$8),IF(C82="MD",IF(COUNTIF(G:G,B82)&gt;1,Relay!$E$2,Relay!$E$1),IF(AND(COUNTIF(G:G,B82)&gt;1,COUNTA(A82)&gt;0),Relay!$E$5,Relay!$E$4)))</f>
        <v>#N/A</v>
      </c>
      <c r="I82" s="8">
        <f t="shared" si="4"/>
        <v>0</v>
      </c>
      <c r="J82" s="35"/>
      <c r="K82" s="35"/>
      <c r="L82" s="35"/>
      <c r="M82" s="35"/>
      <c r="N82" s="32" t="e">
        <f>IF(H82=Aug!$E$2,"N",IF(AND(COUNTIF(B:B,B82)=1,D82&gt;14),"Y","N"))</f>
        <v>#N/A</v>
      </c>
      <c r="O82" s="55" t="str">
        <f>IF(COUNT(Aug[[#This Row],[Date]])&gt;0,IF(Aug[[#This Row],[Date]]&gt;14,"Yes","No"),"N/A")</f>
        <v>N/A</v>
      </c>
      <c r="P82" s="55"/>
      <c r="Q82" s="5">
        <f>Relay!A81</f>
        <v>0</v>
      </c>
      <c r="R82" s="5">
        <f>Relay!B81</f>
        <v>80</v>
      </c>
      <c r="S82" s="8">
        <f>IF(Aug[After the 14th?]="No",SUMIF(Aug[SysID],R82,Aug[Pay Amount]),0)+IF(July[After the 14th?]="Yes",SUMIF(July[SysID],R82,July[Pay Amount]),0)</f>
        <v>0</v>
      </c>
      <c r="T82" s="8"/>
      <c r="U82" s="5" t="str">
        <f t="shared" si="5"/>
        <v>N</v>
      </c>
      <c r="X82" s="56"/>
      <c r="Y82" s="56"/>
      <c r="Z82" s="56"/>
      <c r="AA82" s="56"/>
      <c r="AC82" s="56"/>
    </row>
    <row r="83" spans="1:29" x14ac:dyDescent="0.25">
      <c r="A83" s="35"/>
      <c r="B83" s="32" t="e">
        <f>VLOOKUP(A83,Relay!$A$1:$B$50,2,FALSE)</f>
        <v>#N/A</v>
      </c>
      <c r="C83" s="32" t="e">
        <f>VLOOKUP(A83,Relay!$A$2:$C$101,3,FALSE)</f>
        <v>#N/A</v>
      </c>
      <c r="D83" s="39"/>
      <c r="E83" s="35"/>
      <c r="F83" s="58" t="str">
        <f t="shared" si="3"/>
        <v>INS</v>
      </c>
      <c r="G83" s="32" t="e">
        <f>IF(OR(E83="Jeopardy",E83="APP Moonlighting",E83="Differential Pay"),"",Aug[[#This Row],[SysID]])</f>
        <v>#N/A</v>
      </c>
      <c r="H83" s="32" t="e">
        <f>IF(E83="Jeopardy",IF(C83="MD",Relay!$E$7,Relay!$E$8),IF(C83="MD",IF(COUNTIF(G:G,B83)&gt;1,Relay!$E$2,Relay!$E$1),IF(AND(COUNTIF(G:G,B83)&gt;1,COUNTA(A83)&gt;0),Relay!$E$5,Relay!$E$4)))</f>
        <v>#N/A</v>
      </c>
      <c r="I83" s="8">
        <f t="shared" si="4"/>
        <v>0</v>
      </c>
      <c r="J83" s="35"/>
      <c r="K83" s="35"/>
      <c r="L83" s="35"/>
      <c r="M83" s="35"/>
      <c r="N83" s="32" t="e">
        <f>IF(H83=Aug!$E$2,"N",IF(AND(COUNTIF(B:B,B83)=1,D83&gt;14),"Y","N"))</f>
        <v>#N/A</v>
      </c>
      <c r="O83" s="55" t="str">
        <f>IF(COUNT(Aug[[#This Row],[Date]])&gt;0,IF(Aug[[#This Row],[Date]]&gt;14,"Yes","No"),"N/A")</f>
        <v>N/A</v>
      </c>
      <c r="P83" s="55"/>
      <c r="Q83" s="5">
        <f>Relay!A82</f>
        <v>0</v>
      </c>
      <c r="R83" s="5">
        <f>Relay!B82</f>
        <v>81</v>
      </c>
      <c r="S83" s="8">
        <f>IF(Aug[After the 14th?]="No",SUMIF(Aug[SysID],R83,Aug[Pay Amount]),0)+IF(July[After the 14th?]="Yes",SUMIF(July[SysID],R83,July[Pay Amount]),0)</f>
        <v>0</v>
      </c>
      <c r="T83" s="8"/>
      <c r="U83" s="5" t="str">
        <f t="shared" si="5"/>
        <v>N</v>
      </c>
      <c r="X83" s="56"/>
      <c r="Y83" s="56"/>
      <c r="Z83" s="56"/>
      <c r="AA83" s="56"/>
      <c r="AC83" s="56"/>
    </row>
    <row r="84" spans="1:29" x14ac:dyDescent="0.25">
      <c r="A84" s="35"/>
      <c r="B84" s="32" t="e">
        <f>VLOOKUP(A84,Relay!$A$1:$B$50,2,FALSE)</f>
        <v>#N/A</v>
      </c>
      <c r="C84" s="32" t="e">
        <f>VLOOKUP(A84,Relay!$A$2:$C$101,3,FALSE)</f>
        <v>#N/A</v>
      </c>
      <c r="D84" s="39"/>
      <c r="E84" s="35"/>
      <c r="F84" s="58" t="str">
        <f t="shared" si="3"/>
        <v>INS</v>
      </c>
      <c r="G84" s="32" t="e">
        <f>IF(OR(E84="Jeopardy",E84="APP Moonlighting",E84="Differential Pay"),"",Aug[[#This Row],[SysID]])</f>
        <v>#N/A</v>
      </c>
      <c r="H84" s="32" t="e">
        <f>IF(E84="Jeopardy",IF(C84="MD",Relay!$E$7,Relay!$E$8),IF(C84="MD",IF(COUNTIF(G:G,B84)&gt;1,Relay!$E$2,Relay!$E$1),IF(AND(COUNTIF(G:G,B84)&gt;1,COUNTA(A84)&gt;0),Relay!$E$5,Relay!$E$4)))</f>
        <v>#N/A</v>
      </c>
      <c r="I84" s="8">
        <f t="shared" si="4"/>
        <v>0</v>
      </c>
      <c r="J84" s="35"/>
      <c r="K84" s="35"/>
      <c r="L84" s="35"/>
      <c r="M84" s="35"/>
      <c r="N84" s="32" t="e">
        <f>IF(H84=Aug!$E$2,"N",IF(AND(COUNTIF(B:B,B84)=1,D84&gt;14),"Y","N"))</f>
        <v>#N/A</v>
      </c>
      <c r="O84" s="55" t="str">
        <f>IF(COUNT(Aug[[#This Row],[Date]])&gt;0,IF(Aug[[#This Row],[Date]]&gt;14,"Yes","No"),"N/A")</f>
        <v>N/A</v>
      </c>
      <c r="P84" s="55"/>
      <c r="Q84" s="5">
        <f>Relay!A83</f>
        <v>0</v>
      </c>
      <c r="R84" s="5">
        <f>Relay!B83</f>
        <v>82</v>
      </c>
      <c r="S84" s="8">
        <f>IF(Aug[After the 14th?]="No",SUMIF(Aug[SysID],R84,Aug[Pay Amount]),0)+IF(July[After the 14th?]="Yes",SUMIF(July[SysID],R84,July[Pay Amount]),0)</f>
        <v>0</v>
      </c>
      <c r="T84" s="8"/>
      <c r="U84" s="5" t="str">
        <f t="shared" si="5"/>
        <v>N</v>
      </c>
      <c r="X84" s="56"/>
      <c r="Y84" s="56"/>
      <c r="Z84" s="56"/>
      <c r="AA84" s="56"/>
      <c r="AC84" s="56"/>
    </row>
    <row r="85" spans="1:29" x14ac:dyDescent="0.25">
      <c r="A85" s="35"/>
      <c r="B85" s="32" t="e">
        <f>VLOOKUP(A85,Relay!$A$1:$B$50,2,FALSE)</f>
        <v>#N/A</v>
      </c>
      <c r="C85" s="32" t="e">
        <f>VLOOKUP(A85,Relay!$A$2:$C$101,3,FALSE)</f>
        <v>#N/A</v>
      </c>
      <c r="D85" s="39"/>
      <c r="E85" s="35"/>
      <c r="F85" s="58" t="str">
        <f t="shared" si="3"/>
        <v>INS</v>
      </c>
      <c r="G85" s="32" t="e">
        <f>IF(OR(E85="Jeopardy",E85="APP Moonlighting",E85="Differential Pay"),"",Aug[[#This Row],[SysID]])</f>
        <v>#N/A</v>
      </c>
      <c r="H85" s="32" t="e">
        <f>IF(E85="Jeopardy",IF(C85="MD",Relay!$E$7,Relay!$E$8),IF(C85="MD",IF(COUNTIF(G:G,B85)&gt;1,Relay!$E$2,Relay!$E$1),IF(AND(COUNTIF(G:G,B85)&gt;1,COUNTA(A85)&gt;0),Relay!$E$5,Relay!$E$4)))</f>
        <v>#N/A</v>
      </c>
      <c r="I85" s="8">
        <f t="shared" si="4"/>
        <v>0</v>
      </c>
      <c r="J85" s="35"/>
      <c r="K85" s="35"/>
      <c r="L85" s="35"/>
      <c r="M85" s="35"/>
      <c r="N85" s="32" t="e">
        <f>IF(H85=Aug!$E$2,"N",IF(AND(COUNTIF(B:B,B85)=1,D85&gt;14),"Y","N"))</f>
        <v>#N/A</v>
      </c>
      <c r="O85" s="55" t="str">
        <f>IF(COUNT(Aug[[#This Row],[Date]])&gt;0,IF(Aug[[#This Row],[Date]]&gt;14,"Yes","No"),"N/A")</f>
        <v>N/A</v>
      </c>
      <c r="P85" s="55"/>
      <c r="Q85" s="5">
        <f>Relay!A84</f>
        <v>0</v>
      </c>
      <c r="R85" s="5">
        <f>Relay!B84</f>
        <v>83</v>
      </c>
      <c r="S85" s="8">
        <f>IF(Aug[After the 14th?]="No",SUMIF(Aug[SysID],R85,Aug[Pay Amount]),0)+IF(July[After the 14th?]="Yes",SUMIF(July[SysID],R85,July[Pay Amount]),0)</f>
        <v>0</v>
      </c>
      <c r="T85" s="8"/>
      <c r="U85" s="5" t="str">
        <f t="shared" si="5"/>
        <v>N</v>
      </c>
      <c r="X85" s="56"/>
      <c r="Y85" s="56"/>
      <c r="Z85" s="56"/>
      <c r="AA85" s="56"/>
      <c r="AC85" s="56"/>
    </row>
    <row r="86" spans="1:29" x14ac:dyDescent="0.25">
      <c r="A86" s="35"/>
      <c r="B86" s="32" t="e">
        <f>VLOOKUP(A86,Relay!$A$1:$B$50,2,FALSE)</f>
        <v>#N/A</v>
      </c>
      <c r="C86" s="32" t="e">
        <f>VLOOKUP(A86,Relay!$A$2:$C$101,3,FALSE)</f>
        <v>#N/A</v>
      </c>
      <c r="D86" s="39"/>
      <c r="E86" s="35"/>
      <c r="F86" s="58" t="str">
        <f t="shared" si="3"/>
        <v>INS</v>
      </c>
      <c r="G86" s="32" t="e">
        <f>IF(OR(E86="Jeopardy",E86="APP Moonlighting",E86="Differential Pay"),"",Aug[[#This Row],[SysID]])</f>
        <v>#N/A</v>
      </c>
      <c r="H86" s="32" t="e">
        <f>IF(E86="Jeopardy",IF(C86="MD",Relay!$E$7,Relay!$E$8),IF(C86="MD",IF(COUNTIF(G:G,B86)&gt;1,Relay!$E$2,Relay!$E$1),IF(AND(COUNTIF(G:G,B86)&gt;1,COUNTA(A86)&gt;0),Relay!$E$5,Relay!$E$4)))</f>
        <v>#N/A</v>
      </c>
      <c r="I86" s="8">
        <f t="shared" si="4"/>
        <v>0</v>
      </c>
      <c r="J86" s="35"/>
      <c r="K86" s="35"/>
      <c r="L86" s="35"/>
      <c r="M86" s="35"/>
      <c r="N86" s="32" t="e">
        <f>IF(H86=Aug!$E$2,"N",IF(AND(COUNTIF(B:B,B86)=1,D86&gt;14),"Y","N"))</f>
        <v>#N/A</v>
      </c>
      <c r="O86" s="55" t="str">
        <f>IF(COUNT(Aug[[#This Row],[Date]])&gt;0,IF(Aug[[#This Row],[Date]]&gt;14,"Yes","No"),"N/A")</f>
        <v>N/A</v>
      </c>
      <c r="P86" s="55"/>
      <c r="Q86" s="5">
        <f>Relay!A85</f>
        <v>0</v>
      </c>
      <c r="R86" s="5">
        <f>Relay!B85</f>
        <v>84</v>
      </c>
      <c r="S86" s="8">
        <f>IF(Aug[After the 14th?]="No",SUMIF(Aug[SysID],R86,Aug[Pay Amount]),0)+IF(July[After the 14th?]="Yes",SUMIF(July[SysID],R86,July[Pay Amount]),0)</f>
        <v>0</v>
      </c>
      <c r="T86" s="8"/>
      <c r="U86" s="5" t="str">
        <f t="shared" si="5"/>
        <v>N</v>
      </c>
      <c r="X86" s="56"/>
      <c r="Y86" s="56"/>
      <c r="Z86" s="56"/>
      <c r="AA86" s="56"/>
      <c r="AC86" s="56"/>
    </row>
    <row r="87" spans="1:29" x14ac:dyDescent="0.25">
      <c r="A87" s="35"/>
      <c r="B87" s="32" t="e">
        <f>VLOOKUP(A87,Relay!$A$1:$B$50,2,FALSE)</f>
        <v>#N/A</v>
      </c>
      <c r="C87" s="32" t="e">
        <f>VLOOKUP(A87,Relay!$A$2:$C$101,3,FALSE)</f>
        <v>#N/A</v>
      </c>
      <c r="D87" s="39"/>
      <c r="E87" s="35"/>
      <c r="F87" s="58" t="str">
        <f t="shared" si="3"/>
        <v>INS</v>
      </c>
      <c r="G87" s="32" t="e">
        <f>IF(OR(E87="Jeopardy",E87="APP Moonlighting",E87="Differential Pay"),"",Aug[[#This Row],[SysID]])</f>
        <v>#N/A</v>
      </c>
      <c r="H87" s="32" t="e">
        <f>IF(E87="Jeopardy",IF(C87="MD",Relay!$E$7,Relay!$E$8),IF(C87="MD",IF(COUNTIF(G:G,B87)&gt;1,Relay!$E$2,Relay!$E$1),IF(AND(COUNTIF(G:G,B87)&gt;1,COUNTA(A87)&gt;0),Relay!$E$5,Relay!$E$4)))</f>
        <v>#N/A</v>
      </c>
      <c r="I87" s="8">
        <f t="shared" si="4"/>
        <v>0</v>
      </c>
      <c r="J87" s="35"/>
      <c r="K87" s="35"/>
      <c r="L87" s="35"/>
      <c r="M87" s="35"/>
      <c r="N87" s="32" t="e">
        <f>IF(H87=Aug!$E$2,"N",IF(AND(COUNTIF(B:B,B87)=1,D87&gt;14),"Y","N"))</f>
        <v>#N/A</v>
      </c>
      <c r="O87" s="55" t="str">
        <f>IF(COUNT(Aug[[#This Row],[Date]])&gt;0,IF(Aug[[#This Row],[Date]]&gt;14,"Yes","No"),"N/A")</f>
        <v>N/A</v>
      </c>
      <c r="P87" s="55"/>
      <c r="Q87" s="5">
        <f>Relay!A86</f>
        <v>0</v>
      </c>
      <c r="R87" s="5">
        <f>Relay!B86</f>
        <v>85</v>
      </c>
      <c r="S87" s="8">
        <f>IF(Aug[After the 14th?]="No",SUMIF(Aug[SysID],R87,Aug[Pay Amount]),0)+IF(July[After the 14th?]="Yes",SUMIF(July[SysID],R87,July[Pay Amount]),0)</f>
        <v>0</v>
      </c>
      <c r="T87" s="8"/>
      <c r="U87" s="5" t="str">
        <f t="shared" si="5"/>
        <v>N</v>
      </c>
      <c r="X87" s="56"/>
      <c r="Y87" s="56"/>
      <c r="Z87" s="56"/>
      <c r="AA87" s="56"/>
      <c r="AC87" s="56"/>
    </row>
    <row r="88" spans="1:29" x14ac:dyDescent="0.25">
      <c r="A88" s="35"/>
      <c r="B88" s="32" t="e">
        <f>VLOOKUP(A88,Relay!$A$1:$B$50,2,FALSE)</f>
        <v>#N/A</v>
      </c>
      <c r="C88" s="32" t="e">
        <f>VLOOKUP(A88,Relay!$A$2:$C$101,3,FALSE)</f>
        <v>#N/A</v>
      </c>
      <c r="D88" s="39"/>
      <c r="E88" s="35"/>
      <c r="F88" s="58" t="str">
        <f t="shared" si="3"/>
        <v>INS</v>
      </c>
      <c r="G88" s="32" t="e">
        <f>IF(OR(E88="Jeopardy",E88="APP Moonlighting",E88="Differential Pay"),"",Aug[[#This Row],[SysID]])</f>
        <v>#N/A</v>
      </c>
      <c r="H88" s="32" t="e">
        <f>IF(E88="Jeopardy",IF(C88="MD",Relay!$E$7,Relay!$E$8),IF(C88="MD",IF(COUNTIF(G:G,B88)&gt;1,Relay!$E$2,Relay!$E$1),IF(AND(COUNTIF(G:G,B88)&gt;1,COUNTA(A88)&gt;0),Relay!$E$5,Relay!$E$4)))</f>
        <v>#N/A</v>
      </c>
      <c r="I88" s="8">
        <f t="shared" si="4"/>
        <v>0</v>
      </c>
      <c r="J88" s="35"/>
      <c r="K88" s="35"/>
      <c r="L88" s="35"/>
      <c r="M88" s="35"/>
      <c r="N88" s="32" t="e">
        <f>IF(H88=Aug!$E$2,"N",IF(AND(COUNTIF(B:B,B88)=1,D88&gt;14),"Y","N"))</f>
        <v>#N/A</v>
      </c>
      <c r="O88" s="55" t="str">
        <f>IF(COUNT(Aug[[#This Row],[Date]])&gt;0,IF(Aug[[#This Row],[Date]]&gt;14,"Yes","No"),"N/A")</f>
        <v>N/A</v>
      </c>
      <c r="P88" s="55"/>
      <c r="Q88" s="5">
        <f>Relay!A87</f>
        <v>0</v>
      </c>
      <c r="R88" s="5">
        <f>Relay!B87</f>
        <v>86</v>
      </c>
      <c r="S88" s="8">
        <f>IF(Aug[After the 14th?]="No",SUMIF(Aug[SysID],R88,Aug[Pay Amount]),0)+IF(July[After the 14th?]="Yes",SUMIF(July[SysID],R88,July[Pay Amount]),0)</f>
        <v>0</v>
      </c>
      <c r="T88" s="8"/>
      <c r="U88" s="5" t="str">
        <f t="shared" si="5"/>
        <v>N</v>
      </c>
      <c r="X88" s="56"/>
      <c r="Y88" s="56"/>
      <c r="Z88" s="56"/>
      <c r="AA88" s="56"/>
      <c r="AC88" s="56"/>
    </row>
    <row r="89" spans="1:29" x14ac:dyDescent="0.25">
      <c r="A89" s="35"/>
      <c r="B89" s="32" t="e">
        <f>VLOOKUP(A89,Relay!$A$1:$B$50,2,FALSE)</f>
        <v>#N/A</v>
      </c>
      <c r="C89" s="32" t="e">
        <f>VLOOKUP(A89,Relay!$A$2:$C$101,3,FALSE)</f>
        <v>#N/A</v>
      </c>
      <c r="D89" s="39"/>
      <c r="E89" s="35"/>
      <c r="F89" s="58" t="str">
        <f t="shared" si="3"/>
        <v>INS</v>
      </c>
      <c r="G89" s="32" t="e">
        <f>IF(OR(E89="Jeopardy",E89="APP Moonlighting",E89="Differential Pay"),"",Aug[[#This Row],[SysID]])</f>
        <v>#N/A</v>
      </c>
      <c r="H89" s="32" t="e">
        <f>IF(E89="Jeopardy",IF(C89="MD",Relay!$E$7,Relay!$E$8),IF(C89="MD",IF(COUNTIF(G:G,B89)&gt;1,Relay!$E$2,Relay!$E$1),IF(AND(COUNTIF(G:G,B89)&gt;1,COUNTA(A89)&gt;0),Relay!$E$5,Relay!$E$4)))</f>
        <v>#N/A</v>
      </c>
      <c r="I89" s="8">
        <f t="shared" si="4"/>
        <v>0</v>
      </c>
      <c r="J89" s="35"/>
      <c r="K89" s="35"/>
      <c r="L89" s="35"/>
      <c r="M89" s="35"/>
      <c r="N89" s="32" t="e">
        <f>IF(H89=Aug!$E$2,"N",IF(AND(COUNTIF(B:B,B89)=1,D89&gt;14),"Y","N"))</f>
        <v>#N/A</v>
      </c>
      <c r="O89" s="55" t="str">
        <f>IF(COUNT(Aug[[#This Row],[Date]])&gt;0,IF(Aug[[#This Row],[Date]]&gt;14,"Yes","No"),"N/A")</f>
        <v>N/A</v>
      </c>
      <c r="P89" s="55"/>
      <c r="Q89" s="5">
        <f>Relay!A88</f>
        <v>0</v>
      </c>
      <c r="R89" s="5">
        <f>Relay!B88</f>
        <v>87</v>
      </c>
      <c r="S89" s="8">
        <f>IF(Aug[After the 14th?]="No",SUMIF(Aug[SysID],R89,Aug[Pay Amount]),0)+IF(July[After the 14th?]="Yes",SUMIF(July[SysID],R89,July[Pay Amount]),0)</f>
        <v>0</v>
      </c>
      <c r="T89" s="8"/>
      <c r="U89" s="5" t="str">
        <f t="shared" si="5"/>
        <v>N</v>
      </c>
      <c r="X89" s="56"/>
      <c r="Y89" s="56"/>
      <c r="Z89" s="56"/>
      <c r="AA89" s="56"/>
      <c r="AC89" s="56"/>
    </row>
    <row r="90" spans="1:29" x14ac:dyDescent="0.25">
      <c r="A90" s="35"/>
      <c r="B90" s="32" t="e">
        <f>VLOOKUP(A90,Relay!$A$1:$B$50,2,FALSE)</f>
        <v>#N/A</v>
      </c>
      <c r="C90" s="32" t="e">
        <f>VLOOKUP(A90,Relay!$A$2:$C$101,3,FALSE)</f>
        <v>#N/A</v>
      </c>
      <c r="D90" s="39"/>
      <c r="E90" s="35"/>
      <c r="F90" s="58" t="str">
        <f t="shared" si="3"/>
        <v>INS</v>
      </c>
      <c r="G90" s="32" t="e">
        <f>IF(OR(E90="Jeopardy",E90="APP Moonlighting",E90="Differential Pay"),"",Aug[[#This Row],[SysID]])</f>
        <v>#N/A</v>
      </c>
      <c r="H90" s="32" t="e">
        <f>IF(E90="Jeopardy",IF(C90="MD",Relay!$E$7,Relay!$E$8),IF(C90="MD",IF(COUNTIF(G:G,B90)&gt;1,Relay!$E$2,Relay!$E$1),IF(AND(COUNTIF(G:G,B90)&gt;1,COUNTA(A90)&gt;0),Relay!$E$5,Relay!$E$4)))</f>
        <v>#N/A</v>
      </c>
      <c r="I90" s="8">
        <f t="shared" si="4"/>
        <v>0</v>
      </c>
      <c r="J90" s="35"/>
      <c r="K90" s="35"/>
      <c r="L90" s="35"/>
      <c r="M90" s="35"/>
      <c r="N90" s="32" t="e">
        <f>IF(H90=Aug!$E$2,"N",IF(AND(COUNTIF(B:B,B90)=1,D90&gt;14),"Y","N"))</f>
        <v>#N/A</v>
      </c>
      <c r="O90" s="55" t="str">
        <f>IF(COUNT(Aug[[#This Row],[Date]])&gt;0,IF(Aug[[#This Row],[Date]]&gt;14,"Yes","No"),"N/A")</f>
        <v>N/A</v>
      </c>
      <c r="P90" s="55"/>
      <c r="Q90" s="5">
        <f>Relay!A89</f>
        <v>0</v>
      </c>
      <c r="R90" s="5">
        <f>Relay!B89</f>
        <v>88</v>
      </c>
      <c r="S90" s="8">
        <f>IF(Aug[After the 14th?]="No",SUMIF(Aug[SysID],R90,Aug[Pay Amount]),0)+IF(July[After the 14th?]="Yes",SUMIF(July[SysID],R90,July[Pay Amount]),0)</f>
        <v>0</v>
      </c>
      <c r="T90" s="8"/>
      <c r="U90" s="5" t="str">
        <f t="shared" si="5"/>
        <v>N</v>
      </c>
      <c r="X90" s="56"/>
      <c r="Y90" s="56"/>
      <c r="Z90" s="56"/>
      <c r="AA90" s="56"/>
      <c r="AC90" s="56"/>
    </row>
    <row r="91" spans="1:29" x14ac:dyDescent="0.25">
      <c r="A91" s="35"/>
      <c r="B91" s="32" t="e">
        <f>VLOOKUP(A91,Relay!$A$1:$B$50,2,FALSE)</f>
        <v>#N/A</v>
      </c>
      <c r="C91" s="32" t="e">
        <f>VLOOKUP(A91,Relay!$A$2:$C$101,3,FALSE)</f>
        <v>#N/A</v>
      </c>
      <c r="D91" s="39"/>
      <c r="E91" s="35"/>
      <c r="F91" s="58" t="str">
        <f t="shared" si="3"/>
        <v>INS</v>
      </c>
      <c r="G91" s="32" t="e">
        <f>IF(OR(E91="Jeopardy",E91="APP Moonlighting",E91="Differential Pay"),"",Aug[[#This Row],[SysID]])</f>
        <v>#N/A</v>
      </c>
      <c r="H91" s="32" t="e">
        <f>IF(E91="Jeopardy",IF(C91="MD",Relay!$E$7,Relay!$E$8),IF(C91="MD",IF(COUNTIF(G:G,B91)&gt;1,Relay!$E$2,Relay!$E$1),IF(AND(COUNTIF(G:G,B91)&gt;1,COUNTA(A91)&gt;0),Relay!$E$5,Relay!$E$4)))</f>
        <v>#N/A</v>
      </c>
      <c r="I91" s="8">
        <f t="shared" si="4"/>
        <v>0</v>
      </c>
      <c r="J91" s="35"/>
      <c r="K91" s="35"/>
      <c r="L91" s="35"/>
      <c r="M91" s="35"/>
      <c r="N91" s="32" t="e">
        <f>IF(H91=Aug!$E$2,"N",IF(AND(COUNTIF(B:B,B91)=1,D91&gt;14),"Y","N"))</f>
        <v>#N/A</v>
      </c>
      <c r="O91" s="55" t="str">
        <f>IF(COUNT(Aug[[#This Row],[Date]])&gt;0,IF(Aug[[#This Row],[Date]]&gt;14,"Yes","No"),"N/A")</f>
        <v>N/A</v>
      </c>
      <c r="P91" s="55"/>
      <c r="Q91" s="5">
        <f>Relay!A90</f>
        <v>0</v>
      </c>
      <c r="R91" s="5">
        <f>Relay!B90</f>
        <v>89</v>
      </c>
      <c r="S91" s="8">
        <f>IF(Aug[After the 14th?]="No",SUMIF(Aug[SysID],R91,Aug[Pay Amount]),0)+IF(July[After the 14th?]="Yes",SUMIF(July[SysID],R91,July[Pay Amount]),0)</f>
        <v>0</v>
      </c>
      <c r="T91" s="8"/>
      <c r="U91" s="5" t="str">
        <f t="shared" si="5"/>
        <v>N</v>
      </c>
      <c r="X91" s="56"/>
      <c r="Y91" s="56"/>
      <c r="Z91" s="56"/>
      <c r="AA91" s="56"/>
      <c r="AC91" s="56"/>
    </row>
    <row r="92" spans="1:29" x14ac:dyDescent="0.25">
      <c r="A92" s="35"/>
      <c r="B92" s="32" t="e">
        <f>VLOOKUP(A92,Relay!$A$1:$B$50,2,FALSE)</f>
        <v>#N/A</v>
      </c>
      <c r="C92" s="32" t="e">
        <f>VLOOKUP(A92,Relay!$A$2:$C$101,3,FALSE)</f>
        <v>#N/A</v>
      </c>
      <c r="D92" s="39"/>
      <c r="E92" s="35"/>
      <c r="F92" s="58" t="str">
        <f t="shared" si="3"/>
        <v>INS</v>
      </c>
      <c r="G92" s="32" t="e">
        <f>IF(OR(E92="Jeopardy",E92="APP Moonlighting",E92="Differential Pay"),"",Aug[[#This Row],[SysID]])</f>
        <v>#N/A</v>
      </c>
      <c r="H92" s="32" t="e">
        <f>IF(E92="Jeopardy",IF(C92="MD",Relay!$E$7,Relay!$E$8),IF(C92="MD",IF(COUNTIF(G:G,B92)&gt;1,Relay!$E$2,Relay!$E$1),IF(AND(COUNTIF(G:G,B92)&gt;1,COUNTA(A92)&gt;0),Relay!$E$5,Relay!$E$4)))</f>
        <v>#N/A</v>
      </c>
      <c r="I92" s="8">
        <f t="shared" si="4"/>
        <v>0</v>
      </c>
      <c r="J92" s="35"/>
      <c r="K92" s="35"/>
      <c r="L92" s="35"/>
      <c r="M92" s="35"/>
      <c r="N92" s="32" t="e">
        <f>IF(H92=Aug!$E$2,"N",IF(AND(COUNTIF(B:B,B92)=1,D92&gt;14),"Y","N"))</f>
        <v>#N/A</v>
      </c>
      <c r="O92" s="55" t="str">
        <f>IF(COUNT(Aug[[#This Row],[Date]])&gt;0,IF(Aug[[#This Row],[Date]]&gt;14,"Yes","No"),"N/A")</f>
        <v>N/A</v>
      </c>
      <c r="P92" s="55"/>
      <c r="Q92" s="5">
        <f>Relay!A91</f>
        <v>0</v>
      </c>
      <c r="R92" s="5">
        <f>Relay!B91</f>
        <v>90</v>
      </c>
      <c r="S92" s="8">
        <f>IF(Aug[After the 14th?]="No",SUMIF(Aug[SysID],R92,Aug[Pay Amount]),0)+IF(July[After the 14th?]="Yes",SUMIF(July[SysID],R92,July[Pay Amount]),0)</f>
        <v>0</v>
      </c>
      <c r="T92" s="8"/>
      <c r="U92" s="5" t="str">
        <f t="shared" si="5"/>
        <v>N</v>
      </c>
      <c r="X92" s="56"/>
      <c r="Y92" s="56"/>
      <c r="Z92" s="56"/>
      <c r="AA92" s="56"/>
      <c r="AC92" s="56"/>
    </row>
    <row r="93" spans="1:29" x14ac:dyDescent="0.25">
      <c r="A93" s="35"/>
      <c r="B93" s="32" t="e">
        <f>VLOOKUP(A93,Relay!$A$1:$B$50,2,FALSE)</f>
        <v>#N/A</v>
      </c>
      <c r="C93" s="32" t="e">
        <f>VLOOKUP(A93,Relay!$A$2:$C$101,3,FALSE)</f>
        <v>#N/A</v>
      </c>
      <c r="D93" s="39"/>
      <c r="E93" s="35"/>
      <c r="F93" s="58" t="str">
        <f t="shared" si="3"/>
        <v>INS</v>
      </c>
      <c r="G93" s="32" t="e">
        <f>IF(OR(E93="Jeopardy",E93="APP Moonlighting",E93="Differential Pay"),"",Aug[[#This Row],[SysID]])</f>
        <v>#N/A</v>
      </c>
      <c r="H93" s="32" t="e">
        <f>IF(E93="Jeopardy",IF(C93="MD",Relay!$E$7,Relay!$E$8),IF(C93="MD",IF(COUNTIF(G:G,B93)&gt;1,Relay!$E$2,Relay!$E$1),IF(AND(COUNTIF(G:G,B93)&gt;1,COUNTA(A93)&gt;0),Relay!$E$5,Relay!$E$4)))</f>
        <v>#N/A</v>
      </c>
      <c r="I93" s="8">
        <f t="shared" si="4"/>
        <v>0</v>
      </c>
      <c r="J93" s="35"/>
      <c r="K93" s="35"/>
      <c r="L93" s="35"/>
      <c r="M93" s="35"/>
      <c r="N93" s="32" t="e">
        <f>IF(H93=Aug!$E$2,"N",IF(AND(COUNTIF(B:B,B93)=1,D93&gt;14),"Y","N"))</f>
        <v>#N/A</v>
      </c>
      <c r="O93" s="55" t="str">
        <f>IF(COUNT(Aug[[#This Row],[Date]])&gt;0,IF(Aug[[#This Row],[Date]]&gt;14,"Yes","No"),"N/A")</f>
        <v>N/A</v>
      </c>
      <c r="P93" s="55"/>
      <c r="Q93" s="5">
        <f>Relay!A92</f>
        <v>0</v>
      </c>
      <c r="R93" s="5">
        <f>Relay!B92</f>
        <v>91</v>
      </c>
      <c r="S93" s="8">
        <f>IF(Aug[After the 14th?]="No",SUMIF(Aug[SysID],R93,Aug[Pay Amount]),0)+IF(July[After the 14th?]="Yes",SUMIF(July[SysID],R93,July[Pay Amount]),0)</f>
        <v>0</v>
      </c>
      <c r="T93" s="8"/>
      <c r="U93" s="5" t="str">
        <f t="shared" si="5"/>
        <v>N</v>
      </c>
      <c r="X93" s="56"/>
      <c r="Y93" s="56"/>
      <c r="Z93" s="56"/>
      <c r="AA93" s="56"/>
      <c r="AC93" s="56"/>
    </row>
    <row r="94" spans="1:29" x14ac:dyDescent="0.25">
      <c r="A94" s="35"/>
      <c r="B94" s="32" t="e">
        <f>VLOOKUP(A94,Relay!$A$1:$B$50,2,FALSE)</f>
        <v>#N/A</v>
      </c>
      <c r="C94" s="32" t="e">
        <f>VLOOKUP(A94,Relay!$A$2:$C$101,3,FALSE)</f>
        <v>#N/A</v>
      </c>
      <c r="D94" s="39"/>
      <c r="E94" s="35"/>
      <c r="F94" s="58" t="str">
        <f t="shared" si="3"/>
        <v>INS</v>
      </c>
      <c r="G94" s="32" t="e">
        <f>IF(OR(E94="Jeopardy",E94="APP Moonlighting",E94="Differential Pay"),"",Aug[[#This Row],[SysID]])</f>
        <v>#N/A</v>
      </c>
      <c r="H94" s="32" t="e">
        <f>IF(E94="Jeopardy",IF(C94="MD",Relay!$E$7,Relay!$E$8),IF(C94="MD",IF(COUNTIF(G:G,B94)&gt;1,Relay!$E$2,Relay!$E$1),IF(AND(COUNTIF(G:G,B94)&gt;1,COUNTA(A94)&gt;0),Relay!$E$5,Relay!$E$4)))</f>
        <v>#N/A</v>
      </c>
      <c r="I94" s="8">
        <f t="shared" si="4"/>
        <v>0</v>
      </c>
      <c r="J94" s="35"/>
      <c r="K94" s="35"/>
      <c r="L94" s="35"/>
      <c r="M94" s="35"/>
      <c r="N94" s="32" t="e">
        <f>IF(H94=Aug!$E$2,"N",IF(AND(COUNTIF(B:B,B94)=1,D94&gt;14),"Y","N"))</f>
        <v>#N/A</v>
      </c>
      <c r="O94" s="55" t="str">
        <f>IF(COUNT(Aug[[#This Row],[Date]])&gt;0,IF(Aug[[#This Row],[Date]]&gt;14,"Yes","No"),"N/A")</f>
        <v>N/A</v>
      </c>
      <c r="P94" s="55"/>
      <c r="Q94" s="5">
        <f>Relay!A93</f>
        <v>0</v>
      </c>
      <c r="R94" s="5">
        <f>Relay!B93</f>
        <v>92</v>
      </c>
      <c r="S94" s="8">
        <f>IF(Aug[After the 14th?]="No",SUMIF(Aug[SysID],R94,Aug[Pay Amount]),0)+IF(July[After the 14th?]="Yes",SUMIF(July[SysID],R94,July[Pay Amount]),0)</f>
        <v>0</v>
      </c>
      <c r="T94" s="8"/>
      <c r="U94" s="5" t="str">
        <f t="shared" si="5"/>
        <v>N</v>
      </c>
      <c r="X94" s="56"/>
      <c r="Y94" s="56"/>
      <c r="Z94" s="56"/>
      <c r="AA94" s="56"/>
      <c r="AC94" s="56"/>
    </row>
    <row r="95" spans="1:29" x14ac:dyDescent="0.25">
      <c r="A95" s="35"/>
      <c r="B95" s="32" t="e">
        <f>VLOOKUP(A95,Relay!$A$1:$B$50,2,FALSE)</f>
        <v>#N/A</v>
      </c>
      <c r="C95" s="32" t="e">
        <f>VLOOKUP(A95,Relay!$A$2:$C$101,3,FALSE)</f>
        <v>#N/A</v>
      </c>
      <c r="D95" s="39"/>
      <c r="E95" s="35"/>
      <c r="F95" s="58" t="str">
        <f t="shared" si="3"/>
        <v>INS</v>
      </c>
      <c r="G95" s="32" t="e">
        <f>IF(OR(E95="Jeopardy",E95="APP Moonlighting",E95="Differential Pay"),"",Aug[[#This Row],[SysID]])</f>
        <v>#N/A</v>
      </c>
      <c r="H95" s="32" t="e">
        <f>IF(E95="Jeopardy",IF(C95="MD",Relay!$E$7,Relay!$E$8),IF(C95="MD",IF(COUNTIF(G:G,B95)&gt;1,Relay!$E$2,Relay!$E$1),IF(AND(COUNTIF(G:G,B95)&gt;1,COUNTA(A95)&gt;0),Relay!$E$5,Relay!$E$4)))</f>
        <v>#N/A</v>
      </c>
      <c r="I95" s="8">
        <f t="shared" si="4"/>
        <v>0</v>
      </c>
      <c r="J95" s="35"/>
      <c r="K95" s="35"/>
      <c r="L95" s="35"/>
      <c r="M95" s="35"/>
      <c r="N95" s="32" t="e">
        <f>IF(H95=Aug!$E$2,"N",IF(AND(COUNTIF(B:B,B95)=1,D95&gt;14),"Y","N"))</f>
        <v>#N/A</v>
      </c>
      <c r="O95" s="55" t="str">
        <f>IF(COUNT(Aug[[#This Row],[Date]])&gt;0,IF(Aug[[#This Row],[Date]]&gt;14,"Yes","No"),"N/A")</f>
        <v>N/A</v>
      </c>
      <c r="P95" s="55"/>
      <c r="Q95" s="5">
        <f>Relay!A94</f>
        <v>0</v>
      </c>
      <c r="R95" s="5">
        <f>Relay!B94</f>
        <v>93</v>
      </c>
      <c r="S95" s="8">
        <f>IF(Aug[After the 14th?]="No",SUMIF(Aug[SysID],R95,Aug[Pay Amount]),0)+IF(July[After the 14th?]="Yes",SUMIF(July[SysID],R95,July[Pay Amount]),0)</f>
        <v>0</v>
      </c>
      <c r="T95" s="8"/>
      <c r="U95" s="5" t="str">
        <f t="shared" si="5"/>
        <v>N</v>
      </c>
      <c r="X95" s="56"/>
      <c r="Y95" s="56"/>
      <c r="Z95" s="56"/>
      <c r="AA95" s="56"/>
      <c r="AC95" s="56"/>
    </row>
    <row r="96" spans="1:29" x14ac:dyDescent="0.25">
      <c r="A96" s="35"/>
      <c r="B96" s="32" t="e">
        <f>VLOOKUP(A96,Relay!$A$1:$B$50,2,FALSE)</f>
        <v>#N/A</v>
      </c>
      <c r="C96" s="32" t="e">
        <f>VLOOKUP(A96,Relay!$A$2:$C$101,3,FALSE)</f>
        <v>#N/A</v>
      </c>
      <c r="D96" s="39"/>
      <c r="E96" s="35"/>
      <c r="F96" s="58" t="str">
        <f t="shared" si="3"/>
        <v>INS</v>
      </c>
      <c r="G96" s="32" t="e">
        <f>IF(OR(E96="Jeopardy",E96="APP Moonlighting",E96="Differential Pay"),"",Aug[[#This Row],[SysID]])</f>
        <v>#N/A</v>
      </c>
      <c r="H96" s="32" t="e">
        <f>IF(E96="Jeopardy",IF(C96="MD",Relay!$E$7,Relay!$E$8),IF(C96="MD",IF(COUNTIF(G:G,B96)&gt;1,Relay!$E$2,Relay!$E$1),IF(AND(COUNTIF(G:G,B96)&gt;1,COUNTA(A96)&gt;0),Relay!$E$5,Relay!$E$4)))</f>
        <v>#N/A</v>
      </c>
      <c r="I96" s="8">
        <f t="shared" si="4"/>
        <v>0</v>
      </c>
      <c r="J96" s="35"/>
      <c r="K96" s="35"/>
      <c r="L96" s="35"/>
      <c r="M96" s="35"/>
      <c r="N96" s="32" t="e">
        <f>IF(H96=Aug!$E$2,"N",IF(AND(COUNTIF(B:B,B96)=1,D96&gt;14),"Y","N"))</f>
        <v>#N/A</v>
      </c>
      <c r="O96" s="55" t="str">
        <f>IF(COUNT(Aug[[#This Row],[Date]])&gt;0,IF(Aug[[#This Row],[Date]]&gt;14,"Yes","No"),"N/A")</f>
        <v>N/A</v>
      </c>
      <c r="P96" s="55"/>
      <c r="Q96" s="5">
        <f>Relay!A95</f>
        <v>0</v>
      </c>
      <c r="R96" s="5">
        <f>Relay!B95</f>
        <v>94</v>
      </c>
      <c r="S96" s="8">
        <f>IF(Aug[After the 14th?]="No",SUMIF(Aug[SysID],R96,Aug[Pay Amount]),0)+IF(July[After the 14th?]="Yes",SUMIF(July[SysID],R96,July[Pay Amount]),0)</f>
        <v>0</v>
      </c>
      <c r="T96" s="8"/>
      <c r="U96" s="5" t="str">
        <f t="shared" si="5"/>
        <v>N</v>
      </c>
      <c r="X96" s="56"/>
      <c r="Y96" s="56"/>
      <c r="Z96" s="56"/>
      <c r="AA96" s="56"/>
      <c r="AC96" s="56"/>
    </row>
    <row r="97" spans="1:29" x14ac:dyDescent="0.25">
      <c r="A97" s="35"/>
      <c r="B97" s="32" t="e">
        <f>VLOOKUP(A97,Relay!$A$1:$B$50,2,FALSE)</f>
        <v>#N/A</v>
      </c>
      <c r="C97" s="32" t="e">
        <f>VLOOKUP(A97,Relay!$A$2:$C$101,3,FALSE)</f>
        <v>#N/A</v>
      </c>
      <c r="D97" s="39"/>
      <c r="E97" s="35"/>
      <c r="F97" s="58" t="str">
        <f t="shared" si="3"/>
        <v>INS</v>
      </c>
      <c r="G97" s="32" t="e">
        <f>IF(OR(E97="Jeopardy",E97="APP Moonlighting",E97="Differential Pay"),"",Aug[[#This Row],[SysID]])</f>
        <v>#N/A</v>
      </c>
      <c r="H97" s="32" t="e">
        <f>IF(E97="Jeopardy",IF(C97="MD",Relay!$E$7,Relay!$E$8),IF(C97="MD",IF(COUNTIF(G:G,B97)&gt;1,Relay!$E$2,Relay!$E$1),IF(AND(COUNTIF(G:G,B97)&gt;1,COUNTA(A97)&gt;0),Relay!$E$5,Relay!$E$4)))</f>
        <v>#N/A</v>
      </c>
      <c r="I97" s="8">
        <f t="shared" si="4"/>
        <v>0</v>
      </c>
      <c r="J97" s="35"/>
      <c r="K97" s="35"/>
      <c r="L97" s="35"/>
      <c r="M97" s="35"/>
      <c r="N97" s="32" t="e">
        <f>IF(H97=Aug!$E$2,"N",IF(AND(COUNTIF(B:B,B97)=1,D97&gt;14),"Y","N"))</f>
        <v>#N/A</v>
      </c>
      <c r="O97" s="55" t="str">
        <f>IF(COUNT(Aug[[#This Row],[Date]])&gt;0,IF(Aug[[#This Row],[Date]]&gt;14,"Yes","No"),"N/A")</f>
        <v>N/A</v>
      </c>
      <c r="P97" s="55"/>
      <c r="Q97" s="5">
        <f>Relay!A96</f>
        <v>0</v>
      </c>
      <c r="R97" s="5">
        <f>Relay!B96</f>
        <v>95</v>
      </c>
      <c r="S97" s="8">
        <f>IF(Aug[After the 14th?]="No",SUMIF(Aug[SysID],R97,Aug[Pay Amount]),0)+IF(July[After the 14th?]="Yes",SUMIF(July[SysID],R97,July[Pay Amount]),0)</f>
        <v>0</v>
      </c>
      <c r="T97" s="8"/>
      <c r="U97" s="5" t="str">
        <f t="shared" si="5"/>
        <v>N</v>
      </c>
      <c r="X97" s="56"/>
      <c r="Y97" s="56"/>
      <c r="Z97" s="56"/>
      <c r="AA97" s="56"/>
      <c r="AC97" s="56"/>
    </row>
    <row r="98" spans="1:29" x14ac:dyDescent="0.25">
      <c r="A98" s="35"/>
      <c r="B98" s="32" t="e">
        <f>VLOOKUP(A98,Relay!$A$1:$B$50,2,FALSE)</f>
        <v>#N/A</v>
      </c>
      <c r="C98" s="32" t="e">
        <f>VLOOKUP(A98,Relay!$A$2:$C$101,3,FALSE)</f>
        <v>#N/A</v>
      </c>
      <c r="D98" s="39"/>
      <c r="E98" s="35"/>
      <c r="F98" s="58" t="str">
        <f t="shared" si="3"/>
        <v>INS</v>
      </c>
      <c r="G98" s="32" t="e">
        <f>IF(OR(E98="Jeopardy",E98="APP Moonlighting",E98="Differential Pay"),"",Aug[[#This Row],[SysID]])</f>
        <v>#N/A</v>
      </c>
      <c r="H98" s="32" t="e">
        <f>IF(E98="Jeopardy",IF(C98="MD",Relay!$E$7,Relay!$E$8),IF(C98="MD",IF(COUNTIF(G:G,B98)&gt;1,Relay!$E$2,Relay!$E$1),IF(AND(COUNTIF(G:G,B98)&gt;1,COUNTA(A98)&gt;0),Relay!$E$5,Relay!$E$4)))</f>
        <v>#N/A</v>
      </c>
      <c r="I98" s="8">
        <f t="shared" si="4"/>
        <v>0</v>
      </c>
      <c r="J98" s="35"/>
      <c r="K98" s="35"/>
      <c r="L98" s="35"/>
      <c r="M98" s="35"/>
      <c r="N98" s="32" t="e">
        <f>IF(H98=Aug!$E$2,"N",IF(AND(COUNTIF(B:B,B98)=1,D98&gt;14),"Y","N"))</f>
        <v>#N/A</v>
      </c>
      <c r="O98" s="55" t="str">
        <f>IF(COUNT(Aug[[#This Row],[Date]])&gt;0,IF(Aug[[#This Row],[Date]]&gt;14,"Yes","No"),"N/A")</f>
        <v>N/A</v>
      </c>
      <c r="P98" s="55"/>
      <c r="Q98" s="5">
        <f>Relay!A97</f>
        <v>0</v>
      </c>
      <c r="R98" s="5">
        <f>Relay!B97</f>
        <v>96</v>
      </c>
      <c r="S98" s="8">
        <f>IF(Aug[After the 14th?]="No",SUMIF(Aug[SysID],R98,Aug[Pay Amount]),0)+IF(July[After the 14th?]="Yes",SUMIF(July[SysID],R98,July[Pay Amount]),0)</f>
        <v>0</v>
      </c>
      <c r="T98" s="8"/>
      <c r="U98" s="5" t="str">
        <f t="shared" si="5"/>
        <v>N</v>
      </c>
      <c r="X98" s="56"/>
      <c r="Y98" s="56"/>
      <c r="Z98" s="56"/>
      <c r="AA98" s="56"/>
      <c r="AC98" s="56"/>
    </row>
    <row r="99" spans="1:29" x14ac:dyDescent="0.25">
      <c r="A99" s="35"/>
      <c r="B99" s="32" t="e">
        <f>VLOOKUP(A99,Relay!$A$1:$B$50,2,FALSE)</f>
        <v>#N/A</v>
      </c>
      <c r="C99" s="32" t="e">
        <f>VLOOKUP(A99,Relay!$A$2:$C$101,3,FALSE)</f>
        <v>#N/A</v>
      </c>
      <c r="D99" s="39"/>
      <c r="E99" s="35"/>
      <c r="F99" s="58" t="str">
        <f t="shared" si="3"/>
        <v>INS</v>
      </c>
      <c r="G99" s="32" t="e">
        <f>IF(OR(E99="Jeopardy",E99="APP Moonlighting",E99="Differential Pay"),"",Aug[[#This Row],[SysID]])</f>
        <v>#N/A</v>
      </c>
      <c r="H99" s="32" t="e">
        <f>IF(E99="Jeopardy",IF(C99="MD",Relay!$E$7,Relay!$E$8),IF(C99="MD",IF(COUNTIF(G:G,B99)&gt;1,Relay!$E$2,Relay!$E$1),IF(AND(COUNTIF(G:G,B99)&gt;1,COUNTA(A99)&gt;0),Relay!$E$5,Relay!$E$4)))</f>
        <v>#N/A</v>
      </c>
      <c r="I99" s="8">
        <f t="shared" si="4"/>
        <v>0</v>
      </c>
      <c r="J99" s="35"/>
      <c r="K99" s="35"/>
      <c r="L99" s="35"/>
      <c r="M99" s="35"/>
      <c r="N99" s="32" t="e">
        <f>IF(H99=Aug!$E$2,"N",IF(AND(COUNTIF(B:B,B99)=1,D99&gt;14),"Y","N"))</f>
        <v>#N/A</v>
      </c>
      <c r="O99" s="55" t="str">
        <f>IF(COUNT(Aug[[#This Row],[Date]])&gt;0,IF(Aug[[#This Row],[Date]]&gt;14,"Yes","No"),"N/A")</f>
        <v>N/A</v>
      </c>
      <c r="P99" s="55"/>
      <c r="Q99" s="5">
        <f>Relay!A98</f>
        <v>0</v>
      </c>
      <c r="R99" s="5">
        <f>Relay!B98</f>
        <v>97</v>
      </c>
      <c r="S99" s="8">
        <f>IF(Aug[After the 14th?]="No",SUMIF(Aug[SysID],R99,Aug[Pay Amount]),0)+IF(July[After the 14th?]="Yes",SUMIF(July[SysID],R99,July[Pay Amount]),0)</f>
        <v>0</v>
      </c>
      <c r="T99" s="8"/>
      <c r="U99" s="5" t="str">
        <f t="shared" si="5"/>
        <v>N</v>
      </c>
      <c r="X99" s="56"/>
      <c r="Y99" s="56"/>
      <c r="Z99" s="56"/>
      <c r="AA99" s="56"/>
      <c r="AC99" s="56"/>
    </row>
    <row r="100" spans="1:29" x14ac:dyDescent="0.25">
      <c r="A100" s="35"/>
      <c r="B100" s="32" t="e">
        <f>VLOOKUP(A100,Relay!$A$1:$B$50,2,FALSE)</f>
        <v>#N/A</v>
      </c>
      <c r="C100" s="32" t="e">
        <f>VLOOKUP(A100,Relay!$A$2:$C$101,3,FALSE)</f>
        <v>#N/A</v>
      </c>
      <c r="D100" s="39"/>
      <c r="E100" s="35"/>
      <c r="F100" s="58" t="str">
        <f t="shared" si="3"/>
        <v>INS</v>
      </c>
      <c r="G100" s="32" t="e">
        <f>IF(OR(E100="Jeopardy",E100="APP Moonlighting",E100="Differential Pay"),"",Aug[[#This Row],[SysID]])</f>
        <v>#N/A</v>
      </c>
      <c r="H100" s="32" t="e">
        <f>IF(E100="Jeopardy",IF(C100="MD",Relay!$E$7,Relay!$E$8),IF(C100="MD",IF(COUNTIF(G:G,B100)&gt;1,Relay!$E$2,Relay!$E$1),IF(AND(COUNTIF(G:G,B100)&gt;1,COUNTA(A100)&gt;0),Relay!$E$5,Relay!$E$4)))</f>
        <v>#N/A</v>
      </c>
      <c r="I100" s="8">
        <f t="shared" si="4"/>
        <v>0</v>
      </c>
      <c r="J100" s="35"/>
      <c r="K100" s="35"/>
      <c r="L100" s="35"/>
      <c r="M100" s="35"/>
      <c r="N100" s="32" t="e">
        <f>IF(H100=Aug!$E$2,"N",IF(AND(COUNTIF(B:B,B100)=1,D100&gt;14),"Y","N"))</f>
        <v>#N/A</v>
      </c>
      <c r="O100" s="55" t="str">
        <f>IF(COUNT(Aug[[#This Row],[Date]])&gt;0,IF(Aug[[#This Row],[Date]]&gt;14,"Yes","No"),"N/A")</f>
        <v>N/A</v>
      </c>
      <c r="P100" s="55"/>
      <c r="Q100" s="5">
        <f>Relay!A99</f>
        <v>0</v>
      </c>
      <c r="R100" s="5">
        <f>Relay!B99</f>
        <v>98</v>
      </c>
      <c r="S100" s="8">
        <f>IF(Aug[After the 14th?]="No",SUMIF(Aug[SysID],R100,Aug[Pay Amount]),0)+IF(July[After the 14th?]="Yes",SUMIF(July[SysID],R100,July[Pay Amount]),0)</f>
        <v>0</v>
      </c>
      <c r="T100" s="8"/>
      <c r="U100" s="5" t="str">
        <f t="shared" si="5"/>
        <v>N</v>
      </c>
      <c r="X100" s="56"/>
      <c r="Y100" s="56"/>
      <c r="Z100" s="56"/>
      <c r="AA100" s="56"/>
      <c r="AC100" s="56"/>
    </row>
    <row r="101" spans="1:29" x14ac:dyDescent="0.25">
      <c r="A101" s="35"/>
      <c r="B101" s="32" t="e">
        <f>VLOOKUP(A101,Relay!$A$1:$B$50,2,FALSE)</f>
        <v>#N/A</v>
      </c>
      <c r="C101" s="32" t="e">
        <f>VLOOKUP(A101,Relay!$A$2:$C$101,3,FALSE)</f>
        <v>#N/A</v>
      </c>
      <c r="D101" s="39"/>
      <c r="E101" s="35"/>
      <c r="F101" s="58" t="str">
        <f t="shared" si="3"/>
        <v>INS</v>
      </c>
      <c r="G101" s="32" t="e">
        <f>IF(OR(E101="Jeopardy",E101="APP Moonlighting",E101="Differential Pay"),"",Aug[[#This Row],[SysID]])</f>
        <v>#N/A</v>
      </c>
      <c r="H101" s="32" t="e">
        <f>IF(E101="Jeopardy",IF(C101="MD",Relay!$E$7,Relay!$E$8),IF(C101="MD",IF(COUNTIF(G:G,B101)&gt;1,Relay!$E$2,Relay!$E$1),IF(AND(COUNTIF(G:G,B101)&gt;1,COUNTA(A101)&gt;0),Relay!$E$5,Relay!$E$4)))</f>
        <v>#N/A</v>
      </c>
      <c r="I101" s="8">
        <f t="shared" si="4"/>
        <v>0</v>
      </c>
      <c r="J101" s="35"/>
      <c r="K101" s="35"/>
      <c r="L101" s="35"/>
      <c r="M101" s="35"/>
      <c r="N101" s="32" t="e">
        <f>IF(H101=Aug!$E$2,"N",IF(AND(COUNTIF(B:B,B101)=1,D101&gt;14),"Y","N"))</f>
        <v>#N/A</v>
      </c>
      <c r="O101" s="55" t="str">
        <f>IF(COUNT(Aug[[#This Row],[Date]])&gt;0,IF(Aug[[#This Row],[Date]]&gt;14,"Yes","No"),"N/A")</f>
        <v>N/A</v>
      </c>
      <c r="P101" s="55"/>
      <c r="Q101" s="5">
        <f>Relay!A100</f>
        <v>0</v>
      </c>
      <c r="R101" s="5">
        <f>Relay!B100</f>
        <v>99</v>
      </c>
      <c r="S101" s="8">
        <f>IF(Aug[After the 14th?]="No",SUMIF(Aug[SysID],R101,Aug[Pay Amount]),0)+IF(July[After the 14th?]="Yes",SUMIF(July[SysID],R101,July[Pay Amount]),0)</f>
        <v>0</v>
      </c>
      <c r="T101" s="8"/>
      <c r="U101" s="5" t="str">
        <f t="shared" si="5"/>
        <v>N</v>
      </c>
      <c r="X101" s="56"/>
      <c r="Y101" s="56"/>
      <c r="Z101" s="56"/>
      <c r="AA101" s="56"/>
      <c r="AC101" s="56"/>
    </row>
    <row r="102" spans="1:29" x14ac:dyDescent="0.25">
      <c r="A102" s="35"/>
      <c r="B102" s="32" t="e">
        <f>VLOOKUP(A102,Relay!$A$1:$B$50,2,FALSE)</f>
        <v>#N/A</v>
      </c>
      <c r="C102" s="32" t="e">
        <f>VLOOKUP(A102,Relay!$A$2:$C$101,3,FALSE)</f>
        <v>#N/A</v>
      </c>
      <c r="D102" s="39"/>
      <c r="E102" s="35"/>
      <c r="F102" s="58" t="str">
        <f t="shared" si="3"/>
        <v>INS</v>
      </c>
      <c r="G102" s="32" t="e">
        <f>IF(OR(E102="Jeopardy",E102="APP Moonlighting",E102="Differential Pay"),"",Aug[[#This Row],[SysID]])</f>
        <v>#N/A</v>
      </c>
      <c r="H102" s="32" t="e">
        <f>IF(E102="Jeopardy",IF(C102="MD",Relay!$E$7,Relay!$E$8),IF(C102="MD",IF(COUNTIF(G:G,B102)&gt;1,Relay!$E$2,Relay!$E$1),IF(AND(COUNTIF(G:G,B102)&gt;1,COUNTA(A102)&gt;0),Relay!$E$5,Relay!$E$4)))</f>
        <v>#N/A</v>
      </c>
      <c r="I102" s="8">
        <f t="shared" si="4"/>
        <v>0</v>
      </c>
      <c r="J102" s="35"/>
      <c r="K102" s="35"/>
      <c r="L102" s="35"/>
      <c r="M102" s="35"/>
      <c r="N102" s="32" t="e">
        <f>IF(H102=Aug!$E$2,"N",IF(AND(COUNTIF(B:B,B102)=1,D102&gt;14),"Y","N"))</f>
        <v>#N/A</v>
      </c>
      <c r="O102" s="55" t="str">
        <f>IF(COUNT(Aug[[#This Row],[Date]])&gt;0,IF(Aug[[#This Row],[Date]]&gt;14,"Yes","No"),"N/A")</f>
        <v>N/A</v>
      </c>
      <c r="P102" s="55"/>
      <c r="Q102" s="5">
        <f>Relay!A101</f>
        <v>0</v>
      </c>
      <c r="R102" s="5">
        <f>Relay!B101</f>
        <v>100</v>
      </c>
      <c r="S102" s="8">
        <f>IF(Aug[After the 14th?]="No",SUMIF(Aug[SysID],R102,Aug[Pay Amount]),0)+IF(July[After the 14th?]="Yes",SUMIF(July[SysID],R102,July[Pay Amount]),0)</f>
        <v>0</v>
      </c>
      <c r="T102" s="8"/>
      <c r="U102" s="5" t="str">
        <f t="shared" si="5"/>
        <v>N</v>
      </c>
      <c r="X102" s="56"/>
      <c r="Y102" s="56"/>
      <c r="Z102" s="56"/>
      <c r="AA102" s="56"/>
      <c r="AC102" s="56"/>
    </row>
    <row r="103" spans="1:29" x14ac:dyDescent="0.25">
      <c r="A103" s="35"/>
      <c r="B103" s="32" t="e">
        <f>VLOOKUP(A103,Relay!$A$1:$B$50,2,FALSE)</f>
        <v>#N/A</v>
      </c>
      <c r="C103" s="32" t="e">
        <f>VLOOKUP(A103,Relay!$A$2:$C$101,3,FALSE)</f>
        <v>#N/A</v>
      </c>
      <c r="D103" s="39"/>
      <c r="E103" s="35"/>
      <c r="F103" s="58" t="str">
        <f t="shared" si="3"/>
        <v>INS</v>
      </c>
      <c r="G103" s="32" t="e">
        <f>IF(OR(E103="Jeopardy",E103="APP Moonlighting",E103="Differential Pay"),"",Aug[[#This Row],[SysID]])</f>
        <v>#N/A</v>
      </c>
      <c r="H103" s="32" t="e">
        <f>IF(E103="Jeopardy",IF(C103="MD",Relay!$E$7,Relay!$E$8),IF(C103="MD",IF(COUNTIF(G:G,B103)&gt;1,Relay!$E$2,Relay!$E$1),IF(AND(COUNTIF(G:G,B103)&gt;1,COUNTA(A103)&gt;0),Relay!$E$5,Relay!$E$4)))</f>
        <v>#N/A</v>
      </c>
      <c r="I103" s="8">
        <f t="shared" si="4"/>
        <v>0</v>
      </c>
      <c r="J103" s="35"/>
      <c r="K103" s="35"/>
      <c r="L103" s="35"/>
      <c r="M103" s="35"/>
      <c r="N103" s="32" t="e">
        <f>IF(H103=Aug!$E$2,"N",IF(AND(COUNTIF(B:B,B103)=1,D103&gt;14),"Y","N"))</f>
        <v>#N/A</v>
      </c>
      <c r="O103" s="55" t="str">
        <f>IF(COUNT(Aug[[#This Row],[Date]])&gt;0,IF(Aug[[#This Row],[Date]]&gt;14,"Yes","No"),"N/A")</f>
        <v>N/A</v>
      </c>
      <c r="P103" s="55"/>
      <c r="Q103">
        <f>Relay!A102</f>
        <v>0</v>
      </c>
      <c r="R103">
        <f>Relay!B102</f>
        <v>0</v>
      </c>
      <c r="S103" s="9">
        <f>IF(Aug[After the 14th?]="No",SUMIF(Aug[SysID],R103,Aug[Pay Amount]),0)+IF(July[After the 14th?]="Yes",SUMIF(July[SysID],R103,July[Pay Amount]),0)</f>
        <v>0</v>
      </c>
      <c r="U103" s="5" t="str">
        <f t="shared" si="5"/>
        <v>N</v>
      </c>
      <c r="X103" s="56"/>
      <c r="Y103" s="56"/>
      <c r="Z103" s="56"/>
      <c r="AA103" s="56"/>
      <c r="AC103" s="56"/>
    </row>
  </sheetData>
  <conditionalFormatting sqref="N1:N1048576">
    <cfRule type="containsText" dxfId="439" priority="6" operator="containsText" text="Y">
      <formula>NOT(ISERROR(SEARCH("Y",N1)))</formula>
    </cfRule>
  </conditionalFormatting>
  <conditionalFormatting sqref="F1:G1048576">
    <cfRule type="containsText" dxfId="438" priority="5" operator="containsText" text="INS">
      <formula>NOT(ISERROR(SEARCH("INS",F1)))</formula>
    </cfRule>
  </conditionalFormatting>
  <conditionalFormatting sqref="O1:O1048576">
    <cfRule type="containsText" dxfId="437" priority="2" operator="containsText" text="yes">
      <formula>NOT(ISERROR(SEARCH("yes",O1)))</formula>
    </cfRule>
    <cfRule type="containsText" dxfId="436" priority="3" operator="containsText" text="no">
      <formula>NOT(ISERROR(SEARCH("no",O1)))</formula>
    </cfRule>
    <cfRule type="containsText" dxfId="435" priority="4" operator="containsText" text="/">
      <formula>NOT(ISERROR(SEARCH("/",O1)))</formula>
    </cfRule>
  </conditionalFormatting>
  <conditionalFormatting sqref="U1:U1048576">
    <cfRule type="containsText" dxfId="434" priority="1" operator="containsText" text="Y">
      <formula>NOT(ISERROR(SEARCH("Y",U1)))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Relay!$D$11:$D$16</xm:f>
          </x14:formula1>
          <xm:sqref>E3:E103</xm:sqref>
        </x14:dataValidation>
        <x14:dataValidation type="list" allowBlank="1" showInputMessage="1" showErrorMessage="1">
          <x14:formula1>
            <xm:f>Relay!$A$2:$A$101</xm:f>
          </x14:formula1>
          <xm:sqref>A3:A103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103"/>
  <sheetViews>
    <sheetView workbookViewId="0">
      <selection activeCell="H4" sqref="H4"/>
    </sheetView>
  </sheetViews>
  <sheetFormatPr defaultRowHeight="15" x14ac:dyDescent="0.25"/>
  <cols>
    <col min="1" max="1" width="21.7109375" style="36" customWidth="1"/>
    <col min="2" max="2" width="9.140625" hidden="1" customWidth="1"/>
    <col min="3" max="3" width="12.85546875" bestFit="1" customWidth="1"/>
    <col min="4" max="4" width="10.7109375" style="40" bestFit="1" customWidth="1"/>
    <col min="5" max="5" width="12.85546875" style="36" bestFit="1" customWidth="1"/>
    <col min="6" max="6" width="12.85546875" style="36" customWidth="1"/>
    <col min="7" max="7" width="12.85546875" customWidth="1"/>
    <col min="8" max="8" width="10.7109375" customWidth="1"/>
    <col min="9" max="9" width="15.5703125" style="9" bestFit="1" customWidth="1"/>
    <col min="10" max="10" width="9.140625" style="36" customWidth="1"/>
    <col min="11" max="11" width="13.140625" style="36" bestFit="1" customWidth="1"/>
    <col min="12" max="12" width="15.5703125" style="36" bestFit="1" customWidth="1"/>
    <col min="13" max="13" width="14.140625" style="36" bestFit="1" customWidth="1"/>
    <col min="14" max="14" width="19.5703125" hidden="1" customWidth="1"/>
    <col min="15" max="16" width="17" customWidth="1"/>
    <col min="17" max="17" width="16.42578125" customWidth="1"/>
    <col min="19" max="19" width="15" style="9" bestFit="1" customWidth="1"/>
    <col min="20" max="20" width="16.28515625" style="9" bestFit="1" customWidth="1"/>
    <col min="21" max="21" width="9.140625" style="5"/>
    <col min="22" max="22" width="14.28515625" bestFit="1" customWidth="1"/>
    <col min="23" max="23" width="21.7109375" customWidth="1"/>
    <col min="27" max="27" width="12.85546875" bestFit="1" customWidth="1"/>
    <col min="28" max="28" width="9" style="9" bestFit="1" customWidth="1"/>
    <col min="29" max="29" width="8.42578125" bestFit="1" customWidth="1"/>
    <col min="30" max="30" width="10.42578125" style="9" bestFit="1" customWidth="1"/>
  </cols>
  <sheetData>
    <row r="1" spans="1:30" s="3" customFormat="1" x14ac:dyDescent="0.25">
      <c r="A1" s="33" t="s">
        <v>51</v>
      </c>
      <c r="D1" s="37"/>
      <c r="E1" s="41"/>
      <c r="F1" s="41"/>
      <c r="I1" s="6"/>
      <c r="J1" s="41"/>
      <c r="K1" s="41"/>
      <c r="L1" s="41"/>
      <c r="M1" s="41"/>
      <c r="Q1" s="2" t="s">
        <v>14</v>
      </c>
      <c r="S1" s="6"/>
      <c r="T1" s="6"/>
      <c r="U1" s="71"/>
      <c r="V1" s="2"/>
      <c r="AB1" s="6"/>
      <c r="AD1" s="6"/>
    </row>
    <row r="2" spans="1:30" x14ac:dyDescent="0.25">
      <c r="A2" s="34" t="s">
        <v>3</v>
      </c>
      <c r="B2" s="4" t="s">
        <v>2</v>
      </c>
      <c r="C2" s="4" t="s">
        <v>4</v>
      </c>
      <c r="D2" s="38" t="s">
        <v>1</v>
      </c>
      <c r="E2" s="34" t="s">
        <v>5</v>
      </c>
      <c r="F2" s="34" t="s">
        <v>6</v>
      </c>
      <c r="G2" s="4" t="s">
        <v>35</v>
      </c>
      <c r="H2" s="4" t="s">
        <v>7</v>
      </c>
      <c r="I2" s="7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11" t="s">
        <v>13</v>
      </c>
      <c r="O2" s="4" t="s">
        <v>70</v>
      </c>
      <c r="P2" s="4"/>
      <c r="Q2" s="5" t="s">
        <v>69</v>
      </c>
      <c r="R2" s="5" t="s">
        <v>2</v>
      </c>
      <c r="S2" s="8" t="s">
        <v>71</v>
      </c>
      <c r="T2" s="8" t="s">
        <v>16</v>
      </c>
      <c r="U2" s="5" t="s">
        <v>13</v>
      </c>
    </row>
    <row r="3" spans="1:30" x14ac:dyDescent="0.25">
      <c r="A3" s="35"/>
      <c r="B3" s="5" t="e">
        <f>VLOOKUP(A3,Relay!$A$1:$B$50,2,FALSE)</f>
        <v>#N/A</v>
      </c>
      <c r="C3" s="5" t="e">
        <f>VLOOKUP(A3,Relay!$A$2:$C$51,3,FALSE)</f>
        <v>#N/A</v>
      </c>
      <c r="D3" s="39"/>
      <c r="E3" s="35"/>
      <c r="F3" s="35" t="str">
        <f t="shared" ref="F3:F66" si="0">IF(E3="Moonlighting", 12, "INS")</f>
        <v>INS</v>
      </c>
      <c r="G3" s="5" t="e">
        <f>IF(OR(E3="Jeopardy",E3="APP Moonlighting",E3="Differential Pay"),"",Sept[[#This Row],[SysID]])</f>
        <v>#N/A</v>
      </c>
      <c r="H3" s="5" t="e">
        <f>IF(E3="Jeopardy",IF(C3="MD",Relay!$E$7,Relay!$E$8),IF(C3="MD",IF(COUNTIF(G:G,B3)&gt;1,Relay!$E$2,Relay!$E$1),IF(AND(COUNTIF(G:G,B3)&gt;1,COUNTA(A3)&gt;0),Relay!$E$5,Relay!$E$4)))</f>
        <v>#N/A</v>
      </c>
      <c r="I3" s="8">
        <f t="shared" ref="I3:I66" si="1">IF(COUNTA(A3)&gt;0,H3*F3,0)</f>
        <v>0</v>
      </c>
      <c r="J3" s="35"/>
      <c r="K3" s="35"/>
      <c r="L3" s="35"/>
      <c r="M3" s="35"/>
      <c r="N3" s="10" t="e">
        <f>IF(H3=Sept!$E$2,"N",IF(AND(COUNTIF(B:B,B3)=1,D3&gt;14),"Y","N"))</f>
        <v>#N/A</v>
      </c>
      <c r="O3" s="55" t="str">
        <f>IF(COUNT(Sept[[#This Row],[Date]])&gt;0,IF(Sept[[#This Row],[Date]]&gt;14,"Yes","No"),"N/A")</f>
        <v>N/A</v>
      </c>
      <c r="P3" s="55"/>
      <c r="Q3" s="5">
        <f>Relay!A2</f>
        <v>0</v>
      </c>
      <c r="R3" s="5">
        <f>Relay!B2</f>
        <v>1</v>
      </c>
      <c r="S3" s="8">
        <f>IF(Sept[After the 14th?]="No",SUMIF(Sept[SysID],R3,Sept[Pay Amount]),0)+IF(Aug[After the 14th?]="Yes",SUMIF(Aug[SysID],R3,Aug[Pay Amount]),0)</f>
        <v>0</v>
      </c>
      <c r="T3" s="8"/>
      <c r="U3" s="5" t="str">
        <f t="shared" ref="U3:U66" si="2">IF(S3=T3,"N","Y")</f>
        <v>N</v>
      </c>
      <c r="V3" s="57"/>
      <c r="W3" s="57"/>
      <c r="X3" s="56"/>
      <c r="Y3" s="56"/>
      <c r="Z3" s="56"/>
      <c r="AA3" s="56"/>
      <c r="AC3" s="56"/>
    </row>
    <row r="4" spans="1:30" x14ac:dyDescent="0.25">
      <c r="A4" s="35"/>
      <c r="B4" s="5" t="e">
        <f>VLOOKUP(A4,Relay!$A$1:$B$50,2,FALSE)</f>
        <v>#N/A</v>
      </c>
      <c r="C4" s="5" t="e">
        <f>VLOOKUP(A4,Relay!$A$2:$C$51,3,FALSE)</f>
        <v>#N/A</v>
      </c>
      <c r="D4" s="39"/>
      <c r="E4" s="35"/>
      <c r="F4" s="35" t="str">
        <f t="shared" si="0"/>
        <v>INS</v>
      </c>
      <c r="G4" s="5" t="e">
        <f>IF(OR(E4="Jeopardy",E4="APP Moonlighting",E4="Differential Pay"),"",Sept[[#This Row],[SysID]])</f>
        <v>#N/A</v>
      </c>
      <c r="H4" s="5" t="e">
        <f>IF(E4="Jeopardy",IF(C4="MD",Relay!$E$7,Relay!$E$8),IF(C4="MD",IF(COUNTIF(G:G,B4)&gt;1,Relay!$E$2,Relay!$E$1),IF(AND(COUNTIF(G:G,B4)&gt;1,COUNTA(A4)&gt;0),Relay!$E$5,Relay!$E$4)))</f>
        <v>#N/A</v>
      </c>
      <c r="I4" s="8">
        <f t="shared" si="1"/>
        <v>0</v>
      </c>
      <c r="J4" s="35"/>
      <c r="K4" s="35"/>
      <c r="L4" s="35"/>
      <c r="M4" s="35"/>
      <c r="N4" s="10" t="e">
        <f>IF(H4=Sept!$E$2,"N",IF(AND(COUNTIF(B:B,B4)=1,D4&gt;14),"Y","N"))</f>
        <v>#N/A</v>
      </c>
      <c r="O4" s="55" t="str">
        <f>IF(COUNT(Sept[[#This Row],[Date]])&gt;0,IF(Sept[[#This Row],[Date]]&gt;14,"Yes","No"),"N/A")</f>
        <v>N/A</v>
      </c>
      <c r="P4" s="55"/>
      <c r="Q4" s="5">
        <f>Relay!A3</f>
        <v>0</v>
      </c>
      <c r="R4" s="5">
        <f>Relay!B3</f>
        <v>2</v>
      </c>
      <c r="S4" s="8">
        <f>IF(Sept[After the 14th?]="No",SUMIF(Sept[SysID],R4,Sept[Pay Amount]),0)+IF(Aug[After the 14th?]="Yes",SUMIF(Aug[SysID],R4,Aug[Pay Amount]),0)</f>
        <v>0</v>
      </c>
      <c r="T4" s="8"/>
      <c r="U4" s="5" t="str">
        <f t="shared" si="2"/>
        <v>N</v>
      </c>
      <c r="X4" s="56"/>
      <c r="Y4" s="56"/>
      <c r="Z4" s="56"/>
      <c r="AA4" s="56"/>
      <c r="AC4" s="56"/>
    </row>
    <row r="5" spans="1:30" x14ac:dyDescent="0.25">
      <c r="A5" s="35"/>
      <c r="B5" s="5" t="e">
        <f>VLOOKUP(A5,Relay!$A$1:$B$50,2,FALSE)</f>
        <v>#N/A</v>
      </c>
      <c r="C5" s="5" t="e">
        <f>VLOOKUP(A5,Relay!$A$2:$C$51,3,FALSE)</f>
        <v>#N/A</v>
      </c>
      <c r="D5" s="39"/>
      <c r="E5" s="35"/>
      <c r="F5" s="35" t="str">
        <f t="shared" si="0"/>
        <v>INS</v>
      </c>
      <c r="G5" s="5" t="e">
        <f>IF(OR(E5="Jeopardy",E5="APP Moonlighting",E5="Differential Pay"),"",Sept[[#This Row],[SysID]])</f>
        <v>#N/A</v>
      </c>
      <c r="H5" s="5" t="e">
        <f>IF(E5="Jeopardy",IF(C5="MD",Relay!$E$7,Relay!$E$8),IF(C5="MD",IF(COUNTIF(G:G,B5)&gt;1,Relay!$E$2,Relay!$E$1),IF(AND(COUNTIF(G:G,B5)&gt;1,COUNTA(A5)&gt;0),Relay!$E$5,Relay!$E$4)))</f>
        <v>#N/A</v>
      </c>
      <c r="I5" s="8">
        <f t="shared" si="1"/>
        <v>0</v>
      </c>
      <c r="J5" s="35"/>
      <c r="K5" s="35"/>
      <c r="L5" s="35"/>
      <c r="M5" s="35"/>
      <c r="N5" s="10" t="e">
        <f>IF(H5=Sept!$E$2,"N",IF(AND(COUNTIF(B:B,B5)=1,D5&gt;14),"Y","N"))</f>
        <v>#N/A</v>
      </c>
      <c r="O5" s="55" t="str">
        <f>IF(COUNT(Sept[[#This Row],[Date]])&gt;0,IF(Sept[[#This Row],[Date]]&gt;14,"Yes","No"),"N/A")</f>
        <v>N/A</v>
      </c>
      <c r="P5" s="55"/>
      <c r="Q5" s="5">
        <f>Relay!A4</f>
        <v>0</v>
      </c>
      <c r="R5" s="5">
        <f>Relay!B4</f>
        <v>3</v>
      </c>
      <c r="S5" s="8">
        <f>IF(Sept[After the 14th?]="No",SUMIF(Sept[SysID],R5,Sept[Pay Amount]),0)+IF(Aug[After the 14th?]="Yes",SUMIF(Aug[SysID],R5,Aug[Pay Amount]),0)</f>
        <v>0</v>
      </c>
      <c r="T5" s="8"/>
      <c r="U5" s="5" t="str">
        <f t="shared" si="2"/>
        <v>N</v>
      </c>
      <c r="X5" s="56"/>
      <c r="Y5" s="56"/>
      <c r="Z5" s="56"/>
      <c r="AA5" s="56"/>
      <c r="AC5" s="56"/>
    </row>
    <row r="6" spans="1:30" x14ac:dyDescent="0.25">
      <c r="A6" s="35"/>
      <c r="B6" s="5" t="e">
        <f>VLOOKUP(A6,Relay!$A$1:$B$50,2,FALSE)</f>
        <v>#N/A</v>
      </c>
      <c r="C6" s="5" t="e">
        <f>VLOOKUP(A6,Relay!$A$2:$C$51,3,FALSE)</f>
        <v>#N/A</v>
      </c>
      <c r="D6" s="39"/>
      <c r="E6" s="35"/>
      <c r="F6" s="35" t="str">
        <f t="shared" si="0"/>
        <v>INS</v>
      </c>
      <c r="G6" s="5" t="e">
        <f>IF(OR(E6="Jeopardy",E6="APP Moonlighting",E6="Differential Pay"),"",Sept[[#This Row],[SysID]])</f>
        <v>#N/A</v>
      </c>
      <c r="H6" s="5" t="e">
        <f>IF(E6="Jeopardy",IF(C6="MD",Relay!$E$7,Relay!$E$8),IF(C6="MD",IF(COUNTIF(G:G,B6)&gt;1,Relay!$E$2,Relay!$E$1),IF(AND(COUNTIF(G:G,B6)&gt;1,COUNTA(A6)&gt;0),Relay!$E$5,Relay!$E$4)))</f>
        <v>#N/A</v>
      </c>
      <c r="I6" s="8">
        <f t="shared" si="1"/>
        <v>0</v>
      </c>
      <c r="J6" s="35"/>
      <c r="K6" s="35"/>
      <c r="L6" s="35"/>
      <c r="M6" s="35"/>
      <c r="N6" s="10" t="e">
        <f>IF(H6=Sept!$E$2,"N",IF(AND(COUNTIF(B:B,B6)=1,D6&gt;14),"Y","N"))</f>
        <v>#N/A</v>
      </c>
      <c r="O6" s="55" t="str">
        <f>IF(COUNT(Sept[[#This Row],[Date]])&gt;0,IF(Sept[[#This Row],[Date]]&gt;14,"Yes","No"),"N/A")</f>
        <v>N/A</v>
      </c>
      <c r="P6" s="55"/>
      <c r="Q6" s="5">
        <f>Relay!A5</f>
        <v>0</v>
      </c>
      <c r="R6" s="5">
        <f>Relay!B5</f>
        <v>4</v>
      </c>
      <c r="S6" s="8">
        <f>IF(Sept[After the 14th?]="No",SUMIF(Sept[SysID],R6,Sept[Pay Amount]),0)+IF(Aug[After the 14th?]="Yes",SUMIF(Aug[SysID],R6,Aug[Pay Amount]),0)</f>
        <v>0</v>
      </c>
      <c r="T6" s="8"/>
      <c r="U6" s="5" t="str">
        <f t="shared" si="2"/>
        <v>N</v>
      </c>
      <c r="X6" s="56"/>
      <c r="Y6" s="56"/>
      <c r="Z6" s="56"/>
      <c r="AA6" s="56"/>
      <c r="AC6" s="56"/>
    </row>
    <row r="7" spans="1:30" x14ac:dyDescent="0.25">
      <c r="A7" s="35"/>
      <c r="B7" s="5" t="e">
        <f>VLOOKUP(A7,Relay!$A$1:$B$50,2,FALSE)</f>
        <v>#N/A</v>
      </c>
      <c r="C7" s="5" t="e">
        <f>VLOOKUP(A7,Relay!$A$2:$C$51,3,FALSE)</f>
        <v>#N/A</v>
      </c>
      <c r="D7" s="39"/>
      <c r="E7" s="35"/>
      <c r="F7" s="35" t="str">
        <f t="shared" si="0"/>
        <v>INS</v>
      </c>
      <c r="G7" s="5" t="e">
        <f>IF(OR(E7="Jeopardy",E7="APP Moonlighting",E7="Differential Pay"),"",Sept[[#This Row],[SysID]])</f>
        <v>#N/A</v>
      </c>
      <c r="H7" s="5" t="e">
        <f>IF(E7="Jeopardy",IF(C7="MD",Relay!$E$7,Relay!$E$8),IF(C7="MD",IF(COUNTIF(G:G,B7)&gt;1,Relay!$E$2,Relay!$E$1),IF(AND(COUNTIF(G:G,B7)&gt;1,COUNTA(A7)&gt;0),Relay!$E$5,Relay!$E$4)))</f>
        <v>#N/A</v>
      </c>
      <c r="I7" s="8">
        <f t="shared" si="1"/>
        <v>0</v>
      </c>
      <c r="J7" s="35"/>
      <c r="K7" s="35"/>
      <c r="L7" s="35"/>
      <c r="M7" s="35"/>
      <c r="N7" s="10" t="e">
        <f>IF(H7=Sept!$E$2,"N",IF(AND(COUNTIF(B:B,B7)=1,D7&gt;14),"Y","N"))</f>
        <v>#N/A</v>
      </c>
      <c r="O7" s="55" t="str">
        <f>IF(COUNT(Sept[[#This Row],[Date]])&gt;0,IF(Sept[[#This Row],[Date]]&gt;14,"Yes","No"),"N/A")</f>
        <v>N/A</v>
      </c>
      <c r="P7" s="55"/>
      <c r="Q7" s="5">
        <f>Relay!A6</f>
        <v>0</v>
      </c>
      <c r="R7" s="5">
        <f>Relay!B6</f>
        <v>5</v>
      </c>
      <c r="S7" s="8">
        <f>IF(Sept[After the 14th?]="No",SUMIF(Sept[SysID],R7,Sept[Pay Amount]),0)+IF(Aug[After the 14th?]="Yes",SUMIF(Aug[SysID],R7,Aug[Pay Amount]),0)</f>
        <v>0</v>
      </c>
      <c r="T7" s="8"/>
      <c r="U7" s="5" t="str">
        <f t="shared" si="2"/>
        <v>N</v>
      </c>
      <c r="X7" s="56"/>
      <c r="Y7" s="56"/>
      <c r="Z7" s="56"/>
      <c r="AA7" s="56"/>
      <c r="AC7" s="56"/>
    </row>
    <row r="8" spans="1:30" x14ac:dyDescent="0.25">
      <c r="A8" s="35"/>
      <c r="B8" s="5" t="e">
        <f>VLOOKUP(A8,Relay!$A$1:$B$50,2,FALSE)</f>
        <v>#N/A</v>
      </c>
      <c r="C8" s="5" t="e">
        <f>VLOOKUP(A8,Relay!$A$2:$C$51,3,FALSE)</f>
        <v>#N/A</v>
      </c>
      <c r="D8" s="39"/>
      <c r="E8" s="35"/>
      <c r="F8" s="35" t="str">
        <f t="shared" si="0"/>
        <v>INS</v>
      </c>
      <c r="G8" s="5" t="e">
        <f>IF(OR(E8="Jeopardy",E8="APP Moonlighting",E8="Differential Pay"),"",Sept[[#This Row],[SysID]])</f>
        <v>#N/A</v>
      </c>
      <c r="H8" s="5" t="e">
        <f>IF(E8="Jeopardy",IF(C8="MD",Relay!$E$7,Relay!$E$8),IF(C8="MD",IF(COUNTIF(G:G,B8)&gt;1,Relay!$E$2,Relay!$E$1),IF(AND(COUNTIF(G:G,B8)&gt;1,COUNTA(A8)&gt;0),Relay!$E$5,Relay!$E$4)))</f>
        <v>#N/A</v>
      </c>
      <c r="I8" s="8">
        <f t="shared" si="1"/>
        <v>0</v>
      </c>
      <c r="J8" s="35"/>
      <c r="K8" s="35"/>
      <c r="L8" s="35"/>
      <c r="M8" s="35"/>
      <c r="N8" s="10" t="e">
        <f>IF(H8=Sept!$E$2,"N",IF(AND(COUNTIF(B:B,B8)=1,D8&gt;14),"Y","N"))</f>
        <v>#N/A</v>
      </c>
      <c r="O8" s="55" t="str">
        <f>IF(COUNT(Sept[[#This Row],[Date]])&gt;0,IF(Sept[[#This Row],[Date]]&gt;14,"Yes","No"),"N/A")</f>
        <v>N/A</v>
      </c>
      <c r="P8" s="55"/>
      <c r="Q8" s="5">
        <f>Relay!A7</f>
        <v>0</v>
      </c>
      <c r="R8" s="5">
        <f>Relay!B7</f>
        <v>6</v>
      </c>
      <c r="S8" s="8">
        <f>IF(Sept[After the 14th?]="No",SUMIF(Sept[SysID],R8,Sept[Pay Amount]),0)+IF(Aug[After the 14th?]="Yes",SUMIF(Aug[SysID],R8,Aug[Pay Amount]),0)</f>
        <v>0</v>
      </c>
      <c r="T8" s="8"/>
      <c r="U8" s="5" t="str">
        <f t="shared" si="2"/>
        <v>N</v>
      </c>
      <c r="X8" s="56"/>
      <c r="Y8" s="56"/>
      <c r="Z8" s="56"/>
      <c r="AA8" s="56"/>
      <c r="AC8" s="56"/>
    </row>
    <row r="9" spans="1:30" x14ac:dyDescent="0.25">
      <c r="A9" s="35"/>
      <c r="B9" s="5" t="e">
        <f>VLOOKUP(A9,Relay!$A$1:$B$50,2,FALSE)</f>
        <v>#N/A</v>
      </c>
      <c r="C9" s="5" t="e">
        <f>VLOOKUP(A9,Relay!$A$2:$C$51,3,FALSE)</f>
        <v>#N/A</v>
      </c>
      <c r="D9" s="39"/>
      <c r="E9" s="35"/>
      <c r="F9" s="35" t="str">
        <f t="shared" si="0"/>
        <v>INS</v>
      </c>
      <c r="G9" s="5" t="e">
        <f>IF(OR(E9="Jeopardy",E9="APP Moonlighting",E9="Differential Pay"),"",Sept[[#This Row],[SysID]])</f>
        <v>#N/A</v>
      </c>
      <c r="H9" s="5" t="e">
        <f>IF(E9="Jeopardy",IF(C9="MD",Relay!$E$7,Relay!$E$8),IF(C9="MD",IF(COUNTIF(G:G,B9)&gt;1,Relay!$E$2,Relay!$E$1),IF(AND(COUNTIF(G:G,B9)&gt;1,COUNTA(A9)&gt;0),Relay!$E$5,Relay!$E$4)))</f>
        <v>#N/A</v>
      </c>
      <c r="I9" s="8">
        <f t="shared" si="1"/>
        <v>0</v>
      </c>
      <c r="J9" s="35"/>
      <c r="K9" s="35"/>
      <c r="L9" s="35"/>
      <c r="M9" s="35"/>
      <c r="N9" s="10" t="e">
        <f>IF(H9=Sept!$E$2,"N",IF(AND(COUNTIF(B:B,B9)=1,D9&gt;14),"Y","N"))</f>
        <v>#N/A</v>
      </c>
      <c r="O9" s="55" t="str">
        <f>IF(COUNT(Sept[[#This Row],[Date]])&gt;0,IF(Sept[[#This Row],[Date]]&gt;14,"Yes","No"),"N/A")</f>
        <v>N/A</v>
      </c>
      <c r="P9" s="55"/>
      <c r="Q9" s="5">
        <f>Relay!A8</f>
        <v>0</v>
      </c>
      <c r="R9" s="5">
        <f>Relay!B8</f>
        <v>7</v>
      </c>
      <c r="S9" s="8">
        <f>IF(Sept[After the 14th?]="No",SUMIF(Sept[SysID],R9,Sept[Pay Amount]),0)+IF(Aug[After the 14th?]="Yes",SUMIF(Aug[SysID],R9,Aug[Pay Amount]),0)</f>
        <v>0</v>
      </c>
      <c r="T9" s="8"/>
      <c r="U9" s="5" t="str">
        <f t="shared" si="2"/>
        <v>N</v>
      </c>
      <c r="X9" s="56"/>
      <c r="Y9" s="56"/>
      <c r="Z9" s="56"/>
      <c r="AA9" s="56"/>
      <c r="AC9" s="56"/>
    </row>
    <row r="10" spans="1:30" x14ac:dyDescent="0.25">
      <c r="A10" s="35"/>
      <c r="B10" s="5" t="e">
        <f>VLOOKUP(A10,Relay!$A$1:$B$50,2,FALSE)</f>
        <v>#N/A</v>
      </c>
      <c r="C10" s="5" t="e">
        <f>VLOOKUP(A10,Relay!$A$2:$C$51,3,FALSE)</f>
        <v>#N/A</v>
      </c>
      <c r="D10" s="39"/>
      <c r="E10" s="35"/>
      <c r="F10" s="35" t="str">
        <f t="shared" si="0"/>
        <v>INS</v>
      </c>
      <c r="G10" s="5" t="e">
        <f>IF(OR(E10="Jeopardy",E10="APP Moonlighting",E10="Differential Pay"),"",Sept[[#This Row],[SysID]])</f>
        <v>#N/A</v>
      </c>
      <c r="H10" s="5" t="e">
        <f>IF(E10="Jeopardy",IF(C10="MD",Relay!$E$7,Relay!$E$8),IF(C10="MD",IF(COUNTIF(G:G,B10)&gt;1,Relay!$E$2,Relay!$E$1),IF(AND(COUNTIF(G:G,B10)&gt;1,COUNTA(A10)&gt;0),Relay!$E$5,Relay!$E$4)))</f>
        <v>#N/A</v>
      </c>
      <c r="I10" s="8">
        <f t="shared" si="1"/>
        <v>0</v>
      </c>
      <c r="J10" s="35"/>
      <c r="K10" s="35"/>
      <c r="L10" s="35"/>
      <c r="M10" s="35"/>
      <c r="N10" s="10" t="e">
        <f>IF(H10=Sept!$E$2,"N",IF(AND(COUNTIF(B:B,B10)=1,D10&gt;14),"Y","N"))</f>
        <v>#N/A</v>
      </c>
      <c r="O10" s="55" t="str">
        <f>IF(COUNT(Sept[[#This Row],[Date]])&gt;0,IF(Sept[[#This Row],[Date]]&gt;14,"Yes","No"),"N/A")</f>
        <v>N/A</v>
      </c>
      <c r="P10" s="55"/>
      <c r="Q10" s="5">
        <f>Relay!A9</f>
        <v>0</v>
      </c>
      <c r="R10" s="5">
        <f>Relay!B9</f>
        <v>8</v>
      </c>
      <c r="S10" s="8">
        <f>IF(Sept[After the 14th?]="No",SUMIF(Sept[SysID],R10,Sept[Pay Amount]),0)+IF(Aug[After the 14th?]="Yes",SUMIF(Aug[SysID],R10,Aug[Pay Amount]),0)</f>
        <v>0</v>
      </c>
      <c r="T10" s="8"/>
      <c r="U10" s="5" t="str">
        <f t="shared" si="2"/>
        <v>N</v>
      </c>
      <c r="X10" s="56"/>
      <c r="Y10" s="56"/>
      <c r="Z10" s="56"/>
      <c r="AA10" s="56"/>
      <c r="AC10" s="56"/>
    </row>
    <row r="11" spans="1:30" x14ac:dyDescent="0.25">
      <c r="A11" s="35"/>
      <c r="B11" s="5" t="e">
        <f>VLOOKUP(A11,Relay!$A$1:$B$50,2,FALSE)</f>
        <v>#N/A</v>
      </c>
      <c r="C11" s="5" t="e">
        <f>VLOOKUP(A11,Relay!$A$2:$C$51,3,FALSE)</f>
        <v>#N/A</v>
      </c>
      <c r="D11" s="39"/>
      <c r="E11" s="35"/>
      <c r="F11" s="35" t="str">
        <f t="shared" si="0"/>
        <v>INS</v>
      </c>
      <c r="G11" s="5" t="e">
        <f>IF(OR(E11="Jeopardy",E11="APP Moonlighting",E11="Differential Pay"),"",Sept[[#This Row],[SysID]])</f>
        <v>#N/A</v>
      </c>
      <c r="H11" s="5" t="e">
        <f>IF(E11="Jeopardy",IF(C11="MD",Relay!$E$7,Relay!$E$8),IF(C11="MD",IF(COUNTIF(G:G,B11)&gt;1,Relay!$E$2,Relay!$E$1),IF(AND(COUNTIF(G:G,B11)&gt;1,COUNTA(A11)&gt;0),Relay!$E$5,Relay!$E$4)))</f>
        <v>#N/A</v>
      </c>
      <c r="I11" s="8">
        <f t="shared" si="1"/>
        <v>0</v>
      </c>
      <c r="J11" s="35"/>
      <c r="K11" s="35"/>
      <c r="L11" s="35"/>
      <c r="M11" s="35"/>
      <c r="N11" s="10" t="e">
        <f>IF(H11=Sept!$E$2,"N",IF(AND(COUNTIF(B:B,B11)=1,D11&gt;14),"Y","N"))</f>
        <v>#N/A</v>
      </c>
      <c r="O11" s="55" t="str">
        <f>IF(COUNT(Sept[[#This Row],[Date]])&gt;0,IF(Sept[[#This Row],[Date]]&gt;14,"Yes","No"),"N/A")</f>
        <v>N/A</v>
      </c>
      <c r="P11" s="55"/>
      <c r="Q11" s="5">
        <f>Relay!A10</f>
        <v>0</v>
      </c>
      <c r="R11" s="5">
        <f>Relay!B10</f>
        <v>9</v>
      </c>
      <c r="S11" s="8">
        <f>IF(Sept[After the 14th?]="No",SUMIF(Sept[SysID],R11,Sept[Pay Amount]),0)+IF(Aug[After the 14th?]="Yes",SUMIF(Aug[SysID],R11,Aug[Pay Amount]),0)</f>
        <v>0</v>
      </c>
      <c r="T11" s="8"/>
      <c r="U11" s="5" t="str">
        <f t="shared" si="2"/>
        <v>N</v>
      </c>
      <c r="X11" s="56"/>
      <c r="Y11" s="56"/>
      <c r="Z11" s="56"/>
      <c r="AA11" s="56"/>
      <c r="AC11" s="56"/>
    </row>
    <row r="12" spans="1:30" x14ac:dyDescent="0.25">
      <c r="A12" s="35"/>
      <c r="B12" s="5" t="e">
        <f>VLOOKUP(A12,Relay!$A$1:$B$50,2,FALSE)</f>
        <v>#N/A</v>
      </c>
      <c r="C12" s="5" t="e">
        <f>VLOOKUP(A12,Relay!$A$2:$C$51,3,FALSE)</f>
        <v>#N/A</v>
      </c>
      <c r="D12" s="39"/>
      <c r="E12" s="35"/>
      <c r="F12" s="35" t="str">
        <f t="shared" si="0"/>
        <v>INS</v>
      </c>
      <c r="G12" s="5" t="e">
        <f>IF(OR(E12="Jeopardy",E12="APP Moonlighting",E12="Differential Pay"),"",Sept[[#This Row],[SysID]])</f>
        <v>#N/A</v>
      </c>
      <c r="H12" s="5" t="e">
        <f>IF(E12="Jeopardy",IF(C12="MD",Relay!$E$7,Relay!$E$8),IF(C12="MD",IF(COUNTIF(G:G,B12)&gt;1,Relay!$E$2,Relay!$E$1),IF(AND(COUNTIF(G:G,B12)&gt;1,COUNTA(A12)&gt;0),Relay!$E$5,Relay!$E$4)))</f>
        <v>#N/A</v>
      </c>
      <c r="I12" s="8">
        <f t="shared" si="1"/>
        <v>0</v>
      </c>
      <c r="J12" s="35"/>
      <c r="K12" s="35"/>
      <c r="L12" s="35"/>
      <c r="M12" s="35"/>
      <c r="N12" s="10" t="e">
        <f>IF(H12=Sept!$E$2,"N",IF(AND(COUNTIF(B:B,B12)=1,D12&gt;14),"Y","N"))</f>
        <v>#N/A</v>
      </c>
      <c r="O12" s="55" t="str">
        <f>IF(COUNT(Sept[[#This Row],[Date]])&gt;0,IF(Sept[[#This Row],[Date]]&gt;14,"Yes","No"),"N/A")</f>
        <v>N/A</v>
      </c>
      <c r="P12" s="55"/>
      <c r="Q12" s="5">
        <f>Relay!A11</f>
        <v>0</v>
      </c>
      <c r="R12" s="5">
        <f>Relay!B11</f>
        <v>10</v>
      </c>
      <c r="S12" s="8">
        <f>IF(Sept[After the 14th?]="No",SUMIF(Sept[SysID],R12,Sept[Pay Amount]),0)+IF(Aug[After the 14th?]="Yes",SUMIF(Aug[SysID],R12,Aug[Pay Amount]),0)</f>
        <v>0</v>
      </c>
      <c r="T12" s="8"/>
      <c r="U12" s="5" t="str">
        <f t="shared" si="2"/>
        <v>N</v>
      </c>
      <c r="X12" s="56"/>
      <c r="Y12" s="56"/>
      <c r="Z12" s="56"/>
      <c r="AA12" s="56"/>
      <c r="AC12" s="56"/>
    </row>
    <row r="13" spans="1:30" x14ac:dyDescent="0.25">
      <c r="A13" s="35"/>
      <c r="B13" s="5" t="e">
        <f>VLOOKUP(A13,Relay!$A$1:$B$50,2,FALSE)</f>
        <v>#N/A</v>
      </c>
      <c r="C13" s="5" t="e">
        <f>VLOOKUP(A13,Relay!$A$2:$C$51,3,FALSE)</f>
        <v>#N/A</v>
      </c>
      <c r="D13" s="39"/>
      <c r="E13" s="35"/>
      <c r="F13" s="35" t="str">
        <f t="shared" si="0"/>
        <v>INS</v>
      </c>
      <c r="G13" s="5" t="e">
        <f>IF(OR(E13="Jeopardy",E13="APP Moonlighting",E13="Differential Pay"),"",Sept[[#This Row],[SysID]])</f>
        <v>#N/A</v>
      </c>
      <c r="H13" s="5" t="e">
        <f>IF(E13="Jeopardy",IF(C13="MD",Relay!$E$7,Relay!$E$8),IF(C13="MD",IF(COUNTIF(G:G,B13)&gt;1,Relay!$E$2,Relay!$E$1),IF(AND(COUNTIF(G:G,B13)&gt;1,COUNTA(A13)&gt;0),Relay!$E$5,Relay!$E$4)))</f>
        <v>#N/A</v>
      </c>
      <c r="I13" s="8">
        <f t="shared" si="1"/>
        <v>0</v>
      </c>
      <c r="J13" s="35"/>
      <c r="K13" s="35"/>
      <c r="L13" s="35"/>
      <c r="M13" s="35"/>
      <c r="N13" s="10" t="e">
        <f>IF(H13=Sept!$E$2,"N",IF(AND(COUNTIF(B:B,B13)=1,D13&gt;14),"Y","N"))</f>
        <v>#N/A</v>
      </c>
      <c r="O13" s="55" t="str">
        <f>IF(COUNT(Sept[[#This Row],[Date]])&gt;0,IF(Sept[[#This Row],[Date]]&gt;14,"Yes","No"),"N/A")</f>
        <v>N/A</v>
      </c>
      <c r="P13" s="55"/>
      <c r="Q13" s="5">
        <f>Relay!A12</f>
        <v>0</v>
      </c>
      <c r="R13" s="5">
        <f>Relay!B12</f>
        <v>11</v>
      </c>
      <c r="S13" s="8">
        <f>IF(Sept[After the 14th?]="No",SUMIF(Sept[SysID],R13,Sept[Pay Amount]),0)+IF(Aug[After the 14th?]="Yes",SUMIF(Aug[SysID],R13,Aug[Pay Amount]),0)</f>
        <v>0</v>
      </c>
      <c r="T13" s="8"/>
      <c r="U13" s="5" t="str">
        <f t="shared" si="2"/>
        <v>N</v>
      </c>
      <c r="X13" s="56"/>
      <c r="Y13" s="56"/>
      <c r="Z13" s="56"/>
      <c r="AA13" s="56"/>
      <c r="AC13" s="56"/>
    </row>
    <row r="14" spans="1:30" x14ac:dyDescent="0.25">
      <c r="A14" s="35"/>
      <c r="B14" s="5" t="e">
        <f>VLOOKUP(A14,Relay!$A$1:$B$50,2,FALSE)</f>
        <v>#N/A</v>
      </c>
      <c r="C14" s="5" t="e">
        <f>VLOOKUP(A14,Relay!$A$2:$C$51,3,FALSE)</f>
        <v>#N/A</v>
      </c>
      <c r="D14" s="39"/>
      <c r="E14" s="35"/>
      <c r="F14" s="35" t="str">
        <f t="shared" si="0"/>
        <v>INS</v>
      </c>
      <c r="G14" s="5" t="e">
        <f>IF(OR(E14="Jeopardy",E14="APP Moonlighting",E14="Differential Pay"),"",Sept[[#This Row],[SysID]])</f>
        <v>#N/A</v>
      </c>
      <c r="H14" s="5" t="e">
        <f>IF(E14="Jeopardy",IF(C14="MD",Relay!$E$7,Relay!$E$8),IF(C14="MD",IF(COUNTIF(G:G,B14)&gt;1,Relay!$E$2,Relay!$E$1),IF(AND(COUNTIF(G:G,B14)&gt;1,COUNTA(A14)&gt;0),Relay!$E$5,Relay!$E$4)))</f>
        <v>#N/A</v>
      </c>
      <c r="I14" s="8">
        <f t="shared" si="1"/>
        <v>0</v>
      </c>
      <c r="J14" s="35"/>
      <c r="K14" s="35"/>
      <c r="L14" s="35"/>
      <c r="M14" s="35"/>
      <c r="N14" s="10" t="e">
        <f>IF(H14=Sept!$E$2,"N",IF(AND(COUNTIF(B:B,B14)=1,D14&gt;14),"Y","N"))</f>
        <v>#N/A</v>
      </c>
      <c r="O14" s="55" t="str">
        <f>IF(COUNT(Sept[[#This Row],[Date]])&gt;0,IF(Sept[[#This Row],[Date]]&gt;14,"Yes","No"),"N/A")</f>
        <v>N/A</v>
      </c>
      <c r="P14" s="55"/>
      <c r="Q14" s="5">
        <f>Relay!A13</f>
        <v>0</v>
      </c>
      <c r="R14" s="5">
        <f>Relay!B13</f>
        <v>12</v>
      </c>
      <c r="S14" s="8">
        <f>IF(Sept[After the 14th?]="No",SUMIF(Sept[SysID],R14,Sept[Pay Amount]),0)+IF(Aug[After the 14th?]="Yes",SUMIF(Aug[SysID],R14,Aug[Pay Amount]),0)</f>
        <v>0</v>
      </c>
      <c r="T14" s="8"/>
      <c r="U14" s="5" t="str">
        <f t="shared" si="2"/>
        <v>N</v>
      </c>
      <c r="X14" s="56"/>
      <c r="Y14" s="56"/>
      <c r="Z14" s="56"/>
      <c r="AA14" s="56"/>
      <c r="AC14" s="56"/>
    </row>
    <row r="15" spans="1:30" x14ac:dyDescent="0.25">
      <c r="A15" s="35"/>
      <c r="B15" s="5" t="e">
        <f>VLOOKUP(A15,Relay!$A$1:$B$50,2,FALSE)</f>
        <v>#N/A</v>
      </c>
      <c r="C15" s="5" t="e">
        <f>VLOOKUP(A15,Relay!$A$2:$C$51,3,FALSE)</f>
        <v>#N/A</v>
      </c>
      <c r="D15" s="39"/>
      <c r="E15" s="35"/>
      <c r="F15" s="35" t="str">
        <f t="shared" si="0"/>
        <v>INS</v>
      </c>
      <c r="G15" s="5" t="e">
        <f>IF(OR(E15="Jeopardy",E15="APP Moonlighting",E15="Differential Pay"),"",Sept[[#This Row],[SysID]])</f>
        <v>#N/A</v>
      </c>
      <c r="H15" s="5" t="e">
        <f>IF(E15="Jeopardy",IF(C15="MD",Relay!$E$7,Relay!$E$8),IF(C15="MD",IF(COUNTIF(G:G,B15)&gt;1,Relay!$E$2,Relay!$E$1),IF(AND(COUNTIF(G:G,B15)&gt;1,COUNTA(A15)&gt;0),Relay!$E$5,Relay!$E$4)))</f>
        <v>#N/A</v>
      </c>
      <c r="I15" s="8">
        <f t="shared" si="1"/>
        <v>0</v>
      </c>
      <c r="J15" s="35"/>
      <c r="K15" s="35"/>
      <c r="L15" s="35"/>
      <c r="M15" s="35"/>
      <c r="N15" s="10" t="e">
        <f>IF(H15=Sept!$E$2,"N",IF(AND(COUNTIF(B:B,B15)=1,D15&gt;14),"Y","N"))</f>
        <v>#N/A</v>
      </c>
      <c r="O15" s="55" t="str">
        <f>IF(COUNT(Sept[[#This Row],[Date]])&gt;0,IF(Sept[[#This Row],[Date]]&gt;14,"Yes","No"),"N/A")</f>
        <v>N/A</v>
      </c>
      <c r="P15" s="55"/>
      <c r="Q15" s="5">
        <f>Relay!A14</f>
        <v>0</v>
      </c>
      <c r="R15" s="5">
        <f>Relay!B14</f>
        <v>13</v>
      </c>
      <c r="S15" s="8">
        <f>IF(Sept[After the 14th?]="No",SUMIF(Sept[SysID],R15,Sept[Pay Amount]),0)+IF(Aug[After the 14th?]="Yes",SUMIF(Aug[SysID],R15,Aug[Pay Amount]),0)</f>
        <v>0</v>
      </c>
      <c r="T15" s="8"/>
      <c r="U15" s="5" t="str">
        <f t="shared" si="2"/>
        <v>N</v>
      </c>
      <c r="X15" s="56"/>
      <c r="Y15" s="56"/>
      <c r="Z15" s="56"/>
      <c r="AA15" s="56"/>
      <c r="AC15" s="56"/>
    </row>
    <row r="16" spans="1:30" x14ac:dyDescent="0.25">
      <c r="A16" s="35"/>
      <c r="B16" s="5" t="e">
        <f>VLOOKUP(A16,Relay!$A$1:$B$50,2,FALSE)</f>
        <v>#N/A</v>
      </c>
      <c r="C16" s="5" t="e">
        <f>VLOOKUP(A16,Relay!$A$2:$C$51,3,FALSE)</f>
        <v>#N/A</v>
      </c>
      <c r="D16" s="39"/>
      <c r="E16" s="35"/>
      <c r="F16" s="35" t="str">
        <f t="shared" si="0"/>
        <v>INS</v>
      </c>
      <c r="G16" s="5" t="e">
        <f>IF(OR(E16="Jeopardy",E16="APP Moonlighting",E16="Differential Pay"),"",Sept[[#This Row],[SysID]])</f>
        <v>#N/A</v>
      </c>
      <c r="H16" s="5" t="e">
        <f>IF(E16="Jeopardy",IF(C16="MD",Relay!$E$7,Relay!$E$8),IF(C16="MD",IF(COUNTIF(G:G,B16)&gt;1,Relay!$E$2,Relay!$E$1),IF(AND(COUNTIF(G:G,B16)&gt;1,COUNTA(A16)&gt;0),Relay!$E$5,Relay!$E$4)))</f>
        <v>#N/A</v>
      </c>
      <c r="I16" s="8">
        <f t="shared" si="1"/>
        <v>0</v>
      </c>
      <c r="J16" s="35"/>
      <c r="K16" s="35"/>
      <c r="L16" s="35"/>
      <c r="M16" s="35"/>
      <c r="N16" s="10" t="e">
        <f>IF(H16=Sept!$E$2,"N",IF(AND(COUNTIF(B:B,B16)=1,D16&gt;14),"Y","N"))</f>
        <v>#N/A</v>
      </c>
      <c r="O16" s="55" t="str">
        <f>IF(COUNT(Sept[[#This Row],[Date]])&gt;0,IF(Sept[[#This Row],[Date]]&gt;14,"Yes","No"),"N/A")</f>
        <v>N/A</v>
      </c>
      <c r="P16" s="55"/>
      <c r="Q16" s="5">
        <f>Relay!A15</f>
        <v>0</v>
      </c>
      <c r="R16" s="5">
        <f>Relay!B15</f>
        <v>14</v>
      </c>
      <c r="S16" s="8">
        <f>IF(Sept[After the 14th?]="No",SUMIF(Sept[SysID],R16,Sept[Pay Amount]),0)+IF(Aug[After the 14th?]="Yes",SUMIF(Aug[SysID],R16,Aug[Pay Amount]),0)</f>
        <v>0</v>
      </c>
      <c r="T16" s="8"/>
      <c r="U16" s="5" t="str">
        <f t="shared" si="2"/>
        <v>N</v>
      </c>
      <c r="X16" s="56"/>
      <c r="Y16" s="56"/>
      <c r="Z16" s="56"/>
      <c r="AA16" s="56"/>
      <c r="AC16" s="56"/>
    </row>
    <row r="17" spans="1:29" x14ac:dyDescent="0.25">
      <c r="A17" s="35"/>
      <c r="B17" s="5" t="e">
        <f>VLOOKUP(A17,Relay!$A$1:$B$50,2,FALSE)</f>
        <v>#N/A</v>
      </c>
      <c r="C17" s="5" t="e">
        <f>VLOOKUP(A17,Relay!$A$2:$C$51,3,FALSE)</f>
        <v>#N/A</v>
      </c>
      <c r="D17" s="39"/>
      <c r="E17" s="35"/>
      <c r="F17" s="35" t="str">
        <f t="shared" si="0"/>
        <v>INS</v>
      </c>
      <c r="G17" s="5" t="e">
        <f>IF(OR(E17="Jeopardy",E17="APP Moonlighting",E17="Differential Pay"),"",Sept[[#This Row],[SysID]])</f>
        <v>#N/A</v>
      </c>
      <c r="H17" s="5" t="e">
        <f>IF(E17="Jeopardy",IF(C17="MD",Relay!$E$7,Relay!$E$8),IF(C17="MD",IF(COUNTIF(G:G,B17)&gt;1,Relay!$E$2,Relay!$E$1),IF(AND(COUNTIF(G:G,B17)&gt;1,COUNTA(A17)&gt;0),Relay!$E$5,Relay!$E$4)))</f>
        <v>#N/A</v>
      </c>
      <c r="I17" s="8">
        <f t="shared" si="1"/>
        <v>0</v>
      </c>
      <c r="J17" s="35"/>
      <c r="K17" s="35"/>
      <c r="L17" s="35"/>
      <c r="M17" s="35"/>
      <c r="N17" s="10" t="e">
        <f>IF(H17=Sept!$E$2,"N",IF(AND(COUNTIF(B:B,B17)=1,D17&gt;14),"Y","N"))</f>
        <v>#N/A</v>
      </c>
      <c r="O17" s="55" t="str">
        <f>IF(COUNT(Sept[[#This Row],[Date]])&gt;0,IF(Sept[[#This Row],[Date]]&gt;14,"Yes","No"),"N/A")</f>
        <v>N/A</v>
      </c>
      <c r="P17" s="55"/>
      <c r="Q17" s="5">
        <f>Relay!A16</f>
        <v>0</v>
      </c>
      <c r="R17" s="5">
        <f>Relay!B16</f>
        <v>15</v>
      </c>
      <c r="S17" s="8">
        <f>IF(Sept[After the 14th?]="No",SUMIF(Sept[SysID],R17,Sept[Pay Amount]),0)+IF(Aug[After the 14th?]="Yes",SUMIF(Aug[SysID],R17,Aug[Pay Amount]),0)</f>
        <v>0</v>
      </c>
      <c r="T17" s="8"/>
      <c r="U17" s="5" t="str">
        <f t="shared" si="2"/>
        <v>N</v>
      </c>
      <c r="X17" s="56"/>
      <c r="Y17" s="56"/>
      <c r="Z17" s="56"/>
      <c r="AA17" s="56"/>
      <c r="AC17" s="56"/>
    </row>
    <row r="18" spans="1:29" x14ac:dyDescent="0.25">
      <c r="A18" s="35"/>
      <c r="B18" s="5" t="e">
        <f>VLOOKUP(A18,Relay!$A$1:$B$50,2,FALSE)</f>
        <v>#N/A</v>
      </c>
      <c r="C18" s="5" t="e">
        <f>VLOOKUP(A18,Relay!$A$2:$C$51,3,FALSE)</f>
        <v>#N/A</v>
      </c>
      <c r="D18" s="39"/>
      <c r="E18" s="35"/>
      <c r="F18" s="35" t="str">
        <f t="shared" si="0"/>
        <v>INS</v>
      </c>
      <c r="G18" s="5" t="e">
        <f>IF(OR(E18="Jeopardy",E18="APP Moonlighting",E18="Differential Pay"),"",Sept[[#This Row],[SysID]])</f>
        <v>#N/A</v>
      </c>
      <c r="H18" s="5" t="e">
        <f>IF(E18="Jeopardy",IF(C18="MD",Relay!$E$7,Relay!$E$8),IF(C18="MD",IF(COUNTIF(G:G,B18)&gt;1,Relay!$E$2,Relay!$E$1),IF(AND(COUNTIF(G:G,B18)&gt;1,COUNTA(A18)&gt;0),Relay!$E$5,Relay!$E$4)))</f>
        <v>#N/A</v>
      </c>
      <c r="I18" s="8">
        <f t="shared" si="1"/>
        <v>0</v>
      </c>
      <c r="J18" s="35"/>
      <c r="K18" s="35"/>
      <c r="L18" s="35"/>
      <c r="M18" s="35"/>
      <c r="N18" s="10" t="e">
        <f>IF(H18=Sept!$E$2,"N",IF(AND(COUNTIF(B:B,B18)=1,D18&gt;14),"Y","N"))</f>
        <v>#N/A</v>
      </c>
      <c r="O18" s="55" t="str">
        <f>IF(COUNT(Sept[[#This Row],[Date]])&gt;0,IF(Sept[[#This Row],[Date]]&gt;14,"Yes","No"),"N/A")</f>
        <v>N/A</v>
      </c>
      <c r="P18" s="55"/>
      <c r="Q18" s="5">
        <f>Relay!A17</f>
        <v>0</v>
      </c>
      <c r="R18" s="5">
        <f>Relay!B17</f>
        <v>16</v>
      </c>
      <c r="S18" s="8">
        <f>IF(Sept[After the 14th?]="No",SUMIF(Sept[SysID],R18,Sept[Pay Amount]),0)+IF(Aug[After the 14th?]="Yes",SUMIF(Aug[SysID],R18,Aug[Pay Amount]),0)</f>
        <v>0</v>
      </c>
      <c r="T18" s="8"/>
      <c r="U18" s="5" t="str">
        <f t="shared" si="2"/>
        <v>N</v>
      </c>
      <c r="X18" s="56"/>
      <c r="Y18" s="56"/>
      <c r="Z18" s="56"/>
      <c r="AA18" s="56"/>
      <c r="AC18" s="56"/>
    </row>
    <row r="19" spans="1:29" x14ac:dyDescent="0.25">
      <c r="A19" s="35"/>
      <c r="B19" s="5" t="e">
        <f>VLOOKUP(A19,Relay!$A$1:$B$50,2,FALSE)</f>
        <v>#N/A</v>
      </c>
      <c r="C19" s="5" t="e">
        <f>VLOOKUP(A19,Relay!$A$2:$C$51,3,FALSE)</f>
        <v>#N/A</v>
      </c>
      <c r="D19" s="39"/>
      <c r="E19" s="35"/>
      <c r="F19" s="35" t="str">
        <f t="shared" si="0"/>
        <v>INS</v>
      </c>
      <c r="G19" s="5" t="e">
        <f>IF(OR(E19="Jeopardy",E19="APP Moonlighting",E19="Differential Pay"),"",Sept[[#This Row],[SysID]])</f>
        <v>#N/A</v>
      </c>
      <c r="H19" s="5" t="e">
        <f>IF(E19="Jeopardy",IF(C19="MD",Relay!$E$7,Relay!$E$8),IF(C19="MD",IF(COUNTIF(G:G,B19)&gt;1,Relay!$E$2,Relay!$E$1),IF(AND(COUNTIF(G:G,B19)&gt;1,COUNTA(A19)&gt;0),Relay!$E$5,Relay!$E$4)))</f>
        <v>#N/A</v>
      </c>
      <c r="I19" s="8">
        <f t="shared" si="1"/>
        <v>0</v>
      </c>
      <c r="J19" s="35"/>
      <c r="K19" s="35"/>
      <c r="L19" s="35"/>
      <c r="M19" s="35"/>
      <c r="N19" s="10" t="e">
        <f>IF(H19=Sept!$E$2,"N",IF(AND(COUNTIF(B:B,B19)=1,D19&gt;14),"Y","N"))</f>
        <v>#N/A</v>
      </c>
      <c r="O19" s="55" t="str">
        <f>IF(COUNT(Sept[[#This Row],[Date]])&gt;0,IF(Sept[[#This Row],[Date]]&gt;14,"Yes","No"),"N/A")</f>
        <v>N/A</v>
      </c>
      <c r="P19" s="55"/>
      <c r="Q19" s="5">
        <f>Relay!A18</f>
        <v>0</v>
      </c>
      <c r="R19" s="5">
        <f>Relay!B18</f>
        <v>17</v>
      </c>
      <c r="S19" s="8">
        <f>IF(Sept[After the 14th?]="No",SUMIF(Sept[SysID],R19,Sept[Pay Amount]),0)+IF(Aug[After the 14th?]="Yes",SUMIF(Aug[SysID],R19,Aug[Pay Amount]),0)</f>
        <v>0</v>
      </c>
      <c r="T19" s="8"/>
      <c r="U19" s="5" t="str">
        <f t="shared" si="2"/>
        <v>N</v>
      </c>
      <c r="X19" s="56"/>
      <c r="Y19" s="56"/>
      <c r="Z19" s="56"/>
      <c r="AA19" s="56"/>
      <c r="AC19" s="56"/>
    </row>
    <row r="20" spans="1:29" x14ac:dyDescent="0.25">
      <c r="A20" s="35"/>
      <c r="B20" s="5" t="e">
        <f>VLOOKUP(A20,Relay!$A$1:$B$50,2,FALSE)</f>
        <v>#N/A</v>
      </c>
      <c r="C20" s="5" t="e">
        <f>VLOOKUP(A20,Relay!$A$2:$C$51,3,FALSE)</f>
        <v>#N/A</v>
      </c>
      <c r="D20" s="39"/>
      <c r="E20" s="35"/>
      <c r="F20" s="35" t="str">
        <f t="shared" si="0"/>
        <v>INS</v>
      </c>
      <c r="G20" s="5" t="e">
        <f>IF(OR(E20="Jeopardy",E20="APP Moonlighting",E20="Differential Pay"),"",Sept[[#This Row],[SysID]])</f>
        <v>#N/A</v>
      </c>
      <c r="H20" s="5" t="e">
        <f>IF(E20="Jeopardy",IF(C20="MD",Relay!$E$7,Relay!$E$8),IF(C20="MD",IF(COUNTIF(G:G,B20)&gt;1,Relay!$E$2,Relay!$E$1),IF(AND(COUNTIF(G:G,B20)&gt;1,COUNTA(A20)&gt;0),Relay!$E$5,Relay!$E$4)))</f>
        <v>#N/A</v>
      </c>
      <c r="I20" s="8">
        <f t="shared" si="1"/>
        <v>0</v>
      </c>
      <c r="J20" s="35"/>
      <c r="K20" s="35"/>
      <c r="L20" s="35"/>
      <c r="M20" s="35"/>
      <c r="N20" s="10" t="e">
        <f>IF(H20=Sept!$E$2,"N",IF(AND(COUNTIF(B:B,B20)=1,D20&gt;14),"Y","N"))</f>
        <v>#N/A</v>
      </c>
      <c r="O20" s="55" t="str">
        <f>IF(COUNT(Sept[[#This Row],[Date]])&gt;0,IF(Sept[[#This Row],[Date]]&gt;14,"Yes","No"),"N/A")</f>
        <v>N/A</v>
      </c>
      <c r="P20" s="55"/>
      <c r="Q20" s="5">
        <f>Relay!A19</f>
        <v>0</v>
      </c>
      <c r="R20" s="5">
        <f>Relay!B19</f>
        <v>18</v>
      </c>
      <c r="S20" s="8">
        <f>IF(Sept[After the 14th?]="No",SUMIF(Sept[SysID],R20,Sept[Pay Amount]),0)+IF(Aug[After the 14th?]="Yes",SUMIF(Aug[SysID],R20,Aug[Pay Amount]),0)</f>
        <v>0</v>
      </c>
      <c r="T20" s="8"/>
      <c r="U20" s="5" t="str">
        <f t="shared" si="2"/>
        <v>N</v>
      </c>
      <c r="X20" s="56"/>
      <c r="Y20" s="56"/>
      <c r="Z20" s="56"/>
      <c r="AA20" s="56"/>
      <c r="AC20" s="56"/>
    </row>
    <row r="21" spans="1:29" x14ac:dyDescent="0.25">
      <c r="A21" s="35"/>
      <c r="B21" s="5" t="e">
        <f>VLOOKUP(A21,Relay!$A$1:$B$50,2,FALSE)</f>
        <v>#N/A</v>
      </c>
      <c r="C21" s="5" t="e">
        <f>VLOOKUP(A21,Relay!$A$2:$C$51,3,FALSE)</f>
        <v>#N/A</v>
      </c>
      <c r="D21" s="39"/>
      <c r="E21" s="35"/>
      <c r="F21" s="35" t="str">
        <f t="shared" si="0"/>
        <v>INS</v>
      </c>
      <c r="G21" s="5" t="e">
        <f>IF(OR(E21="Jeopardy",E21="APP Moonlighting",E21="Differential Pay"),"",Sept[[#This Row],[SysID]])</f>
        <v>#N/A</v>
      </c>
      <c r="H21" s="5" t="e">
        <f>IF(E21="Jeopardy",IF(C21="MD",Relay!$E$7,Relay!$E$8),IF(C21="MD",IF(COUNTIF(G:G,B21)&gt;1,Relay!$E$2,Relay!$E$1),IF(AND(COUNTIF(G:G,B21)&gt;1,COUNTA(A21)&gt;0),Relay!$E$5,Relay!$E$4)))</f>
        <v>#N/A</v>
      </c>
      <c r="I21" s="8">
        <f t="shared" si="1"/>
        <v>0</v>
      </c>
      <c r="J21" s="35"/>
      <c r="K21" s="35"/>
      <c r="L21" s="35"/>
      <c r="M21" s="35"/>
      <c r="N21" s="10" t="e">
        <f>IF(H21=Sept!$E$2,"N",IF(AND(COUNTIF(B:B,B21)=1,D21&gt;14),"Y","N"))</f>
        <v>#N/A</v>
      </c>
      <c r="O21" s="55" t="str">
        <f>IF(COUNT(Sept[[#This Row],[Date]])&gt;0,IF(Sept[[#This Row],[Date]]&gt;14,"Yes","No"),"N/A")</f>
        <v>N/A</v>
      </c>
      <c r="P21" s="55"/>
      <c r="Q21" s="5">
        <f>Relay!A20</f>
        <v>0</v>
      </c>
      <c r="R21" s="5">
        <f>Relay!B20</f>
        <v>19</v>
      </c>
      <c r="S21" s="8">
        <f>IF(Sept[After the 14th?]="No",SUMIF(Sept[SysID],R21,Sept[Pay Amount]),0)+IF(Aug[After the 14th?]="Yes",SUMIF(Aug[SysID],R21,Aug[Pay Amount]),0)</f>
        <v>0</v>
      </c>
      <c r="T21" s="8"/>
      <c r="U21" s="5" t="str">
        <f t="shared" si="2"/>
        <v>N</v>
      </c>
      <c r="X21" s="56"/>
      <c r="Y21" s="56"/>
      <c r="Z21" s="56"/>
      <c r="AA21" s="56"/>
      <c r="AC21" s="56"/>
    </row>
    <row r="22" spans="1:29" x14ac:dyDescent="0.25">
      <c r="A22" s="35"/>
      <c r="B22" s="5" t="e">
        <f>VLOOKUP(A22,Relay!$A$1:$B$50,2,FALSE)</f>
        <v>#N/A</v>
      </c>
      <c r="C22" s="5" t="e">
        <f>VLOOKUP(A22,Relay!$A$2:$C$51,3,FALSE)</f>
        <v>#N/A</v>
      </c>
      <c r="D22" s="39"/>
      <c r="E22" s="35"/>
      <c r="F22" s="35" t="str">
        <f t="shared" si="0"/>
        <v>INS</v>
      </c>
      <c r="G22" s="5" t="e">
        <f>IF(OR(E22="Jeopardy",E22="APP Moonlighting",E22="Differential Pay"),"",Sept[[#This Row],[SysID]])</f>
        <v>#N/A</v>
      </c>
      <c r="H22" s="5" t="e">
        <f>IF(E22="Jeopardy",IF(C22="MD",Relay!$E$7,Relay!$E$8),IF(C22="MD",IF(COUNTIF(G:G,B22)&gt;1,Relay!$E$2,Relay!$E$1),IF(AND(COUNTIF(G:G,B22)&gt;1,COUNTA(A22)&gt;0),Relay!$E$5,Relay!$E$4)))</f>
        <v>#N/A</v>
      </c>
      <c r="I22" s="8">
        <f t="shared" si="1"/>
        <v>0</v>
      </c>
      <c r="J22" s="35"/>
      <c r="K22" s="35"/>
      <c r="L22" s="35"/>
      <c r="M22" s="35"/>
      <c r="N22" s="10" t="e">
        <f>IF(H22=Sept!$E$2,"N",IF(AND(COUNTIF(B:B,B22)=1,D22&gt;14),"Y","N"))</f>
        <v>#N/A</v>
      </c>
      <c r="O22" s="55" t="str">
        <f>IF(COUNT(Sept[[#This Row],[Date]])&gt;0,IF(Sept[[#This Row],[Date]]&gt;14,"Yes","No"),"N/A")</f>
        <v>N/A</v>
      </c>
      <c r="P22" s="55"/>
      <c r="Q22" s="5">
        <f>Relay!A21</f>
        <v>0</v>
      </c>
      <c r="R22" s="5">
        <f>Relay!B21</f>
        <v>20</v>
      </c>
      <c r="S22" s="8">
        <f>IF(Sept[After the 14th?]="No",SUMIF(Sept[SysID],R22,Sept[Pay Amount]),0)+IF(Aug[After the 14th?]="Yes",SUMIF(Aug[SysID],R22,Aug[Pay Amount]),0)</f>
        <v>0</v>
      </c>
      <c r="T22" s="8"/>
      <c r="U22" s="5" t="str">
        <f t="shared" si="2"/>
        <v>N</v>
      </c>
      <c r="X22" s="56"/>
      <c r="Y22" s="56"/>
      <c r="Z22" s="56"/>
      <c r="AA22" s="56"/>
      <c r="AC22" s="56"/>
    </row>
    <row r="23" spans="1:29" x14ac:dyDescent="0.25">
      <c r="A23" s="35"/>
      <c r="B23" s="5" t="e">
        <f>VLOOKUP(A23,Relay!$A$1:$B$50,2,FALSE)</f>
        <v>#N/A</v>
      </c>
      <c r="C23" s="5" t="e">
        <f>VLOOKUP(A23,Relay!$A$2:$C$51,3,FALSE)</f>
        <v>#N/A</v>
      </c>
      <c r="D23" s="39"/>
      <c r="E23" s="35"/>
      <c r="F23" s="35" t="str">
        <f t="shared" si="0"/>
        <v>INS</v>
      </c>
      <c r="G23" s="5" t="e">
        <f>IF(OR(E23="Jeopardy",E23="APP Moonlighting",E23="Differential Pay"),"",Sept[[#This Row],[SysID]])</f>
        <v>#N/A</v>
      </c>
      <c r="H23" s="5" t="e">
        <f>IF(E23="Jeopardy",IF(C23="MD",Relay!$E$7,Relay!$E$8),IF(C23="MD",IF(COUNTIF(G:G,B23)&gt;1,Relay!$E$2,Relay!$E$1),IF(AND(COUNTIF(G:G,B23)&gt;1,COUNTA(A23)&gt;0),Relay!$E$5,Relay!$E$4)))</f>
        <v>#N/A</v>
      </c>
      <c r="I23" s="8">
        <f t="shared" si="1"/>
        <v>0</v>
      </c>
      <c r="J23" s="35"/>
      <c r="K23" s="35"/>
      <c r="L23" s="35"/>
      <c r="M23" s="35"/>
      <c r="N23" s="10" t="e">
        <f>IF(H23=Sept!$E$2,"N",IF(AND(COUNTIF(B:B,B23)=1,D23&gt;14),"Y","N"))</f>
        <v>#N/A</v>
      </c>
      <c r="O23" s="55" t="str">
        <f>IF(COUNT(Sept[[#This Row],[Date]])&gt;0,IF(Sept[[#This Row],[Date]]&gt;14,"Yes","No"),"N/A")</f>
        <v>N/A</v>
      </c>
      <c r="P23" s="55"/>
      <c r="Q23" s="5">
        <f>Relay!A22</f>
        <v>0</v>
      </c>
      <c r="R23" s="5">
        <f>Relay!B22</f>
        <v>21</v>
      </c>
      <c r="S23" s="8">
        <f>IF(Sept[After the 14th?]="No",SUMIF(Sept[SysID],R23,Sept[Pay Amount]),0)+IF(Aug[After the 14th?]="Yes",SUMIF(Aug[SysID],R23,Aug[Pay Amount]),0)</f>
        <v>0</v>
      </c>
      <c r="T23" s="8"/>
      <c r="U23" s="5" t="str">
        <f t="shared" si="2"/>
        <v>N</v>
      </c>
      <c r="X23" s="56"/>
      <c r="Y23" s="56"/>
      <c r="Z23" s="56"/>
      <c r="AA23" s="56"/>
      <c r="AC23" s="56"/>
    </row>
    <row r="24" spans="1:29" x14ac:dyDescent="0.25">
      <c r="A24" s="35"/>
      <c r="B24" s="5" t="e">
        <f>VLOOKUP(A24,Relay!$A$1:$B$50,2,FALSE)</f>
        <v>#N/A</v>
      </c>
      <c r="C24" s="5" t="e">
        <f>VLOOKUP(A24,Relay!$A$2:$C$51,3,FALSE)</f>
        <v>#N/A</v>
      </c>
      <c r="D24" s="39"/>
      <c r="E24" s="35"/>
      <c r="F24" s="35" t="str">
        <f t="shared" si="0"/>
        <v>INS</v>
      </c>
      <c r="G24" s="5" t="e">
        <f>IF(OR(E24="Jeopardy",E24="APP Moonlighting",E24="Differential Pay"),"",Sept[[#This Row],[SysID]])</f>
        <v>#N/A</v>
      </c>
      <c r="H24" s="5" t="e">
        <f>IF(E24="Jeopardy",IF(C24="MD",Relay!$E$7,Relay!$E$8),IF(C24="MD",IF(COUNTIF(G:G,B24)&gt;1,Relay!$E$2,Relay!$E$1),IF(AND(COUNTIF(G:G,B24)&gt;1,COUNTA(A24)&gt;0),Relay!$E$5,Relay!$E$4)))</f>
        <v>#N/A</v>
      </c>
      <c r="I24" s="8">
        <f t="shared" si="1"/>
        <v>0</v>
      </c>
      <c r="J24" s="35"/>
      <c r="K24" s="35"/>
      <c r="L24" s="35"/>
      <c r="M24" s="35"/>
      <c r="N24" s="10" t="e">
        <f>IF(H24=Sept!$E$2,"N",IF(AND(COUNTIF(B:B,B24)=1,D24&gt;14),"Y","N"))</f>
        <v>#N/A</v>
      </c>
      <c r="O24" s="55" t="str">
        <f>IF(COUNT(Sept[[#This Row],[Date]])&gt;0,IF(Sept[[#This Row],[Date]]&gt;14,"Yes","No"),"N/A")</f>
        <v>N/A</v>
      </c>
      <c r="P24" s="55"/>
      <c r="Q24" s="5">
        <f>Relay!A23</f>
        <v>0</v>
      </c>
      <c r="R24" s="5">
        <f>Relay!B23</f>
        <v>22</v>
      </c>
      <c r="S24" s="8">
        <f>IF(Sept[After the 14th?]="No",SUMIF(Sept[SysID],R24,Sept[Pay Amount]),0)+IF(Aug[After the 14th?]="Yes",SUMIF(Aug[SysID],R24,Aug[Pay Amount]),0)</f>
        <v>0</v>
      </c>
      <c r="T24" s="8"/>
      <c r="U24" s="5" t="str">
        <f t="shared" si="2"/>
        <v>N</v>
      </c>
      <c r="X24" s="56"/>
      <c r="Y24" s="56"/>
      <c r="Z24" s="56"/>
      <c r="AA24" s="56"/>
      <c r="AC24" s="56"/>
    </row>
    <row r="25" spans="1:29" x14ac:dyDescent="0.25">
      <c r="A25" s="35"/>
      <c r="B25" s="5" t="e">
        <f>VLOOKUP(A25,Relay!$A$1:$B$50,2,FALSE)</f>
        <v>#N/A</v>
      </c>
      <c r="C25" s="5" t="e">
        <f>VLOOKUP(A25,Relay!$A$2:$C$51,3,FALSE)</f>
        <v>#N/A</v>
      </c>
      <c r="D25" s="39"/>
      <c r="E25" s="35"/>
      <c r="F25" s="35" t="str">
        <f t="shared" si="0"/>
        <v>INS</v>
      </c>
      <c r="G25" s="5" t="e">
        <f>IF(OR(E25="Jeopardy",E25="APP Moonlighting",E25="Differential Pay"),"",Sept[[#This Row],[SysID]])</f>
        <v>#N/A</v>
      </c>
      <c r="H25" s="5" t="e">
        <f>IF(E25="Jeopardy",IF(C25="MD",Relay!$E$7,Relay!$E$8),IF(C25="MD",IF(COUNTIF(G:G,B25)&gt;1,Relay!$E$2,Relay!$E$1),IF(AND(COUNTIF(G:G,B25)&gt;1,COUNTA(A25)&gt;0),Relay!$E$5,Relay!$E$4)))</f>
        <v>#N/A</v>
      </c>
      <c r="I25" s="8">
        <f t="shared" si="1"/>
        <v>0</v>
      </c>
      <c r="J25" s="35"/>
      <c r="K25" s="35"/>
      <c r="L25" s="35"/>
      <c r="M25" s="35"/>
      <c r="N25" s="10" t="e">
        <f>IF(H25=Sept!$E$2,"N",IF(AND(COUNTIF(B:B,B25)=1,D25&gt;14),"Y","N"))</f>
        <v>#N/A</v>
      </c>
      <c r="O25" s="55" t="str">
        <f>IF(COUNT(Sept[[#This Row],[Date]])&gt;0,IF(Sept[[#This Row],[Date]]&gt;14,"Yes","No"),"N/A")</f>
        <v>N/A</v>
      </c>
      <c r="P25" s="55"/>
      <c r="Q25" s="5">
        <f>Relay!A24</f>
        <v>0</v>
      </c>
      <c r="R25" s="5">
        <f>Relay!B24</f>
        <v>23</v>
      </c>
      <c r="S25" s="8">
        <f>IF(Sept[After the 14th?]="No",SUMIF(Sept[SysID],R25,Sept[Pay Amount]),0)+IF(Aug[After the 14th?]="Yes",SUMIF(Aug[SysID],R25,Aug[Pay Amount]),0)</f>
        <v>0</v>
      </c>
      <c r="T25" s="8"/>
      <c r="U25" s="5" t="str">
        <f t="shared" si="2"/>
        <v>N</v>
      </c>
      <c r="X25" s="56"/>
      <c r="Y25" s="56"/>
      <c r="Z25" s="56"/>
      <c r="AA25" s="56"/>
      <c r="AC25" s="56"/>
    </row>
    <row r="26" spans="1:29" x14ac:dyDescent="0.25">
      <c r="A26" s="35"/>
      <c r="B26" s="5" t="e">
        <f>VLOOKUP(A26,Relay!$A$1:$B$50,2,FALSE)</f>
        <v>#N/A</v>
      </c>
      <c r="C26" s="5" t="e">
        <f>VLOOKUP(A26,Relay!$A$2:$C$51,3,FALSE)</f>
        <v>#N/A</v>
      </c>
      <c r="D26" s="39"/>
      <c r="E26" s="35"/>
      <c r="F26" s="35" t="str">
        <f t="shared" si="0"/>
        <v>INS</v>
      </c>
      <c r="G26" s="5" t="e">
        <f>IF(OR(E26="Jeopardy",E26="APP Moonlighting",E26="Differential Pay"),"",Sept[[#This Row],[SysID]])</f>
        <v>#N/A</v>
      </c>
      <c r="H26" s="5" t="e">
        <f>IF(E26="Jeopardy",IF(C26="MD",Relay!$E$7,Relay!$E$8),IF(C26="MD",IF(COUNTIF(G:G,B26)&gt;1,Relay!$E$2,Relay!$E$1),IF(AND(COUNTIF(G:G,B26)&gt;1,COUNTA(A26)&gt;0),Relay!$E$5,Relay!$E$4)))</f>
        <v>#N/A</v>
      </c>
      <c r="I26" s="8">
        <f t="shared" si="1"/>
        <v>0</v>
      </c>
      <c r="J26" s="35"/>
      <c r="K26" s="35"/>
      <c r="L26" s="35"/>
      <c r="M26" s="35"/>
      <c r="N26" s="10" t="e">
        <f>IF(H26=Sept!$E$2,"N",IF(AND(COUNTIF(B:B,B26)=1,D26&gt;14),"Y","N"))</f>
        <v>#N/A</v>
      </c>
      <c r="O26" s="55" t="str">
        <f>IF(COUNT(Sept[[#This Row],[Date]])&gt;0,IF(Sept[[#This Row],[Date]]&gt;14,"Yes","No"),"N/A")</f>
        <v>N/A</v>
      </c>
      <c r="P26" s="55"/>
      <c r="Q26" s="5">
        <f>Relay!A25</f>
        <v>0</v>
      </c>
      <c r="R26" s="5">
        <f>Relay!B25</f>
        <v>24</v>
      </c>
      <c r="S26" s="8">
        <f>IF(Sept[After the 14th?]="No",SUMIF(Sept[SysID],R26,Sept[Pay Amount]),0)+IF(Aug[After the 14th?]="Yes",SUMIF(Aug[SysID],R26,Aug[Pay Amount]),0)</f>
        <v>0</v>
      </c>
      <c r="T26" s="8"/>
      <c r="U26" s="5" t="str">
        <f t="shared" si="2"/>
        <v>N</v>
      </c>
      <c r="X26" s="56"/>
      <c r="Y26" s="56"/>
      <c r="Z26" s="56"/>
      <c r="AA26" s="56"/>
      <c r="AC26" s="56"/>
    </row>
    <row r="27" spans="1:29" x14ac:dyDescent="0.25">
      <c r="A27" s="35"/>
      <c r="B27" s="5" t="e">
        <f>VLOOKUP(A27,Relay!$A$1:$B$50,2,FALSE)</f>
        <v>#N/A</v>
      </c>
      <c r="C27" s="5" t="e">
        <f>VLOOKUP(A27,Relay!$A$2:$C$51,3,FALSE)</f>
        <v>#N/A</v>
      </c>
      <c r="D27" s="39"/>
      <c r="E27" s="35"/>
      <c r="F27" s="35" t="str">
        <f t="shared" si="0"/>
        <v>INS</v>
      </c>
      <c r="G27" s="5" t="e">
        <f>IF(OR(E27="Jeopardy",E27="APP Moonlighting",E27="Differential Pay"),"",Sept[[#This Row],[SysID]])</f>
        <v>#N/A</v>
      </c>
      <c r="H27" s="5" t="e">
        <f>IF(E27="Jeopardy",IF(C27="MD",Relay!$E$7,Relay!$E$8),IF(C27="MD",IF(COUNTIF(G:G,B27)&gt;1,Relay!$E$2,Relay!$E$1),IF(AND(COUNTIF(G:G,B27)&gt;1,COUNTA(A27)&gt;0),Relay!$E$5,Relay!$E$4)))</f>
        <v>#N/A</v>
      </c>
      <c r="I27" s="8">
        <f t="shared" si="1"/>
        <v>0</v>
      </c>
      <c r="J27" s="35"/>
      <c r="K27" s="35"/>
      <c r="L27" s="35"/>
      <c r="M27" s="35"/>
      <c r="N27" s="10" t="e">
        <f>IF(H27=Sept!$E$2,"N",IF(AND(COUNTIF(B:B,B27)=1,D27&gt;14),"Y","N"))</f>
        <v>#N/A</v>
      </c>
      <c r="O27" s="55" t="str">
        <f>IF(COUNT(Sept[[#This Row],[Date]])&gt;0,IF(Sept[[#This Row],[Date]]&gt;14,"Yes","No"),"N/A")</f>
        <v>N/A</v>
      </c>
      <c r="P27" s="55"/>
      <c r="Q27" s="5">
        <f>Relay!A26</f>
        <v>0</v>
      </c>
      <c r="R27" s="5">
        <f>Relay!B26</f>
        <v>25</v>
      </c>
      <c r="S27" s="8">
        <f>IF(Sept[After the 14th?]="No",SUMIF(Sept[SysID],R27,Sept[Pay Amount]),0)+IF(Aug[After the 14th?]="Yes",SUMIF(Aug[SysID],R27,Aug[Pay Amount]),0)</f>
        <v>0</v>
      </c>
      <c r="T27" s="8"/>
      <c r="U27" s="5" t="str">
        <f t="shared" si="2"/>
        <v>N</v>
      </c>
      <c r="X27" s="56"/>
      <c r="Y27" s="56"/>
      <c r="Z27" s="56"/>
      <c r="AA27" s="56"/>
      <c r="AC27" s="56"/>
    </row>
    <row r="28" spans="1:29" x14ac:dyDescent="0.25">
      <c r="A28" s="35"/>
      <c r="B28" s="5" t="e">
        <f>VLOOKUP(A28,Relay!$A$1:$B$50,2,FALSE)</f>
        <v>#N/A</v>
      </c>
      <c r="C28" s="5" t="e">
        <f>VLOOKUP(A28,Relay!$A$2:$C$51,3,FALSE)</f>
        <v>#N/A</v>
      </c>
      <c r="D28" s="39"/>
      <c r="E28" s="35"/>
      <c r="F28" s="35" t="str">
        <f t="shared" si="0"/>
        <v>INS</v>
      </c>
      <c r="G28" s="5" t="e">
        <f>IF(OR(E28="Jeopardy",E28="APP Moonlighting",E28="Differential Pay"),"",Sept[[#This Row],[SysID]])</f>
        <v>#N/A</v>
      </c>
      <c r="H28" s="5" t="e">
        <f>IF(E28="Jeopardy",IF(C28="MD",Relay!$E$7,Relay!$E$8),IF(C28="MD",IF(COUNTIF(G:G,B28)&gt;1,Relay!$E$2,Relay!$E$1),IF(AND(COUNTIF(G:G,B28)&gt;1,COUNTA(A28)&gt;0),Relay!$E$5,Relay!$E$4)))</f>
        <v>#N/A</v>
      </c>
      <c r="I28" s="8">
        <f t="shared" si="1"/>
        <v>0</v>
      </c>
      <c r="J28" s="35"/>
      <c r="K28" s="35"/>
      <c r="L28" s="35"/>
      <c r="M28" s="35"/>
      <c r="N28" s="10" t="e">
        <f>IF(H28=Sept!$E$2,"N",IF(AND(COUNTIF(B:B,B28)=1,D28&gt;14),"Y","N"))</f>
        <v>#N/A</v>
      </c>
      <c r="O28" s="55" t="str">
        <f>IF(COUNT(Sept[[#This Row],[Date]])&gt;0,IF(Sept[[#This Row],[Date]]&gt;14,"Yes","No"),"N/A")</f>
        <v>N/A</v>
      </c>
      <c r="P28" s="55"/>
      <c r="Q28" s="5">
        <f>Relay!A27</f>
        <v>0</v>
      </c>
      <c r="R28" s="5">
        <f>Relay!B27</f>
        <v>26</v>
      </c>
      <c r="S28" s="8">
        <f>IF(Sept[After the 14th?]="No",SUMIF(Sept[SysID],R28,Sept[Pay Amount]),0)+IF(Aug[After the 14th?]="Yes",SUMIF(Aug[SysID],R28,Aug[Pay Amount]),0)</f>
        <v>0</v>
      </c>
      <c r="T28" s="8"/>
      <c r="U28" s="5" t="str">
        <f t="shared" si="2"/>
        <v>N</v>
      </c>
      <c r="X28" s="56"/>
      <c r="Y28" s="56"/>
      <c r="Z28" s="56"/>
      <c r="AA28" s="56"/>
      <c r="AC28" s="56"/>
    </row>
    <row r="29" spans="1:29" x14ac:dyDescent="0.25">
      <c r="A29" s="35"/>
      <c r="B29" s="5" t="e">
        <f>VLOOKUP(A29,Relay!$A$1:$B$50,2,FALSE)</f>
        <v>#N/A</v>
      </c>
      <c r="C29" s="5" t="e">
        <f>VLOOKUP(A29,Relay!$A$2:$C$51,3,FALSE)</f>
        <v>#N/A</v>
      </c>
      <c r="D29" s="39"/>
      <c r="E29" s="35"/>
      <c r="F29" s="35" t="str">
        <f t="shared" si="0"/>
        <v>INS</v>
      </c>
      <c r="G29" s="5" t="e">
        <f>IF(OR(E29="Jeopardy",E29="APP Moonlighting",E29="Differential Pay"),"",Sept[[#This Row],[SysID]])</f>
        <v>#N/A</v>
      </c>
      <c r="H29" s="5" t="e">
        <f>IF(E29="Jeopardy",IF(C29="MD",Relay!$E$7,Relay!$E$8),IF(C29="MD",IF(COUNTIF(G:G,B29)&gt;1,Relay!$E$2,Relay!$E$1),IF(AND(COUNTIF(G:G,B29)&gt;1,COUNTA(A29)&gt;0),Relay!$E$5,Relay!$E$4)))</f>
        <v>#N/A</v>
      </c>
      <c r="I29" s="8">
        <f t="shared" si="1"/>
        <v>0</v>
      </c>
      <c r="J29" s="35"/>
      <c r="K29" s="35"/>
      <c r="L29" s="35"/>
      <c r="M29" s="35"/>
      <c r="N29" s="10" t="e">
        <f>IF(H29=Sept!$E$2,"N",IF(AND(COUNTIF(B:B,B29)=1,D29&gt;14),"Y","N"))</f>
        <v>#N/A</v>
      </c>
      <c r="O29" s="55" t="str">
        <f>IF(COUNT(Sept[[#This Row],[Date]])&gt;0,IF(Sept[[#This Row],[Date]]&gt;14,"Yes","No"),"N/A")</f>
        <v>N/A</v>
      </c>
      <c r="P29" s="55"/>
      <c r="Q29" s="5">
        <f>Relay!A28</f>
        <v>0</v>
      </c>
      <c r="R29" s="5">
        <f>Relay!B28</f>
        <v>27</v>
      </c>
      <c r="S29" s="8">
        <f>IF(Sept[After the 14th?]="No",SUMIF(Sept[SysID],R29,Sept[Pay Amount]),0)+IF(Aug[After the 14th?]="Yes",SUMIF(Aug[SysID],R29,Aug[Pay Amount]),0)</f>
        <v>0</v>
      </c>
      <c r="T29" s="8"/>
      <c r="U29" s="5" t="str">
        <f t="shared" si="2"/>
        <v>N</v>
      </c>
      <c r="X29" s="56"/>
      <c r="Y29" s="56"/>
      <c r="Z29" s="56"/>
      <c r="AA29" s="56"/>
      <c r="AC29" s="56"/>
    </row>
    <row r="30" spans="1:29" x14ac:dyDescent="0.25">
      <c r="A30" s="35"/>
      <c r="B30" s="5" t="e">
        <f>VLOOKUP(A30,Relay!$A$1:$B$50,2,FALSE)</f>
        <v>#N/A</v>
      </c>
      <c r="C30" s="5" t="e">
        <f>VLOOKUP(A30,Relay!$A$2:$C$51,3,FALSE)</f>
        <v>#N/A</v>
      </c>
      <c r="D30" s="39"/>
      <c r="E30" s="35"/>
      <c r="F30" s="35" t="str">
        <f t="shared" si="0"/>
        <v>INS</v>
      </c>
      <c r="G30" s="5" t="e">
        <f>IF(OR(E30="Jeopardy",E30="APP Moonlighting",E30="Differential Pay"),"",Sept[[#This Row],[SysID]])</f>
        <v>#N/A</v>
      </c>
      <c r="H30" s="5" t="e">
        <f>IF(E30="Jeopardy",IF(C30="MD",Relay!$E$7,Relay!$E$8),IF(C30="MD",IF(COUNTIF(G:G,B30)&gt;1,Relay!$E$2,Relay!$E$1),IF(AND(COUNTIF(G:G,B30)&gt;1,COUNTA(A30)&gt;0),Relay!$E$5,Relay!$E$4)))</f>
        <v>#N/A</v>
      </c>
      <c r="I30" s="8">
        <f t="shared" si="1"/>
        <v>0</v>
      </c>
      <c r="J30" s="35"/>
      <c r="K30" s="35"/>
      <c r="L30" s="35"/>
      <c r="M30" s="35"/>
      <c r="N30" s="10" t="e">
        <f>IF(H30=Sept!$E$2,"N",IF(AND(COUNTIF(B:B,B30)=1,D30&gt;14),"Y","N"))</f>
        <v>#N/A</v>
      </c>
      <c r="O30" s="55" t="str">
        <f>IF(COUNT(Sept[[#This Row],[Date]])&gt;0,IF(Sept[[#This Row],[Date]]&gt;14,"Yes","No"),"N/A")</f>
        <v>N/A</v>
      </c>
      <c r="P30" s="55"/>
      <c r="Q30" s="5">
        <f>Relay!A29</f>
        <v>0</v>
      </c>
      <c r="R30" s="5">
        <f>Relay!B29</f>
        <v>28</v>
      </c>
      <c r="S30" s="8">
        <f>IF(Sept[After the 14th?]="No",SUMIF(Sept[SysID],R30,Sept[Pay Amount]),0)+IF(Aug[After the 14th?]="Yes",SUMIF(Aug[SysID],R30,Aug[Pay Amount]),0)</f>
        <v>0</v>
      </c>
      <c r="T30" s="8"/>
      <c r="U30" s="5" t="str">
        <f t="shared" si="2"/>
        <v>N</v>
      </c>
      <c r="X30" s="56"/>
      <c r="Y30" s="56"/>
      <c r="Z30" s="56"/>
      <c r="AA30" s="56"/>
      <c r="AC30" s="56"/>
    </row>
    <row r="31" spans="1:29" x14ac:dyDescent="0.25">
      <c r="A31" s="35"/>
      <c r="B31" s="5" t="e">
        <f>VLOOKUP(A31,Relay!$A$1:$B$50,2,FALSE)</f>
        <v>#N/A</v>
      </c>
      <c r="C31" s="5" t="e">
        <f>VLOOKUP(A31,Relay!$A$2:$C$51,3,FALSE)</f>
        <v>#N/A</v>
      </c>
      <c r="D31" s="39"/>
      <c r="E31" s="35"/>
      <c r="F31" s="35" t="str">
        <f t="shared" si="0"/>
        <v>INS</v>
      </c>
      <c r="G31" s="5" t="e">
        <f>IF(OR(E31="Jeopardy",E31="APP Moonlighting",E31="Differential Pay"),"",Sept[[#This Row],[SysID]])</f>
        <v>#N/A</v>
      </c>
      <c r="H31" s="5" t="e">
        <f>IF(E31="Jeopardy",IF(C31="MD",Relay!$E$7,Relay!$E$8),IF(C31="MD",IF(COUNTIF(G:G,B31)&gt;1,Relay!$E$2,Relay!$E$1),IF(AND(COUNTIF(G:G,B31)&gt;1,COUNTA(A31)&gt;0),Relay!$E$5,Relay!$E$4)))</f>
        <v>#N/A</v>
      </c>
      <c r="I31" s="8">
        <f t="shared" si="1"/>
        <v>0</v>
      </c>
      <c r="J31" s="35"/>
      <c r="K31" s="35"/>
      <c r="L31" s="35"/>
      <c r="M31" s="35"/>
      <c r="N31" s="10" t="e">
        <f>IF(H31=Sept!$E$2,"N",IF(AND(COUNTIF(B:B,B31)=1,D31&gt;14),"Y","N"))</f>
        <v>#N/A</v>
      </c>
      <c r="O31" s="55" t="str">
        <f>IF(COUNT(Sept[[#This Row],[Date]])&gt;0,IF(Sept[[#This Row],[Date]]&gt;14,"Yes","No"),"N/A")</f>
        <v>N/A</v>
      </c>
      <c r="P31" s="55"/>
      <c r="Q31" s="5">
        <f>Relay!A30</f>
        <v>0</v>
      </c>
      <c r="R31" s="5">
        <f>Relay!B30</f>
        <v>29</v>
      </c>
      <c r="S31" s="8">
        <f>IF(Sept[After the 14th?]="No",SUMIF(Sept[SysID],R31,Sept[Pay Amount]),0)+IF(Aug[After the 14th?]="Yes",SUMIF(Aug[SysID],R31,Aug[Pay Amount]),0)</f>
        <v>0</v>
      </c>
      <c r="T31" s="8"/>
      <c r="U31" s="5" t="str">
        <f t="shared" si="2"/>
        <v>N</v>
      </c>
      <c r="X31" s="56"/>
      <c r="Y31" s="56"/>
      <c r="Z31" s="56"/>
      <c r="AA31" s="56"/>
      <c r="AC31" s="56"/>
    </row>
    <row r="32" spans="1:29" x14ac:dyDescent="0.25">
      <c r="A32" s="35"/>
      <c r="B32" s="5" t="e">
        <f>VLOOKUP(A32,Relay!$A$1:$B$50,2,FALSE)</f>
        <v>#N/A</v>
      </c>
      <c r="C32" s="5" t="e">
        <f>VLOOKUP(A32,Relay!$A$2:$C$51,3,FALSE)</f>
        <v>#N/A</v>
      </c>
      <c r="D32" s="39"/>
      <c r="E32" s="35"/>
      <c r="F32" s="35" t="str">
        <f t="shared" si="0"/>
        <v>INS</v>
      </c>
      <c r="G32" s="5" t="e">
        <f>IF(OR(E32="Jeopardy",E32="APP Moonlighting",E32="Differential Pay"),"",Sept[[#This Row],[SysID]])</f>
        <v>#N/A</v>
      </c>
      <c r="H32" s="5" t="e">
        <f>IF(E32="Jeopardy",IF(C32="MD",Relay!$E$7,Relay!$E$8),IF(C32="MD",IF(COUNTIF(G:G,B32)&gt;1,Relay!$E$2,Relay!$E$1),IF(AND(COUNTIF(G:G,B32)&gt;1,COUNTA(A32)&gt;0),Relay!$E$5,Relay!$E$4)))</f>
        <v>#N/A</v>
      </c>
      <c r="I32" s="8">
        <f t="shared" si="1"/>
        <v>0</v>
      </c>
      <c r="J32" s="35"/>
      <c r="K32" s="35"/>
      <c r="L32" s="35"/>
      <c r="M32" s="35"/>
      <c r="N32" s="10" t="e">
        <f>IF(H32=Sept!$E$2,"N",IF(AND(COUNTIF(B:B,B32)=1,D32&gt;14),"Y","N"))</f>
        <v>#N/A</v>
      </c>
      <c r="O32" s="55" t="str">
        <f>IF(COUNT(Sept[[#This Row],[Date]])&gt;0,IF(Sept[[#This Row],[Date]]&gt;14,"Yes","No"),"N/A")</f>
        <v>N/A</v>
      </c>
      <c r="P32" s="55"/>
      <c r="Q32" s="5">
        <f>Relay!A31</f>
        <v>0</v>
      </c>
      <c r="R32" s="5">
        <f>Relay!B31</f>
        <v>30</v>
      </c>
      <c r="S32" s="8">
        <f>IF(Sept[After the 14th?]="No",SUMIF(Sept[SysID],R32,Sept[Pay Amount]),0)+IF(Aug[After the 14th?]="Yes",SUMIF(Aug[SysID],R32,Aug[Pay Amount]),0)</f>
        <v>0</v>
      </c>
      <c r="T32" s="8"/>
      <c r="U32" s="5" t="str">
        <f t="shared" si="2"/>
        <v>N</v>
      </c>
      <c r="X32" s="56"/>
      <c r="Y32" s="56"/>
      <c r="Z32" s="56"/>
      <c r="AA32" s="56"/>
      <c r="AC32" s="56"/>
    </row>
    <row r="33" spans="1:29" x14ac:dyDescent="0.25">
      <c r="A33" s="35"/>
      <c r="B33" s="5" t="e">
        <f>VLOOKUP(A33,Relay!$A$1:$B$50,2,FALSE)</f>
        <v>#N/A</v>
      </c>
      <c r="C33" s="5" t="e">
        <f>VLOOKUP(A33,Relay!$A$2:$C$51,3,FALSE)</f>
        <v>#N/A</v>
      </c>
      <c r="D33" s="39"/>
      <c r="E33" s="35"/>
      <c r="F33" s="35" t="str">
        <f t="shared" si="0"/>
        <v>INS</v>
      </c>
      <c r="G33" s="5" t="e">
        <f>IF(OR(E33="Jeopardy",E33="APP Moonlighting",E33="Differential Pay"),"",Sept[[#This Row],[SysID]])</f>
        <v>#N/A</v>
      </c>
      <c r="H33" s="5" t="e">
        <f>IF(E33="Jeopardy",IF(C33="MD",Relay!$E$7,Relay!$E$8),IF(C33="MD",IF(COUNTIF(G:G,B33)&gt;1,Relay!$E$2,Relay!$E$1),IF(AND(COUNTIF(G:G,B33)&gt;1,COUNTA(A33)&gt;0),Relay!$E$5,Relay!$E$4)))</f>
        <v>#N/A</v>
      </c>
      <c r="I33" s="8">
        <f t="shared" si="1"/>
        <v>0</v>
      </c>
      <c r="J33" s="35"/>
      <c r="K33" s="35"/>
      <c r="L33" s="35"/>
      <c r="M33" s="35"/>
      <c r="N33" s="10" t="e">
        <f>IF(H33=Sept!$E$2,"N",IF(AND(COUNTIF(B:B,B33)=1,D33&gt;14),"Y","N"))</f>
        <v>#N/A</v>
      </c>
      <c r="O33" s="55" t="str">
        <f>IF(COUNT(Sept[[#This Row],[Date]])&gt;0,IF(Sept[[#This Row],[Date]]&gt;14,"Yes","No"),"N/A")</f>
        <v>N/A</v>
      </c>
      <c r="P33" s="55"/>
      <c r="Q33" s="5">
        <f>Relay!A32</f>
        <v>0</v>
      </c>
      <c r="R33" s="5">
        <f>Relay!B32</f>
        <v>31</v>
      </c>
      <c r="S33" s="8">
        <f>IF(Sept[After the 14th?]="No",SUMIF(Sept[SysID],R33,Sept[Pay Amount]),0)+IF(Aug[After the 14th?]="Yes",SUMIF(Aug[SysID],R33,Aug[Pay Amount]),0)</f>
        <v>0</v>
      </c>
      <c r="T33" s="8"/>
      <c r="U33" s="5" t="str">
        <f t="shared" si="2"/>
        <v>N</v>
      </c>
      <c r="X33" s="56"/>
      <c r="Y33" s="56"/>
      <c r="Z33" s="56"/>
      <c r="AA33" s="56"/>
      <c r="AC33" s="56"/>
    </row>
    <row r="34" spans="1:29" x14ac:dyDescent="0.25">
      <c r="A34" s="35"/>
      <c r="B34" s="5" t="e">
        <f>VLOOKUP(A34,Relay!$A$1:$B$50,2,FALSE)</f>
        <v>#N/A</v>
      </c>
      <c r="C34" s="5" t="e">
        <f>VLOOKUP(A34,Relay!$A$2:$C$51,3,FALSE)</f>
        <v>#N/A</v>
      </c>
      <c r="D34" s="39"/>
      <c r="E34" s="35"/>
      <c r="F34" s="35" t="str">
        <f t="shared" si="0"/>
        <v>INS</v>
      </c>
      <c r="G34" s="5" t="e">
        <f>IF(OR(E34="Jeopardy",E34="APP Moonlighting",E34="Differential Pay"),"",Sept[[#This Row],[SysID]])</f>
        <v>#N/A</v>
      </c>
      <c r="H34" s="5" t="e">
        <f>IF(E34="Jeopardy",IF(C34="MD",Relay!$E$7,Relay!$E$8),IF(C34="MD",IF(COUNTIF(G:G,B34)&gt;1,Relay!$E$2,Relay!$E$1),IF(AND(COUNTIF(G:G,B34)&gt;1,COUNTA(A34)&gt;0),Relay!$E$5,Relay!$E$4)))</f>
        <v>#N/A</v>
      </c>
      <c r="I34" s="8">
        <f t="shared" si="1"/>
        <v>0</v>
      </c>
      <c r="J34" s="35"/>
      <c r="K34" s="35"/>
      <c r="L34" s="35"/>
      <c r="M34" s="35"/>
      <c r="N34" s="10" t="e">
        <f>IF(H34=Sept!$E$2,"N",IF(AND(COUNTIF(B:B,B34)=1,D34&gt;14),"Y","N"))</f>
        <v>#N/A</v>
      </c>
      <c r="O34" s="55" t="str">
        <f>IF(COUNT(Sept[[#This Row],[Date]])&gt;0,IF(Sept[[#This Row],[Date]]&gt;14,"Yes","No"),"N/A")</f>
        <v>N/A</v>
      </c>
      <c r="P34" s="55"/>
      <c r="Q34" s="5">
        <f>Relay!A33</f>
        <v>0</v>
      </c>
      <c r="R34" s="5">
        <f>Relay!B33</f>
        <v>32</v>
      </c>
      <c r="S34" s="8">
        <f>IF(Sept[After the 14th?]="No",SUMIF(Sept[SysID],R34,Sept[Pay Amount]),0)+IF(Aug[After the 14th?]="Yes",SUMIF(Aug[SysID],R34,Aug[Pay Amount]),0)</f>
        <v>0</v>
      </c>
      <c r="T34" s="8"/>
      <c r="U34" s="5" t="str">
        <f t="shared" si="2"/>
        <v>N</v>
      </c>
      <c r="X34" s="56"/>
      <c r="Y34" s="56"/>
      <c r="Z34" s="56"/>
      <c r="AA34" s="56"/>
      <c r="AC34" s="56"/>
    </row>
    <row r="35" spans="1:29" x14ac:dyDescent="0.25">
      <c r="A35" s="35"/>
      <c r="B35" s="5" t="e">
        <f>VLOOKUP(A35,Relay!$A$1:$B$50,2,FALSE)</f>
        <v>#N/A</v>
      </c>
      <c r="C35" s="5" t="e">
        <f>VLOOKUP(A35,Relay!$A$2:$C$51,3,FALSE)</f>
        <v>#N/A</v>
      </c>
      <c r="D35" s="39"/>
      <c r="E35" s="35"/>
      <c r="F35" s="35" t="str">
        <f t="shared" si="0"/>
        <v>INS</v>
      </c>
      <c r="G35" s="5" t="e">
        <f>IF(OR(E35="Jeopardy",E35="APP Moonlighting",E35="Differential Pay"),"",Sept[[#This Row],[SysID]])</f>
        <v>#N/A</v>
      </c>
      <c r="H35" s="5" t="e">
        <f>IF(E35="Jeopardy",IF(C35="MD",Relay!$E$7,Relay!$E$8),IF(C35="MD",IF(COUNTIF(G:G,B35)&gt;1,Relay!$E$2,Relay!$E$1),IF(AND(COUNTIF(G:G,B35)&gt;1,COUNTA(A35)&gt;0),Relay!$E$5,Relay!$E$4)))</f>
        <v>#N/A</v>
      </c>
      <c r="I35" s="8">
        <f t="shared" si="1"/>
        <v>0</v>
      </c>
      <c r="J35" s="35"/>
      <c r="K35" s="35"/>
      <c r="L35" s="35"/>
      <c r="M35" s="35"/>
      <c r="N35" s="10" t="e">
        <f>IF(H35=Sept!$E$2,"N",IF(AND(COUNTIF(B:B,B35)=1,D35&gt;14),"Y","N"))</f>
        <v>#N/A</v>
      </c>
      <c r="O35" s="55" t="str">
        <f>IF(COUNT(Sept[[#This Row],[Date]])&gt;0,IF(Sept[[#This Row],[Date]]&gt;14,"Yes","No"),"N/A")</f>
        <v>N/A</v>
      </c>
      <c r="P35" s="55"/>
      <c r="Q35" s="5">
        <f>Relay!A34</f>
        <v>0</v>
      </c>
      <c r="R35" s="5">
        <f>Relay!B34</f>
        <v>33</v>
      </c>
      <c r="S35" s="8">
        <f>IF(Sept[After the 14th?]="No",SUMIF(Sept[SysID],R35,Sept[Pay Amount]),0)+IF(Aug[After the 14th?]="Yes",SUMIF(Aug[SysID],R35,Aug[Pay Amount]),0)</f>
        <v>0</v>
      </c>
      <c r="T35" s="8"/>
      <c r="U35" s="5" t="str">
        <f t="shared" si="2"/>
        <v>N</v>
      </c>
      <c r="X35" s="56"/>
      <c r="Y35" s="56"/>
      <c r="Z35" s="56"/>
      <c r="AA35" s="56"/>
      <c r="AC35" s="56"/>
    </row>
    <row r="36" spans="1:29" x14ac:dyDescent="0.25">
      <c r="A36" s="35"/>
      <c r="B36" s="5" t="e">
        <f>VLOOKUP(A36,Relay!$A$1:$B$50,2,FALSE)</f>
        <v>#N/A</v>
      </c>
      <c r="C36" s="5" t="e">
        <f>VLOOKUP(A36,Relay!$A$2:$C$51,3,FALSE)</f>
        <v>#N/A</v>
      </c>
      <c r="D36" s="39"/>
      <c r="E36" s="35"/>
      <c r="F36" s="35" t="str">
        <f t="shared" si="0"/>
        <v>INS</v>
      </c>
      <c r="G36" s="5" t="e">
        <f>IF(OR(E36="Jeopardy",E36="APP Moonlighting",E36="Differential Pay"),"",Sept[[#This Row],[SysID]])</f>
        <v>#N/A</v>
      </c>
      <c r="H36" s="5" t="e">
        <f>IF(E36="Jeopardy",IF(C36="MD",Relay!$E$7,Relay!$E$8),IF(C36="MD",IF(COUNTIF(G:G,B36)&gt;1,Relay!$E$2,Relay!$E$1),IF(AND(COUNTIF(G:G,B36)&gt;1,COUNTA(A36)&gt;0),Relay!$E$5,Relay!$E$4)))</f>
        <v>#N/A</v>
      </c>
      <c r="I36" s="8">
        <f t="shared" si="1"/>
        <v>0</v>
      </c>
      <c r="J36" s="35"/>
      <c r="K36" s="35"/>
      <c r="L36" s="35"/>
      <c r="M36" s="35"/>
      <c r="N36" s="10" t="e">
        <f>IF(H36=Sept!$E$2,"N",IF(AND(COUNTIF(B:B,B36)=1,D36&gt;14),"Y","N"))</f>
        <v>#N/A</v>
      </c>
      <c r="O36" s="55" t="str">
        <f>IF(COUNT(Sept[[#This Row],[Date]])&gt;0,IF(Sept[[#This Row],[Date]]&gt;14,"Yes","No"),"N/A")</f>
        <v>N/A</v>
      </c>
      <c r="P36" s="55"/>
      <c r="Q36" s="5">
        <f>Relay!A35</f>
        <v>0</v>
      </c>
      <c r="R36" s="5">
        <f>Relay!B35</f>
        <v>34</v>
      </c>
      <c r="S36" s="8">
        <f>IF(Sept[After the 14th?]="No",SUMIF(Sept[SysID],R36,Sept[Pay Amount]),0)+IF(Aug[After the 14th?]="Yes",SUMIF(Aug[SysID],R36,Aug[Pay Amount]),0)</f>
        <v>0</v>
      </c>
      <c r="T36" s="8"/>
      <c r="U36" s="5" t="str">
        <f t="shared" si="2"/>
        <v>N</v>
      </c>
      <c r="X36" s="56"/>
      <c r="Y36" s="56"/>
      <c r="Z36" s="56"/>
      <c r="AA36" s="56"/>
      <c r="AC36" s="56"/>
    </row>
    <row r="37" spans="1:29" x14ac:dyDescent="0.25">
      <c r="A37" s="35"/>
      <c r="B37" s="5" t="e">
        <f>VLOOKUP(A37,Relay!$A$1:$B$50,2,FALSE)</f>
        <v>#N/A</v>
      </c>
      <c r="C37" s="5" t="e">
        <f>VLOOKUP(A37,Relay!$A$2:$C$51,3,FALSE)</f>
        <v>#N/A</v>
      </c>
      <c r="D37" s="39"/>
      <c r="E37" s="35"/>
      <c r="F37" s="35" t="str">
        <f t="shared" si="0"/>
        <v>INS</v>
      </c>
      <c r="G37" s="5" t="e">
        <f>IF(OR(E37="Jeopardy",E37="APP Moonlighting",E37="Differential Pay"),"",Sept[[#This Row],[SysID]])</f>
        <v>#N/A</v>
      </c>
      <c r="H37" s="5" t="e">
        <f>IF(E37="Jeopardy",IF(C37="MD",Relay!$E$7,Relay!$E$8),IF(C37="MD",IF(COUNTIF(G:G,B37)&gt;1,Relay!$E$2,Relay!$E$1),IF(AND(COUNTIF(G:G,B37)&gt;1,COUNTA(A37)&gt;0),Relay!$E$5,Relay!$E$4)))</f>
        <v>#N/A</v>
      </c>
      <c r="I37" s="8">
        <f t="shared" si="1"/>
        <v>0</v>
      </c>
      <c r="J37" s="35"/>
      <c r="K37" s="35"/>
      <c r="L37" s="35"/>
      <c r="M37" s="35"/>
      <c r="N37" s="10" t="e">
        <f>IF(H37=Sept!$E$2,"N",IF(AND(COUNTIF(B:B,B37)=1,D37&gt;14),"Y","N"))</f>
        <v>#N/A</v>
      </c>
      <c r="O37" s="55" t="str">
        <f>IF(COUNT(Sept[[#This Row],[Date]])&gt;0,IF(Sept[[#This Row],[Date]]&gt;14,"Yes","No"),"N/A")</f>
        <v>N/A</v>
      </c>
      <c r="P37" s="55"/>
      <c r="Q37" s="5">
        <f>Relay!A36</f>
        <v>0</v>
      </c>
      <c r="R37" s="5">
        <f>Relay!B36</f>
        <v>35</v>
      </c>
      <c r="S37" s="8">
        <f>IF(Sept[After the 14th?]="No",SUMIF(Sept[SysID],R37,Sept[Pay Amount]),0)+IF(Aug[After the 14th?]="Yes",SUMIF(Aug[SysID],R37,Aug[Pay Amount]),0)</f>
        <v>0</v>
      </c>
      <c r="T37" s="8"/>
      <c r="U37" s="5" t="str">
        <f t="shared" si="2"/>
        <v>N</v>
      </c>
      <c r="X37" s="56"/>
      <c r="Y37" s="56"/>
      <c r="Z37" s="56"/>
      <c r="AA37" s="56"/>
      <c r="AC37" s="56"/>
    </row>
    <row r="38" spans="1:29" x14ac:dyDescent="0.25">
      <c r="A38" s="35"/>
      <c r="B38" s="5" t="e">
        <f>VLOOKUP(A38,Relay!$A$1:$B$50,2,FALSE)</f>
        <v>#N/A</v>
      </c>
      <c r="C38" s="5" t="e">
        <f>VLOOKUP(A38,Relay!$A$2:$C$51,3,FALSE)</f>
        <v>#N/A</v>
      </c>
      <c r="D38" s="39"/>
      <c r="E38" s="35"/>
      <c r="F38" s="35" t="str">
        <f t="shared" si="0"/>
        <v>INS</v>
      </c>
      <c r="G38" s="5" t="e">
        <f>IF(OR(E38="Jeopardy",E38="APP Moonlighting",E38="Differential Pay"),"",Sept[[#This Row],[SysID]])</f>
        <v>#N/A</v>
      </c>
      <c r="H38" s="5" t="e">
        <f>IF(E38="Jeopardy",IF(C38="MD",Relay!$E$7,Relay!$E$8),IF(C38="MD",IF(COUNTIF(G:G,B38)&gt;1,Relay!$E$2,Relay!$E$1),IF(AND(COUNTIF(G:G,B38)&gt;1,COUNTA(A38)&gt;0),Relay!$E$5,Relay!$E$4)))</f>
        <v>#N/A</v>
      </c>
      <c r="I38" s="8">
        <f t="shared" si="1"/>
        <v>0</v>
      </c>
      <c r="J38" s="35"/>
      <c r="K38" s="35"/>
      <c r="L38" s="35"/>
      <c r="M38" s="35"/>
      <c r="N38" s="10" t="e">
        <f>IF(H38=Sept!$E$2,"N",IF(AND(COUNTIF(B:B,B38)=1,D38&gt;14),"Y","N"))</f>
        <v>#N/A</v>
      </c>
      <c r="O38" s="55" t="str">
        <f>IF(COUNT(Sept[[#This Row],[Date]])&gt;0,IF(Sept[[#This Row],[Date]]&gt;14,"Yes","No"),"N/A")</f>
        <v>N/A</v>
      </c>
      <c r="P38" s="55"/>
      <c r="Q38" s="5">
        <f>Relay!A37</f>
        <v>0</v>
      </c>
      <c r="R38" s="5">
        <f>Relay!B37</f>
        <v>36</v>
      </c>
      <c r="S38" s="8">
        <f>IF(Sept[After the 14th?]="No",SUMIF(Sept[SysID],R38,Sept[Pay Amount]),0)+IF(Aug[After the 14th?]="Yes",SUMIF(Aug[SysID],R38,Aug[Pay Amount]),0)</f>
        <v>0</v>
      </c>
      <c r="T38" s="8"/>
      <c r="U38" s="5" t="str">
        <f t="shared" si="2"/>
        <v>N</v>
      </c>
      <c r="X38" s="56"/>
      <c r="Y38" s="56"/>
      <c r="Z38" s="56"/>
      <c r="AA38" s="56"/>
      <c r="AC38" s="56"/>
    </row>
    <row r="39" spans="1:29" x14ac:dyDescent="0.25">
      <c r="A39" s="35"/>
      <c r="B39" s="5" t="e">
        <f>VLOOKUP(A39,Relay!$A$1:$B$50,2,FALSE)</f>
        <v>#N/A</v>
      </c>
      <c r="C39" s="5" t="e">
        <f>VLOOKUP(A39,Relay!$A$2:$C$51,3,FALSE)</f>
        <v>#N/A</v>
      </c>
      <c r="D39" s="39"/>
      <c r="E39" s="35"/>
      <c r="F39" s="35" t="str">
        <f t="shared" si="0"/>
        <v>INS</v>
      </c>
      <c r="G39" s="5" t="e">
        <f>IF(OR(E39="Jeopardy",E39="APP Moonlighting",E39="Differential Pay"),"",Sept[[#This Row],[SysID]])</f>
        <v>#N/A</v>
      </c>
      <c r="H39" s="5" t="e">
        <f>IF(E39="Jeopardy",IF(C39="MD",Relay!$E$7,Relay!$E$8),IF(C39="MD",IF(COUNTIF(G:G,B39)&gt;1,Relay!$E$2,Relay!$E$1),IF(AND(COUNTIF(G:G,B39)&gt;1,COUNTA(A39)&gt;0),Relay!$E$5,Relay!$E$4)))</f>
        <v>#N/A</v>
      </c>
      <c r="I39" s="8">
        <f t="shared" si="1"/>
        <v>0</v>
      </c>
      <c r="J39" s="35"/>
      <c r="K39" s="35"/>
      <c r="L39" s="35"/>
      <c r="M39" s="35"/>
      <c r="N39" s="10" t="e">
        <f>IF(H39=Sept!$E$2,"N",IF(AND(COUNTIF(B:B,B39)=1,D39&gt;14),"Y","N"))</f>
        <v>#N/A</v>
      </c>
      <c r="O39" s="55" t="str">
        <f>IF(COUNT(Sept[[#This Row],[Date]])&gt;0,IF(Sept[[#This Row],[Date]]&gt;14,"Yes","No"),"N/A")</f>
        <v>N/A</v>
      </c>
      <c r="P39" s="55"/>
      <c r="Q39" s="5">
        <f>Relay!A38</f>
        <v>0</v>
      </c>
      <c r="R39" s="5">
        <f>Relay!B38</f>
        <v>37</v>
      </c>
      <c r="S39" s="8">
        <f>IF(Sept[After the 14th?]="No",SUMIF(Sept[SysID],R39,Sept[Pay Amount]),0)+IF(Aug[After the 14th?]="Yes",SUMIF(Aug[SysID],R39,Aug[Pay Amount]),0)</f>
        <v>0</v>
      </c>
      <c r="T39" s="8"/>
      <c r="U39" s="5" t="str">
        <f t="shared" si="2"/>
        <v>N</v>
      </c>
      <c r="X39" s="56"/>
      <c r="Y39" s="56"/>
      <c r="Z39" s="56"/>
      <c r="AA39" s="56"/>
      <c r="AC39" s="56"/>
    </row>
    <row r="40" spans="1:29" x14ac:dyDescent="0.25">
      <c r="A40" s="35"/>
      <c r="B40" s="5" t="e">
        <f>VLOOKUP(A40,Relay!$A$1:$B$50,2,FALSE)</f>
        <v>#N/A</v>
      </c>
      <c r="C40" s="5" t="e">
        <f>VLOOKUP(A40,Relay!$A$2:$C$51,3,FALSE)</f>
        <v>#N/A</v>
      </c>
      <c r="D40" s="39"/>
      <c r="E40" s="35"/>
      <c r="F40" s="35" t="str">
        <f t="shared" si="0"/>
        <v>INS</v>
      </c>
      <c r="G40" s="5" t="e">
        <f>IF(OR(E40="Jeopardy",E40="APP Moonlighting",E40="Differential Pay"),"",Sept[[#This Row],[SysID]])</f>
        <v>#N/A</v>
      </c>
      <c r="H40" s="5" t="e">
        <f>IF(E40="Jeopardy",IF(C40="MD",Relay!$E$7,Relay!$E$8),IF(C40="MD",IF(COUNTIF(G:G,B40)&gt;1,Relay!$E$2,Relay!$E$1),IF(AND(COUNTIF(G:G,B40)&gt;1,COUNTA(A40)&gt;0),Relay!$E$5,Relay!$E$4)))</f>
        <v>#N/A</v>
      </c>
      <c r="I40" s="8">
        <f t="shared" si="1"/>
        <v>0</v>
      </c>
      <c r="J40" s="35"/>
      <c r="K40" s="35"/>
      <c r="L40" s="35"/>
      <c r="M40" s="35"/>
      <c r="N40" s="10" t="e">
        <f>IF(H40=Sept!$E$2,"N",IF(AND(COUNTIF(B:B,B40)=1,D40&gt;14),"Y","N"))</f>
        <v>#N/A</v>
      </c>
      <c r="O40" s="55" t="str">
        <f>IF(COUNT(Sept[[#This Row],[Date]])&gt;0,IF(Sept[[#This Row],[Date]]&gt;14,"Yes","No"),"N/A")</f>
        <v>N/A</v>
      </c>
      <c r="P40" s="55"/>
      <c r="Q40" s="5">
        <f>Relay!A39</f>
        <v>0</v>
      </c>
      <c r="R40" s="5">
        <f>Relay!B39</f>
        <v>38</v>
      </c>
      <c r="S40" s="8">
        <f>IF(Sept[After the 14th?]="No",SUMIF(Sept[SysID],R40,Sept[Pay Amount]),0)+IF(Aug[After the 14th?]="Yes",SUMIF(Aug[SysID],R40,Aug[Pay Amount]),0)</f>
        <v>0</v>
      </c>
      <c r="T40" s="8"/>
      <c r="U40" s="5" t="str">
        <f t="shared" si="2"/>
        <v>N</v>
      </c>
      <c r="X40" s="56"/>
      <c r="Y40" s="56"/>
      <c r="Z40" s="56"/>
      <c r="AA40" s="56"/>
      <c r="AC40" s="56"/>
    </row>
    <row r="41" spans="1:29" x14ac:dyDescent="0.25">
      <c r="A41" s="35"/>
      <c r="B41" s="5" t="e">
        <f>VLOOKUP(A41,Relay!$A$1:$B$50,2,FALSE)</f>
        <v>#N/A</v>
      </c>
      <c r="C41" s="5" t="e">
        <f>VLOOKUP(A41,Relay!$A$2:$C$51,3,FALSE)</f>
        <v>#N/A</v>
      </c>
      <c r="D41" s="39"/>
      <c r="E41" s="35"/>
      <c r="F41" s="35" t="str">
        <f t="shared" si="0"/>
        <v>INS</v>
      </c>
      <c r="G41" s="5" t="e">
        <f>IF(OR(E41="Jeopardy",E41="APP Moonlighting",E41="Differential Pay"),"",Sept[[#This Row],[SysID]])</f>
        <v>#N/A</v>
      </c>
      <c r="H41" s="5" t="e">
        <f>IF(E41="Jeopardy",IF(C41="MD",Relay!$E$7,Relay!$E$8),IF(C41="MD",IF(COUNTIF(G:G,B41)&gt;1,Relay!$E$2,Relay!$E$1),IF(AND(COUNTIF(G:G,B41)&gt;1,COUNTA(A41)&gt;0),Relay!$E$5,Relay!$E$4)))</f>
        <v>#N/A</v>
      </c>
      <c r="I41" s="8">
        <f t="shared" si="1"/>
        <v>0</v>
      </c>
      <c r="J41" s="35"/>
      <c r="K41" s="35"/>
      <c r="L41" s="35"/>
      <c r="M41" s="35"/>
      <c r="N41" s="10" t="e">
        <f>IF(H41=Sept!$E$2,"N",IF(AND(COUNTIF(B:B,B41)=1,D41&gt;14),"Y","N"))</f>
        <v>#N/A</v>
      </c>
      <c r="O41" s="55" t="str">
        <f>IF(COUNT(Sept[[#This Row],[Date]])&gt;0,IF(Sept[[#This Row],[Date]]&gt;14,"Yes","No"),"N/A")</f>
        <v>N/A</v>
      </c>
      <c r="P41" s="55"/>
      <c r="Q41" s="5">
        <f>Relay!A40</f>
        <v>0</v>
      </c>
      <c r="R41" s="5">
        <f>Relay!B40</f>
        <v>39</v>
      </c>
      <c r="S41" s="8">
        <f>IF(Sept[After the 14th?]="No",SUMIF(Sept[SysID],R41,Sept[Pay Amount]),0)+IF(Aug[After the 14th?]="Yes",SUMIF(Aug[SysID],R41,Aug[Pay Amount]),0)</f>
        <v>0</v>
      </c>
      <c r="T41" s="8"/>
      <c r="U41" s="5" t="str">
        <f t="shared" si="2"/>
        <v>N</v>
      </c>
      <c r="X41" s="56"/>
      <c r="Y41" s="56"/>
      <c r="Z41" s="56"/>
      <c r="AA41" s="56"/>
      <c r="AC41" s="56"/>
    </row>
    <row r="42" spans="1:29" x14ac:dyDescent="0.25">
      <c r="A42" s="35"/>
      <c r="B42" s="5" t="e">
        <f>VLOOKUP(A42,Relay!$A$1:$B$50,2,FALSE)</f>
        <v>#N/A</v>
      </c>
      <c r="C42" s="5" t="e">
        <f>VLOOKUP(A42,Relay!$A$2:$C$51,3,FALSE)</f>
        <v>#N/A</v>
      </c>
      <c r="D42" s="39"/>
      <c r="E42" s="35"/>
      <c r="F42" s="35" t="str">
        <f t="shared" si="0"/>
        <v>INS</v>
      </c>
      <c r="G42" s="5" t="e">
        <f>IF(OR(E42="Jeopardy",E42="APP Moonlighting",E42="Differential Pay"),"",Sept[[#This Row],[SysID]])</f>
        <v>#N/A</v>
      </c>
      <c r="H42" s="5" t="e">
        <f>IF(E42="Jeopardy",IF(C42="MD",Relay!$E$7,Relay!$E$8),IF(C42="MD",IF(COUNTIF(G:G,B42)&gt;1,Relay!$E$2,Relay!$E$1),IF(AND(COUNTIF(G:G,B42)&gt;1,COUNTA(A42)&gt;0),Relay!$E$5,Relay!$E$4)))</f>
        <v>#N/A</v>
      </c>
      <c r="I42" s="8">
        <f t="shared" si="1"/>
        <v>0</v>
      </c>
      <c r="J42" s="35"/>
      <c r="K42" s="35"/>
      <c r="L42" s="35"/>
      <c r="M42" s="35"/>
      <c r="N42" s="10" t="e">
        <f>IF(H42=Sept!$E$2,"N",IF(AND(COUNTIF(B:B,B42)=1,D42&gt;14),"Y","N"))</f>
        <v>#N/A</v>
      </c>
      <c r="O42" s="55" t="str">
        <f>IF(COUNT(Sept[[#This Row],[Date]])&gt;0,IF(Sept[[#This Row],[Date]]&gt;14,"Yes","No"),"N/A")</f>
        <v>N/A</v>
      </c>
      <c r="P42" s="55"/>
      <c r="Q42" s="5">
        <f>Relay!A41</f>
        <v>0</v>
      </c>
      <c r="R42" s="5">
        <f>Relay!B41</f>
        <v>40</v>
      </c>
      <c r="S42" s="8">
        <f>IF(Sept[After the 14th?]="No",SUMIF(Sept[SysID],R42,Sept[Pay Amount]),0)+IF(Aug[After the 14th?]="Yes",SUMIF(Aug[SysID],R42,Aug[Pay Amount]),0)</f>
        <v>0</v>
      </c>
      <c r="T42" s="8"/>
      <c r="U42" s="5" t="str">
        <f t="shared" si="2"/>
        <v>N</v>
      </c>
      <c r="X42" s="56"/>
      <c r="Y42" s="56"/>
      <c r="Z42" s="56"/>
      <c r="AA42" s="56"/>
      <c r="AC42" s="56"/>
    </row>
    <row r="43" spans="1:29" x14ac:dyDescent="0.25">
      <c r="A43" s="35"/>
      <c r="B43" s="5" t="e">
        <f>VLOOKUP(A43,Relay!$A$1:$B$50,2,FALSE)</f>
        <v>#N/A</v>
      </c>
      <c r="C43" s="5" t="e">
        <f>VLOOKUP(A43,Relay!$A$2:$C$51,3,FALSE)</f>
        <v>#N/A</v>
      </c>
      <c r="D43" s="39"/>
      <c r="E43" s="35"/>
      <c r="F43" s="35" t="str">
        <f t="shared" si="0"/>
        <v>INS</v>
      </c>
      <c r="G43" s="5" t="e">
        <f>IF(OR(E43="Jeopardy",E43="APP Moonlighting",E43="Differential Pay"),"",Sept[[#This Row],[SysID]])</f>
        <v>#N/A</v>
      </c>
      <c r="H43" s="5" t="e">
        <f>IF(E43="Jeopardy",IF(C43="MD",Relay!$E$7,Relay!$E$8),IF(C43="MD",IF(COUNTIF(G:G,B43)&gt;1,Relay!$E$2,Relay!$E$1),IF(AND(COUNTIF(G:G,B43)&gt;1,COUNTA(A43)&gt;0),Relay!$E$5,Relay!$E$4)))</f>
        <v>#N/A</v>
      </c>
      <c r="I43" s="8">
        <f t="shared" si="1"/>
        <v>0</v>
      </c>
      <c r="J43" s="35"/>
      <c r="K43" s="35"/>
      <c r="L43" s="35"/>
      <c r="M43" s="35"/>
      <c r="N43" s="10" t="e">
        <f>IF(H43=Sept!$E$2,"N",IF(AND(COUNTIF(B:B,B43)=1,D43&gt;14),"Y","N"))</f>
        <v>#N/A</v>
      </c>
      <c r="O43" s="55" t="str">
        <f>IF(COUNT(Sept[[#This Row],[Date]])&gt;0,IF(Sept[[#This Row],[Date]]&gt;14,"Yes","No"),"N/A")</f>
        <v>N/A</v>
      </c>
      <c r="P43" s="55"/>
      <c r="Q43" s="5">
        <f>Relay!A42</f>
        <v>0</v>
      </c>
      <c r="R43" s="5">
        <f>Relay!B42</f>
        <v>41</v>
      </c>
      <c r="S43" s="8">
        <f>IF(Sept[After the 14th?]="No",SUMIF(Sept[SysID],R43,Sept[Pay Amount]),0)+IF(Aug[After the 14th?]="Yes",SUMIF(Aug[SysID],R43,Aug[Pay Amount]),0)</f>
        <v>0</v>
      </c>
      <c r="T43" s="8"/>
      <c r="U43" s="5" t="str">
        <f t="shared" si="2"/>
        <v>N</v>
      </c>
      <c r="X43" s="56"/>
      <c r="Y43" s="56"/>
      <c r="Z43" s="56"/>
      <c r="AA43" s="56"/>
      <c r="AC43" s="56"/>
    </row>
    <row r="44" spans="1:29" x14ac:dyDescent="0.25">
      <c r="A44" s="35"/>
      <c r="B44" s="5" t="e">
        <f>VLOOKUP(A44,Relay!$A$1:$B$50,2,FALSE)</f>
        <v>#N/A</v>
      </c>
      <c r="C44" s="5" t="e">
        <f>VLOOKUP(A44,Relay!$A$2:$C$51,3,FALSE)</f>
        <v>#N/A</v>
      </c>
      <c r="D44" s="39"/>
      <c r="E44" s="35"/>
      <c r="F44" s="35" t="str">
        <f t="shared" si="0"/>
        <v>INS</v>
      </c>
      <c r="G44" s="5" t="e">
        <f>IF(OR(E44="Jeopardy",E44="APP Moonlighting",E44="Differential Pay"),"",Sept[[#This Row],[SysID]])</f>
        <v>#N/A</v>
      </c>
      <c r="H44" s="5" t="e">
        <f>IF(E44="Jeopardy",IF(C44="MD",Relay!$E$7,Relay!$E$8),IF(C44="MD",IF(COUNTIF(G:G,B44)&gt;1,Relay!$E$2,Relay!$E$1),IF(AND(COUNTIF(G:G,B44)&gt;1,COUNTA(A44)&gt;0),Relay!$E$5,Relay!$E$4)))</f>
        <v>#N/A</v>
      </c>
      <c r="I44" s="8">
        <f t="shared" si="1"/>
        <v>0</v>
      </c>
      <c r="J44" s="35"/>
      <c r="K44" s="35"/>
      <c r="L44" s="35"/>
      <c r="M44" s="35"/>
      <c r="N44" s="10" t="e">
        <f>IF(H44=Sept!$E$2,"N",IF(AND(COUNTIF(B:B,B44)=1,D44&gt;14),"Y","N"))</f>
        <v>#N/A</v>
      </c>
      <c r="O44" s="55" t="str">
        <f>IF(COUNT(Sept[[#This Row],[Date]])&gt;0,IF(Sept[[#This Row],[Date]]&gt;14,"Yes","No"),"N/A")</f>
        <v>N/A</v>
      </c>
      <c r="P44" s="55"/>
      <c r="Q44" s="5">
        <f>Relay!A43</f>
        <v>0</v>
      </c>
      <c r="R44" s="5">
        <f>Relay!B43</f>
        <v>42</v>
      </c>
      <c r="S44" s="8">
        <f>IF(Sept[After the 14th?]="No",SUMIF(Sept[SysID],R44,Sept[Pay Amount]),0)+IF(Aug[After the 14th?]="Yes",SUMIF(Aug[SysID],R44,Aug[Pay Amount]),0)</f>
        <v>0</v>
      </c>
      <c r="T44" s="8"/>
      <c r="U44" s="5" t="str">
        <f t="shared" si="2"/>
        <v>N</v>
      </c>
      <c r="X44" s="56"/>
      <c r="Y44" s="56"/>
      <c r="Z44" s="56"/>
      <c r="AA44" s="56"/>
      <c r="AC44" s="56"/>
    </row>
    <row r="45" spans="1:29" x14ac:dyDescent="0.25">
      <c r="A45" s="35"/>
      <c r="B45" s="5" t="e">
        <f>VLOOKUP(A45,Relay!$A$1:$B$50,2,FALSE)</f>
        <v>#N/A</v>
      </c>
      <c r="C45" s="5" t="e">
        <f>VLOOKUP(A45,Relay!$A$2:$C$51,3,FALSE)</f>
        <v>#N/A</v>
      </c>
      <c r="D45" s="39"/>
      <c r="E45" s="35"/>
      <c r="F45" s="35" t="str">
        <f t="shared" si="0"/>
        <v>INS</v>
      </c>
      <c r="G45" s="5" t="e">
        <f>IF(OR(E45="Jeopardy",E45="APP Moonlighting",E45="Differential Pay"),"",Sept[[#This Row],[SysID]])</f>
        <v>#N/A</v>
      </c>
      <c r="H45" s="5" t="e">
        <f>IF(E45="Jeopardy",IF(C45="MD",Relay!$E$7,Relay!$E$8),IF(C45="MD",IF(COUNTIF(G:G,B45)&gt;1,Relay!$E$2,Relay!$E$1),IF(AND(COUNTIF(G:G,B45)&gt;1,COUNTA(A45)&gt;0),Relay!$E$5,Relay!$E$4)))</f>
        <v>#N/A</v>
      </c>
      <c r="I45" s="8">
        <f t="shared" si="1"/>
        <v>0</v>
      </c>
      <c r="J45" s="35"/>
      <c r="K45" s="35"/>
      <c r="L45" s="35"/>
      <c r="M45" s="35"/>
      <c r="N45" s="10" t="e">
        <f>IF(H45=Sept!$E$2,"N",IF(AND(COUNTIF(B:B,B45)=1,D45&gt;14),"Y","N"))</f>
        <v>#N/A</v>
      </c>
      <c r="O45" s="55" t="str">
        <f>IF(COUNT(Sept[[#This Row],[Date]])&gt;0,IF(Sept[[#This Row],[Date]]&gt;14,"Yes","No"),"N/A")</f>
        <v>N/A</v>
      </c>
      <c r="P45" s="55"/>
      <c r="Q45" s="5">
        <f>Relay!A44</f>
        <v>0</v>
      </c>
      <c r="R45" s="5">
        <f>Relay!B44</f>
        <v>43</v>
      </c>
      <c r="S45" s="8">
        <f>IF(Sept[After the 14th?]="No",SUMIF(Sept[SysID],R45,Sept[Pay Amount]),0)+IF(Aug[After the 14th?]="Yes",SUMIF(Aug[SysID],R45,Aug[Pay Amount]),0)</f>
        <v>0</v>
      </c>
      <c r="T45" s="8"/>
      <c r="U45" s="5" t="str">
        <f t="shared" si="2"/>
        <v>N</v>
      </c>
      <c r="X45" s="56"/>
      <c r="Y45" s="56"/>
      <c r="Z45" s="56"/>
      <c r="AA45" s="56"/>
      <c r="AC45" s="56"/>
    </row>
    <row r="46" spans="1:29" x14ac:dyDescent="0.25">
      <c r="A46" s="35"/>
      <c r="B46" s="5" t="e">
        <f>VLOOKUP(A46,Relay!$A$1:$B$50,2,FALSE)</f>
        <v>#N/A</v>
      </c>
      <c r="C46" s="5" t="e">
        <f>VLOOKUP(A46,Relay!$A$2:$C$51,3,FALSE)</f>
        <v>#N/A</v>
      </c>
      <c r="D46" s="39"/>
      <c r="E46" s="35"/>
      <c r="F46" s="35" t="str">
        <f t="shared" si="0"/>
        <v>INS</v>
      </c>
      <c r="G46" s="5" t="e">
        <f>IF(OR(E46="Jeopardy",E46="APP Moonlighting",E46="Differential Pay"),"",Sept[[#This Row],[SysID]])</f>
        <v>#N/A</v>
      </c>
      <c r="H46" s="5" t="e">
        <f>IF(E46="Jeopardy",IF(C46="MD",Relay!$E$7,Relay!$E$8),IF(C46="MD",IF(COUNTIF(G:G,B46)&gt;1,Relay!$E$2,Relay!$E$1),IF(AND(COUNTIF(G:G,B46)&gt;1,COUNTA(A46)&gt;0),Relay!$E$5,Relay!$E$4)))</f>
        <v>#N/A</v>
      </c>
      <c r="I46" s="8">
        <f t="shared" si="1"/>
        <v>0</v>
      </c>
      <c r="J46" s="35"/>
      <c r="K46" s="35"/>
      <c r="L46" s="35"/>
      <c r="M46" s="35"/>
      <c r="N46" s="10" t="e">
        <f>IF(H46=Sept!$E$2,"N",IF(AND(COUNTIF(B:B,B46)=1,D46&gt;14),"Y","N"))</f>
        <v>#N/A</v>
      </c>
      <c r="O46" s="55" t="str">
        <f>IF(COUNT(Sept[[#This Row],[Date]])&gt;0,IF(Sept[[#This Row],[Date]]&gt;14,"Yes","No"),"N/A")</f>
        <v>N/A</v>
      </c>
      <c r="P46" s="55"/>
      <c r="Q46" s="5">
        <f>Relay!A45</f>
        <v>0</v>
      </c>
      <c r="R46" s="5">
        <f>Relay!B45</f>
        <v>44</v>
      </c>
      <c r="S46" s="8">
        <f>IF(Sept[After the 14th?]="No",SUMIF(Sept[SysID],R46,Sept[Pay Amount]),0)+IF(Aug[After the 14th?]="Yes",SUMIF(Aug[SysID],R46,Aug[Pay Amount]),0)</f>
        <v>0</v>
      </c>
      <c r="T46" s="8"/>
      <c r="U46" s="5" t="str">
        <f t="shared" si="2"/>
        <v>N</v>
      </c>
      <c r="X46" s="56"/>
      <c r="Y46" s="56"/>
      <c r="Z46" s="56"/>
      <c r="AA46" s="56"/>
      <c r="AC46" s="56"/>
    </row>
    <row r="47" spans="1:29" x14ac:dyDescent="0.25">
      <c r="A47" s="35"/>
      <c r="B47" s="5" t="e">
        <f>VLOOKUP(A47,Relay!$A$1:$B$50,2,FALSE)</f>
        <v>#N/A</v>
      </c>
      <c r="C47" s="5" t="e">
        <f>VLOOKUP(A47,Relay!$A$2:$C$51,3,FALSE)</f>
        <v>#N/A</v>
      </c>
      <c r="D47" s="39"/>
      <c r="E47" s="35"/>
      <c r="F47" s="35" t="str">
        <f t="shared" si="0"/>
        <v>INS</v>
      </c>
      <c r="G47" s="5" t="e">
        <f>IF(OR(E47="Jeopardy",E47="APP Moonlighting",E47="Differential Pay"),"",Sept[[#This Row],[SysID]])</f>
        <v>#N/A</v>
      </c>
      <c r="H47" s="5" t="e">
        <f>IF(E47="Jeopardy",IF(C47="MD",Relay!$E$7,Relay!$E$8),IF(C47="MD",IF(COUNTIF(G:G,B47)&gt;1,Relay!$E$2,Relay!$E$1),IF(AND(COUNTIF(G:G,B47)&gt;1,COUNTA(A47)&gt;0),Relay!$E$5,Relay!$E$4)))</f>
        <v>#N/A</v>
      </c>
      <c r="I47" s="8">
        <f t="shared" si="1"/>
        <v>0</v>
      </c>
      <c r="J47" s="35"/>
      <c r="K47" s="35"/>
      <c r="L47" s="35"/>
      <c r="M47" s="35"/>
      <c r="N47" s="10" t="e">
        <f>IF(H47=Sept!$E$2,"N",IF(AND(COUNTIF(B:B,B47)=1,D47&gt;14),"Y","N"))</f>
        <v>#N/A</v>
      </c>
      <c r="O47" s="55" t="str">
        <f>IF(COUNT(Sept[[#This Row],[Date]])&gt;0,IF(Sept[[#This Row],[Date]]&gt;14,"Yes","No"),"N/A")</f>
        <v>N/A</v>
      </c>
      <c r="P47" s="55"/>
      <c r="Q47" s="5">
        <f>Relay!A46</f>
        <v>0</v>
      </c>
      <c r="R47" s="5">
        <f>Relay!B46</f>
        <v>45</v>
      </c>
      <c r="S47" s="8">
        <f>IF(Sept[After the 14th?]="No",SUMIF(Sept[SysID],R47,Sept[Pay Amount]),0)+IF(Aug[After the 14th?]="Yes",SUMIF(Aug[SysID],R47,Aug[Pay Amount]),0)</f>
        <v>0</v>
      </c>
      <c r="T47" s="8"/>
      <c r="U47" s="5" t="str">
        <f t="shared" si="2"/>
        <v>N</v>
      </c>
      <c r="X47" s="56"/>
      <c r="Y47" s="56"/>
      <c r="Z47" s="56"/>
      <c r="AA47" s="56"/>
      <c r="AC47" s="56"/>
    </row>
    <row r="48" spans="1:29" x14ac:dyDescent="0.25">
      <c r="A48" s="35"/>
      <c r="B48" s="5" t="e">
        <f>VLOOKUP(A48,Relay!$A$1:$B$50,2,FALSE)</f>
        <v>#N/A</v>
      </c>
      <c r="C48" s="5" t="e">
        <f>VLOOKUP(A48,Relay!$A$2:$C$51,3,FALSE)</f>
        <v>#N/A</v>
      </c>
      <c r="D48" s="39"/>
      <c r="E48" s="35"/>
      <c r="F48" s="35" t="str">
        <f t="shared" si="0"/>
        <v>INS</v>
      </c>
      <c r="G48" s="5" t="e">
        <f>IF(OR(E48="Jeopardy",E48="APP Moonlighting",E48="Differential Pay"),"",Sept[[#This Row],[SysID]])</f>
        <v>#N/A</v>
      </c>
      <c r="H48" s="5" t="e">
        <f>IF(E48="Jeopardy",IF(C48="MD",Relay!$E$7,Relay!$E$8),IF(C48="MD",IF(COUNTIF(G:G,B48)&gt;1,Relay!$E$2,Relay!$E$1),IF(AND(COUNTIF(G:G,B48)&gt;1,COUNTA(A48)&gt;0),Relay!$E$5,Relay!$E$4)))</f>
        <v>#N/A</v>
      </c>
      <c r="I48" s="8">
        <f t="shared" si="1"/>
        <v>0</v>
      </c>
      <c r="J48" s="35"/>
      <c r="K48" s="35"/>
      <c r="L48" s="35"/>
      <c r="M48" s="35"/>
      <c r="N48" s="10" t="e">
        <f>IF(H48=Sept!$E$2,"N",IF(AND(COUNTIF(B:B,B48)=1,D48&gt;14),"Y","N"))</f>
        <v>#N/A</v>
      </c>
      <c r="O48" s="55" t="str">
        <f>IF(COUNT(Sept[[#This Row],[Date]])&gt;0,IF(Sept[[#This Row],[Date]]&gt;14,"Yes","No"),"N/A")</f>
        <v>N/A</v>
      </c>
      <c r="P48" s="55"/>
      <c r="Q48" s="5">
        <f>Relay!A47</f>
        <v>0</v>
      </c>
      <c r="R48" s="5">
        <f>Relay!B47</f>
        <v>46</v>
      </c>
      <c r="S48" s="8">
        <f>IF(Sept[After the 14th?]="No",SUMIF(Sept[SysID],R48,Sept[Pay Amount]),0)+IF(Aug[After the 14th?]="Yes",SUMIF(Aug[SysID],R48,Aug[Pay Amount]),0)</f>
        <v>0</v>
      </c>
      <c r="T48" s="8"/>
      <c r="U48" s="5" t="str">
        <f t="shared" si="2"/>
        <v>N</v>
      </c>
      <c r="X48" s="56"/>
      <c r="Y48" s="56"/>
      <c r="Z48" s="56"/>
      <c r="AA48" s="56"/>
      <c r="AC48" s="56"/>
    </row>
    <row r="49" spans="1:29" x14ac:dyDescent="0.25">
      <c r="A49" s="35"/>
      <c r="B49" s="5" t="e">
        <f>VLOOKUP(A49,Relay!$A$1:$B$50,2,FALSE)</f>
        <v>#N/A</v>
      </c>
      <c r="C49" s="5" t="e">
        <f>VLOOKUP(A49,Relay!$A$2:$C$51,3,FALSE)</f>
        <v>#N/A</v>
      </c>
      <c r="D49" s="39"/>
      <c r="E49" s="35"/>
      <c r="F49" s="35" t="str">
        <f t="shared" si="0"/>
        <v>INS</v>
      </c>
      <c r="G49" s="5" t="e">
        <f>IF(OR(E49="Jeopardy",E49="APP Moonlighting",E49="Differential Pay"),"",Sept[[#This Row],[SysID]])</f>
        <v>#N/A</v>
      </c>
      <c r="H49" s="5" t="e">
        <f>IF(E49="Jeopardy",IF(C49="MD",Relay!$E$7,Relay!$E$8),IF(C49="MD",IF(COUNTIF(G:G,B49)&gt;1,Relay!$E$2,Relay!$E$1),IF(AND(COUNTIF(G:G,B49)&gt;1,COUNTA(A49)&gt;0),Relay!$E$5,Relay!$E$4)))</f>
        <v>#N/A</v>
      </c>
      <c r="I49" s="8">
        <f t="shared" si="1"/>
        <v>0</v>
      </c>
      <c r="J49" s="35"/>
      <c r="K49" s="35"/>
      <c r="L49" s="35"/>
      <c r="M49" s="35"/>
      <c r="N49" s="10" t="e">
        <f>IF(H49=Sept!$E$2,"N",IF(AND(COUNTIF(B:B,B49)=1,D49&gt;14),"Y","N"))</f>
        <v>#N/A</v>
      </c>
      <c r="O49" s="55" t="str">
        <f>IF(COUNT(Sept[[#This Row],[Date]])&gt;0,IF(Sept[[#This Row],[Date]]&gt;14,"Yes","No"),"N/A")</f>
        <v>N/A</v>
      </c>
      <c r="P49" s="55"/>
      <c r="Q49" s="5">
        <f>Relay!A48</f>
        <v>0</v>
      </c>
      <c r="R49" s="5">
        <f>Relay!B48</f>
        <v>47</v>
      </c>
      <c r="S49" s="8">
        <f>IF(Sept[After the 14th?]="No",SUMIF(Sept[SysID],R49,Sept[Pay Amount]),0)+IF(Aug[After the 14th?]="Yes",SUMIF(Aug[SysID],R49,Aug[Pay Amount]),0)</f>
        <v>0</v>
      </c>
      <c r="T49" s="8"/>
      <c r="U49" s="5" t="str">
        <f t="shared" si="2"/>
        <v>N</v>
      </c>
      <c r="X49" s="56"/>
      <c r="Y49" s="56"/>
      <c r="Z49" s="56"/>
      <c r="AA49" s="56"/>
      <c r="AC49" s="56"/>
    </row>
    <row r="50" spans="1:29" x14ac:dyDescent="0.25">
      <c r="A50" s="35"/>
      <c r="B50" s="5" t="e">
        <f>VLOOKUP(A50,Relay!$A$1:$B$50,2,FALSE)</f>
        <v>#N/A</v>
      </c>
      <c r="C50" s="5" t="e">
        <f>VLOOKUP(A50,Relay!$A$2:$C$51,3,FALSE)</f>
        <v>#N/A</v>
      </c>
      <c r="D50" s="39"/>
      <c r="E50" s="35"/>
      <c r="F50" s="35" t="str">
        <f t="shared" si="0"/>
        <v>INS</v>
      </c>
      <c r="G50" s="5" t="e">
        <f>IF(OR(E50="Jeopardy",E50="APP Moonlighting",E50="Differential Pay"),"",Sept[[#This Row],[SysID]])</f>
        <v>#N/A</v>
      </c>
      <c r="H50" s="5" t="e">
        <f>IF(E50="Jeopardy",IF(C50="MD",Relay!$E$7,Relay!$E$8),IF(C50="MD",IF(COUNTIF(G:G,B50)&gt;1,Relay!$E$2,Relay!$E$1),IF(AND(COUNTIF(G:G,B50)&gt;1,COUNTA(A50)&gt;0),Relay!$E$5,Relay!$E$4)))</f>
        <v>#N/A</v>
      </c>
      <c r="I50" s="8">
        <f t="shared" si="1"/>
        <v>0</v>
      </c>
      <c r="J50" s="35"/>
      <c r="K50" s="35"/>
      <c r="L50" s="35"/>
      <c r="M50" s="35"/>
      <c r="N50" s="10" t="e">
        <f>IF(H50=Sept!$E$2,"N",IF(AND(COUNTIF(B:B,B50)=1,D50&gt;14),"Y","N"))</f>
        <v>#N/A</v>
      </c>
      <c r="O50" s="55" t="str">
        <f>IF(COUNT(Sept[[#This Row],[Date]])&gt;0,IF(Sept[[#This Row],[Date]]&gt;14,"Yes","No"),"N/A")</f>
        <v>N/A</v>
      </c>
      <c r="P50" s="55"/>
      <c r="Q50" s="5">
        <f>Relay!A49</f>
        <v>0</v>
      </c>
      <c r="R50" s="5">
        <f>Relay!B49</f>
        <v>48</v>
      </c>
      <c r="S50" s="8">
        <f>IF(Sept[After the 14th?]="No",SUMIF(Sept[SysID],R50,Sept[Pay Amount]),0)+IF(Aug[After the 14th?]="Yes",SUMIF(Aug[SysID],R50,Aug[Pay Amount]),0)</f>
        <v>0</v>
      </c>
      <c r="T50" s="8"/>
      <c r="U50" s="5" t="str">
        <f t="shared" si="2"/>
        <v>N</v>
      </c>
      <c r="X50" s="56"/>
      <c r="Y50" s="56"/>
      <c r="Z50" s="56"/>
      <c r="AA50" s="56"/>
      <c r="AC50" s="56"/>
    </row>
    <row r="51" spans="1:29" x14ac:dyDescent="0.25">
      <c r="A51" s="35"/>
      <c r="B51" s="32" t="e">
        <f>VLOOKUP(A51,Relay!$A$1:$B$50,2,FALSE)</f>
        <v>#N/A</v>
      </c>
      <c r="C51" s="32" t="e">
        <f>VLOOKUP(A51,Relay!$A$2:$C$101,3,FALSE)</f>
        <v>#N/A</v>
      </c>
      <c r="D51" s="39"/>
      <c r="E51" s="35"/>
      <c r="F51" s="58" t="str">
        <f t="shared" si="0"/>
        <v>INS</v>
      </c>
      <c r="G51" s="32" t="e">
        <f>IF(OR(E51="Jeopardy",E51="APP Moonlighting",E51="Differential Pay"),"",Sept[[#This Row],[SysID]])</f>
        <v>#N/A</v>
      </c>
      <c r="H51" s="32" t="e">
        <f>IF(E51="Jeopardy",IF(C51="MD",Relay!$E$7,Relay!$E$8),IF(C51="MD",IF(COUNTIF(G:G,B51)&gt;1,Relay!$E$2,Relay!$E$1),IF(AND(COUNTIF(G:G,B51)&gt;1,COUNTA(A51)&gt;0),Relay!$E$5,Relay!$E$4)))</f>
        <v>#N/A</v>
      </c>
      <c r="I51" s="8">
        <f t="shared" si="1"/>
        <v>0</v>
      </c>
      <c r="J51" s="35"/>
      <c r="K51" s="35"/>
      <c r="L51" s="35"/>
      <c r="M51" s="35"/>
      <c r="N51" s="32" t="e">
        <f>IF(H51=Sept!$E$2,"N",IF(AND(COUNTIF(B:B,B51)=1,D51&gt;14),"Y","N"))</f>
        <v>#N/A</v>
      </c>
      <c r="O51" s="55" t="str">
        <f>IF(COUNT(Sept[[#This Row],[Date]])&gt;0,IF(Sept[[#This Row],[Date]]&gt;14,"Yes","No"),"N/A")</f>
        <v>N/A</v>
      </c>
      <c r="P51" s="55"/>
      <c r="Q51" s="5">
        <f>Relay!A50</f>
        <v>0</v>
      </c>
      <c r="R51" s="5">
        <f>Relay!B50</f>
        <v>49</v>
      </c>
      <c r="S51" s="8">
        <f>IF(Sept[After the 14th?]="No",SUMIF(Sept[SysID],R51,Sept[Pay Amount]),0)+IF(Aug[After the 14th?]="Yes",SUMIF(Aug[SysID],R51,Aug[Pay Amount]),0)</f>
        <v>0</v>
      </c>
      <c r="T51" s="8"/>
      <c r="U51" s="5" t="str">
        <f t="shared" si="2"/>
        <v>N</v>
      </c>
      <c r="X51" s="56"/>
      <c r="Y51" s="56"/>
      <c r="Z51" s="56"/>
      <c r="AA51" s="56"/>
      <c r="AC51" s="56"/>
    </row>
    <row r="52" spans="1:29" x14ac:dyDescent="0.25">
      <c r="A52" s="35"/>
      <c r="B52" s="32" t="e">
        <f>VLOOKUP(A52,Relay!$A$1:$B$50,2,FALSE)</f>
        <v>#N/A</v>
      </c>
      <c r="C52" s="32" t="e">
        <f>VLOOKUP(A52,Relay!$A$2:$C$101,3,FALSE)</f>
        <v>#N/A</v>
      </c>
      <c r="D52" s="39"/>
      <c r="E52" s="35"/>
      <c r="F52" s="58" t="str">
        <f t="shared" si="0"/>
        <v>INS</v>
      </c>
      <c r="G52" s="32" t="e">
        <f>IF(OR(E52="Jeopardy",E52="APP Moonlighting",E52="Differential Pay"),"",Sept[[#This Row],[SysID]])</f>
        <v>#N/A</v>
      </c>
      <c r="H52" s="32" t="e">
        <f>IF(E52="Jeopardy",IF(C52="MD",Relay!$E$7,Relay!$E$8),IF(C52="MD",IF(COUNTIF(G:G,B52)&gt;1,Relay!$E$2,Relay!$E$1),IF(AND(COUNTIF(G:G,B52)&gt;1,COUNTA(A52)&gt;0),Relay!$E$5,Relay!$E$4)))</f>
        <v>#N/A</v>
      </c>
      <c r="I52" s="8">
        <f t="shared" si="1"/>
        <v>0</v>
      </c>
      <c r="J52" s="35"/>
      <c r="K52" s="35"/>
      <c r="L52" s="35"/>
      <c r="M52" s="35"/>
      <c r="N52" s="32" t="e">
        <f>IF(H52=Sept!$E$2,"N",IF(AND(COUNTIF(B:B,B52)=1,D52&gt;14),"Y","N"))</f>
        <v>#N/A</v>
      </c>
      <c r="O52" s="55" t="str">
        <f>IF(COUNT(Sept[[#This Row],[Date]])&gt;0,IF(Sept[[#This Row],[Date]]&gt;14,"Yes","No"),"N/A")</f>
        <v>N/A</v>
      </c>
      <c r="P52" s="55"/>
      <c r="Q52" s="5">
        <f>Relay!A51</f>
        <v>0</v>
      </c>
      <c r="R52" s="5">
        <f>Relay!B51</f>
        <v>50</v>
      </c>
      <c r="S52" s="8">
        <f>IF(Sept[After the 14th?]="No",SUMIF(Sept[SysID],R52,Sept[Pay Amount]),0)+IF(Aug[After the 14th?]="Yes",SUMIF(Aug[SysID],R52,Aug[Pay Amount]),0)</f>
        <v>0</v>
      </c>
      <c r="T52" s="8"/>
      <c r="U52" s="5" t="str">
        <f t="shared" si="2"/>
        <v>N</v>
      </c>
      <c r="X52" s="56"/>
      <c r="Y52" s="56"/>
      <c r="Z52" s="56"/>
      <c r="AA52" s="56"/>
      <c r="AC52" s="56"/>
    </row>
    <row r="53" spans="1:29" x14ac:dyDescent="0.25">
      <c r="A53" s="35"/>
      <c r="B53" s="32" t="e">
        <f>VLOOKUP(A53,Relay!$A$1:$B$50,2,FALSE)</f>
        <v>#N/A</v>
      </c>
      <c r="C53" s="32" t="e">
        <f>VLOOKUP(A53,Relay!$A$2:$C$101,3,FALSE)</f>
        <v>#N/A</v>
      </c>
      <c r="D53" s="39"/>
      <c r="E53" s="35"/>
      <c r="F53" s="58" t="str">
        <f t="shared" si="0"/>
        <v>INS</v>
      </c>
      <c r="G53" s="32" t="e">
        <f>IF(OR(E53="Jeopardy",E53="APP Moonlighting",E53="Differential Pay"),"",Sept[[#This Row],[SysID]])</f>
        <v>#N/A</v>
      </c>
      <c r="H53" s="32" t="e">
        <f>IF(E53="Jeopardy",IF(C53="MD",Relay!$E$7,Relay!$E$8),IF(C53="MD",IF(COUNTIF(G:G,B53)&gt;1,Relay!$E$2,Relay!$E$1),IF(AND(COUNTIF(G:G,B53)&gt;1,COUNTA(A53)&gt;0),Relay!$E$5,Relay!$E$4)))</f>
        <v>#N/A</v>
      </c>
      <c r="I53" s="8">
        <f t="shared" si="1"/>
        <v>0</v>
      </c>
      <c r="J53" s="35"/>
      <c r="K53" s="35"/>
      <c r="L53" s="35"/>
      <c r="M53" s="35"/>
      <c r="N53" s="32" t="e">
        <f>IF(H53=Sept!$E$2,"N",IF(AND(COUNTIF(B:B,B53)=1,D53&gt;14),"Y","N"))</f>
        <v>#N/A</v>
      </c>
      <c r="O53" s="55" t="str">
        <f>IF(COUNT(Sept[[#This Row],[Date]])&gt;0,IF(Sept[[#This Row],[Date]]&gt;14,"Yes","No"),"N/A")</f>
        <v>N/A</v>
      </c>
      <c r="P53" s="55"/>
      <c r="Q53" s="5">
        <f>Relay!A52</f>
        <v>0</v>
      </c>
      <c r="R53" s="5">
        <f>Relay!B52</f>
        <v>51</v>
      </c>
      <c r="S53" s="8">
        <f>IF(Sept[After the 14th?]="No",SUMIF(Sept[SysID],R53,Sept[Pay Amount]),0)+IF(Aug[After the 14th?]="Yes",SUMIF(Aug[SysID],R53,Aug[Pay Amount]),0)</f>
        <v>0</v>
      </c>
      <c r="T53" s="8"/>
      <c r="U53" s="5" t="str">
        <f t="shared" si="2"/>
        <v>N</v>
      </c>
      <c r="X53" s="56"/>
      <c r="Y53" s="56"/>
      <c r="Z53" s="56"/>
      <c r="AA53" s="56"/>
      <c r="AC53" s="56"/>
    </row>
    <row r="54" spans="1:29" x14ac:dyDescent="0.25">
      <c r="A54" s="35"/>
      <c r="B54" s="32" t="e">
        <f>VLOOKUP(A54,Relay!$A$1:$B$50,2,FALSE)</f>
        <v>#N/A</v>
      </c>
      <c r="C54" s="32" t="e">
        <f>VLOOKUP(A54,Relay!$A$2:$C$101,3,FALSE)</f>
        <v>#N/A</v>
      </c>
      <c r="D54" s="39"/>
      <c r="E54" s="35"/>
      <c r="F54" s="58" t="str">
        <f t="shared" si="0"/>
        <v>INS</v>
      </c>
      <c r="G54" s="32" t="e">
        <f>IF(OR(E54="Jeopardy",E54="APP Moonlighting",E54="Differential Pay"),"",Sept[[#This Row],[SysID]])</f>
        <v>#N/A</v>
      </c>
      <c r="H54" s="32" t="e">
        <f>IF(E54="Jeopardy",IF(C54="MD",Relay!$E$7,Relay!$E$8),IF(C54="MD",IF(COUNTIF(G:G,B54)&gt;1,Relay!$E$2,Relay!$E$1),IF(AND(COUNTIF(G:G,B54)&gt;1,COUNTA(A54)&gt;0),Relay!$E$5,Relay!$E$4)))</f>
        <v>#N/A</v>
      </c>
      <c r="I54" s="8">
        <f t="shared" si="1"/>
        <v>0</v>
      </c>
      <c r="J54" s="35"/>
      <c r="K54" s="35"/>
      <c r="L54" s="35"/>
      <c r="M54" s="35"/>
      <c r="N54" s="32" t="e">
        <f>IF(H54=Sept!$E$2,"N",IF(AND(COUNTIF(B:B,B54)=1,D54&gt;14),"Y","N"))</f>
        <v>#N/A</v>
      </c>
      <c r="O54" s="55" t="str">
        <f>IF(COUNT(Sept[[#This Row],[Date]])&gt;0,IF(Sept[[#This Row],[Date]]&gt;14,"Yes","No"),"N/A")</f>
        <v>N/A</v>
      </c>
      <c r="P54" s="55"/>
      <c r="Q54" s="5">
        <f>Relay!A53</f>
        <v>0</v>
      </c>
      <c r="R54" s="5">
        <f>Relay!B53</f>
        <v>52</v>
      </c>
      <c r="S54" s="8">
        <f>IF(Sept[After the 14th?]="No",SUMIF(Sept[SysID],R54,Sept[Pay Amount]),0)+IF(Aug[After the 14th?]="Yes",SUMIF(Aug[SysID],R54,Aug[Pay Amount]),0)</f>
        <v>0</v>
      </c>
      <c r="T54" s="8"/>
      <c r="U54" s="5" t="str">
        <f t="shared" si="2"/>
        <v>N</v>
      </c>
      <c r="X54" s="56"/>
      <c r="Y54" s="56"/>
      <c r="Z54" s="56"/>
      <c r="AA54" s="56"/>
      <c r="AC54" s="56"/>
    </row>
    <row r="55" spans="1:29" x14ac:dyDescent="0.25">
      <c r="A55" s="35"/>
      <c r="B55" s="32" t="e">
        <f>VLOOKUP(A55,Relay!$A$1:$B$50,2,FALSE)</f>
        <v>#N/A</v>
      </c>
      <c r="C55" s="32" t="e">
        <f>VLOOKUP(A55,Relay!$A$2:$C$101,3,FALSE)</f>
        <v>#N/A</v>
      </c>
      <c r="D55" s="39"/>
      <c r="E55" s="35"/>
      <c r="F55" s="58" t="str">
        <f t="shared" si="0"/>
        <v>INS</v>
      </c>
      <c r="G55" s="32" t="e">
        <f>IF(OR(E55="Jeopardy",E55="APP Moonlighting",E55="Differential Pay"),"",Sept[[#This Row],[SysID]])</f>
        <v>#N/A</v>
      </c>
      <c r="H55" s="32" t="e">
        <f>IF(E55="Jeopardy",IF(C55="MD",Relay!$E$7,Relay!$E$8),IF(C55="MD",IF(COUNTIF(G:G,B55)&gt;1,Relay!$E$2,Relay!$E$1),IF(AND(COUNTIF(G:G,B55)&gt;1,COUNTA(A55)&gt;0),Relay!$E$5,Relay!$E$4)))</f>
        <v>#N/A</v>
      </c>
      <c r="I55" s="8">
        <f t="shared" si="1"/>
        <v>0</v>
      </c>
      <c r="J55" s="35"/>
      <c r="K55" s="35"/>
      <c r="L55" s="35"/>
      <c r="M55" s="35"/>
      <c r="N55" s="32" t="e">
        <f>IF(H55=Sept!$E$2,"N",IF(AND(COUNTIF(B:B,B55)=1,D55&gt;14),"Y","N"))</f>
        <v>#N/A</v>
      </c>
      <c r="O55" s="55" t="str">
        <f>IF(COUNT(Sept[[#This Row],[Date]])&gt;0,IF(Sept[[#This Row],[Date]]&gt;14,"Yes","No"),"N/A")</f>
        <v>N/A</v>
      </c>
      <c r="P55" s="55"/>
      <c r="Q55" s="5">
        <f>Relay!A54</f>
        <v>0</v>
      </c>
      <c r="R55" s="5">
        <f>Relay!B54</f>
        <v>53</v>
      </c>
      <c r="S55" s="8">
        <f>IF(Sept[After the 14th?]="No",SUMIF(Sept[SysID],R55,Sept[Pay Amount]),0)+IF(Aug[After the 14th?]="Yes",SUMIF(Aug[SysID],R55,Aug[Pay Amount]),0)</f>
        <v>0</v>
      </c>
      <c r="T55" s="8"/>
      <c r="U55" s="5" t="str">
        <f t="shared" si="2"/>
        <v>N</v>
      </c>
      <c r="X55" s="56"/>
      <c r="Y55" s="56"/>
      <c r="Z55" s="56"/>
      <c r="AA55" s="56"/>
      <c r="AC55" s="56"/>
    </row>
    <row r="56" spans="1:29" x14ac:dyDescent="0.25">
      <c r="A56" s="35"/>
      <c r="B56" s="32" t="e">
        <f>VLOOKUP(A56,Relay!$A$1:$B$50,2,FALSE)</f>
        <v>#N/A</v>
      </c>
      <c r="C56" s="32" t="e">
        <f>VLOOKUP(A56,Relay!$A$2:$C$101,3,FALSE)</f>
        <v>#N/A</v>
      </c>
      <c r="D56" s="39"/>
      <c r="E56" s="35"/>
      <c r="F56" s="58" t="str">
        <f t="shared" si="0"/>
        <v>INS</v>
      </c>
      <c r="G56" s="32" t="e">
        <f>IF(OR(E56="Jeopardy",E56="APP Moonlighting",E56="Differential Pay"),"",Sept[[#This Row],[SysID]])</f>
        <v>#N/A</v>
      </c>
      <c r="H56" s="32" t="e">
        <f>IF(E56="Jeopardy",IF(C56="MD",Relay!$E$7,Relay!$E$8),IF(C56="MD",IF(COUNTIF(G:G,B56)&gt;1,Relay!$E$2,Relay!$E$1),IF(AND(COUNTIF(G:G,B56)&gt;1,COUNTA(A56)&gt;0),Relay!$E$5,Relay!$E$4)))</f>
        <v>#N/A</v>
      </c>
      <c r="I56" s="8">
        <f t="shared" si="1"/>
        <v>0</v>
      </c>
      <c r="J56" s="35"/>
      <c r="K56" s="35"/>
      <c r="L56" s="35"/>
      <c r="M56" s="35"/>
      <c r="N56" s="32" t="e">
        <f>IF(H56=Sept!$E$2,"N",IF(AND(COUNTIF(B:B,B56)=1,D56&gt;14),"Y","N"))</f>
        <v>#N/A</v>
      </c>
      <c r="O56" s="55" t="str">
        <f>IF(COUNT(Sept[[#This Row],[Date]])&gt;0,IF(Sept[[#This Row],[Date]]&gt;14,"Yes","No"),"N/A")</f>
        <v>N/A</v>
      </c>
      <c r="P56" s="55"/>
      <c r="Q56" s="5">
        <f>Relay!A55</f>
        <v>0</v>
      </c>
      <c r="R56" s="5">
        <f>Relay!B55</f>
        <v>54</v>
      </c>
      <c r="S56" s="8">
        <f>IF(Sept[After the 14th?]="No",SUMIF(Sept[SysID],R56,Sept[Pay Amount]),0)+IF(Aug[After the 14th?]="Yes",SUMIF(Aug[SysID],R56,Aug[Pay Amount]),0)</f>
        <v>0</v>
      </c>
      <c r="T56" s="8"/>
      <c r="U56" s="5" t="str">
        <f t="shared" si="2"/>
        <v>N</v>
      </c>
      <c r="X56" s="56"/>
      <c r="Y56" s="56"/>
      <c r="Z56" s="56"/>
      <c r="AA56" s="56"/>
      <c r="AC56" s="56"/>
    </row>
    <row r="57" spans="1:29" x14ac:dyDescent="0.25">
      <c r="A57" s="35"/>
      <c r="B57" s="32" t="e">
        <f>VLOOKUP(A57,Relay!$A$1:$B$50,2,FALSE)</f>
        <v>#N/A</v>
      </c>
      <c r="C57" s="32" t="e">
        <f>VLOOKUP(A57,Relay!$A$2:$C$101,3,FALSE)</f>
        <v>#N/A</v>
      </c>
      <c r="D57" s="39"/>
      <c r="E57" s="35"/>
      <c r="F57" s="58" t="str">
        <f t="shared" si="0"/>
        <v>INS</v>
      </c>
      <c r="G57" s="32" t="e">
        <f>IF(OR(E57="Jeopardy",E57="APP Moonlighting",E57="Differential Pay"),"",Sept[[#This Row],[SysID]])</f>
        <v>#N/A</v>
      </c>
      <c r="H57" s="32" t="e">
        <f>IF(E57="Jeopardy",IF(C57="MD",Relay!$E$7,Relay!$E$8),IF(C57="MD",IF(COUNTIF(G:G,B57)&gt;1,Relay!$E$2,Relay!$E$1),IF(AND(COUNTIF(G:G,B57)&gt;1,COUNTA(A57)&gt;0),Relay!$E$5,Relay!$E$4)))</f>
        <v>#N/A</v>
      </c>
      <c r="I57" s="8">
        <f t="shared" si="1"/>
        <v>0</v>
      </c>
      <c r="J57" s="35"/>
      <c r="K57" s="35"/>
      <c r="L57" s="35"/>
      <c r="M57" s="35"/>
      <c r="N57" s="32" t="e">
        <f>IF(H57=Sept!$E$2,"N",IF(AND(COUNTIF(B:B,B57)=1,D57&gt;14),"Y","N"))</f>
        <v>#N/A</v>
      </c>
      <c r="O57" s="55" t="str">
        <f>IF(COUNT(Sept[[#This Row],[Date]])&gt;0,IF(Sept[[#This Row],[Date]]&gt;14,"Yes","No"),"N/A")</f>
        <v>N/A</v>
      </c>
      <c r="P57" s="55"/>
      <c r="Q57" s="5">
        <f>Relay!A56</f>
        <v>0</v>
      </c>
      <c r="R57" s="5">
        <f>Relay!B56</f>
        <v>55</v>
      </c>
      <c r="S57" s="8">
        <f>IF(Sept[After the 14th?]="No",SUMIF(Sept[SysID],R57,Sept[Pay Amount]),0)+IF(Aug[After the 14th?]="Yes",SUMIF(Aug[SysID],R57,Aug[Pay Amount]),0)</f>
        <v>0</v>
      </c>
      <c r="T57" s="8"/>
      <c r="U57" s="5" t="str">
        <f t="shared" si="2"/>
        <v>N</v>
      </c>
      <c r="X57" s="56"/>
      <c r="Y57" s="56"/>
      <c r="Z57" s="56"/>
      <c r="AA57" s="56"/>
      <c r="AC57" s="56"/>
    </row>
    <row r="58" spans="1:29" x14ac:dyDescent="0.25">
      <c r="A58" s="35"/>
      <c r="B58" s="32" t="e">
        <f>VLOOKUP(A58,Relay!$A$1:$B$50,2,FALSE)</f>
        <v>#N/A</v>
      </c>
      <c r="C58" s="32" t="e">
        <f>VLOOKUP(A58,Relay!$A$2:$C$101,3,FALSE)</f>
        <v>#N/A</v>
      </c>
      <c r="D58" s="39"/>
      <c r="E58" s="35"/>
      <c r="F58" s="58" t="str">
        <f t="shared" si="0"/>
        <v>INS</v>
      </c>
      <c r="G58" s="32" t="e">
        <f>IF(OR(E58="Jeopardy",E58="APP Moonlighting",E58="Differential Pay"),"",Sept[[#This Row],[SysID]])</f>
        <v>#N/A</v>
      </c>
      <c r="H58" s="32" t="e">
        <f>IF(E58="Jeopardy",IF(C58="MD",Relay!$E$7,Relay!$E$8),IF(C58="MD",IF(COUNTIF(G:G,B58)&gt;1,Relay!$E$2,Relay!$E$1),IF(AND(COUNTIF(G:G,B58)&gt;1,COUNTA(A58)&gt;0),Relay!$E$5,Relay!$E$4)))</f>
        <v>#N/A</v>
      </c>
      <c r="I58" s="8">
        <f t="shared" si="1"/>
        <v>0</v>
      </c>
      <c r="J58" s="35"/>
      <c r="K58" s="35"/>
      <c r="L58" s="35"/>
      <c r="M58" s="35"/>
      <c r="N58" s="32" t="e">
        <f>IF(H58=Sept!$E$2,"N",IF(AND(COUNTIF(B:B,B58)=1,D58&gt;14),"Y","N"))</f>
        <v>#N/A</v>
      </c>
      <c r="O58" s="55" t="str">
        <f>IF(COUNT(Sept[[#This Row],[Date]])&gt;0,IF(Sept[[#This Row],[Date]]&gt;14,"Yes","No"),"N/A")</f>
        <v>N/A</v>
      </c>
      <c r="P58" s="55"/>
      <c r="Q58" s="5">
        <f>Relay!A57</f>
        <v>0</v>
      </c>
      <c r="R58" s="5">
        <f>Relay!B57</f>
        <v>56</v>
      </c>
      <c r="S58" s="8">
        <f>IF(Sept[After the 14th?]="No",SUMIF(Sept[SysID],R58,Sept[Pay Amount]),0)+IF(Aug[After the 14th?]="Yes",SUMIF(Aug[SysID],R58,Aug[Pay Amount]),0)</f>
        <v>0</v>
      </c>
      <c r="T58" s="8"/>
      <c r="U58" s="5" t="str">
        <f t="shared" si="2"/>
        <v>N</v>
      </c>
      <c r="X58" s="56"/>
      <c r="Y58" s="56"/>
      <c r="Z58" s="56"/>
      <c r="AA58" s="56"/>
      <c r="AC58" s="56"/>
    </row>
    <row r="59" spans="1:29" x14ac:dyDescent="0.25">
      <c r="A59" s="35"/>
      <c r="B59" s="32" t="e">
        <f>VLOOKUP(A59,Relay!$A$1:$B$50,2,FALSE)</f>
        <v>#N/A</v>
      </c>
      <c r="C59" s="32" t="e">
        <f>VLOOKUP(A59,Relay!$A$2:$C$101,3,FALSE)</f>
        <v>#N/A</v>
      </c>
      <c r="D59" s="39"/>
      <c r="E59" s="35"/>
      <c r="F59" s="58" t="str">
        <f t="shared" si="0"/>
        <v>INS</v>
      </c>
      <c r="G59" s="32" t="e">
        <f>IF(OR(E59="Jeopardy",E59="APP Moonlighting",E59="Differential Pay"),"",Sept[[#This Row],[SysID]])</f>
        <v>#N/A</v>
      </c>
      <c r="H59" s="32" t="e">
        <f>IF(E59="Jeopardy",IF(C59="MD",Relay!$E$7,Relay!$E$8),IF(C59="MD",IF(COUNTIF(G:G,B59)&gt;1,Relay!$E$2,Relay!$E$1),IF(AND(COUNTIF(G:G,B59)&gt;1,COUNTA(A59)&gt;0),Relay!$E$5,Relay!$E$4)))</f>
        <v>#N/A</v>
      </c>
      <c r="I59" s="8">
        <f t="shared" si="1"/>
        <v>0</v>
      </c>
      <c r="J59" s="35"/>
      <c r="K59" s="35"/>
      <c r="L59" s="35"/>
      <c r="M59" s="35"/>
      <c r="N59" s="32" t="e">
        <f>IF(H59=Sept!$E$2,"N",IF(AND(COUNTIF(B:B,B59)=1,D59&gt;14),"Y","N"))</f>
        <v>#N/A</v>
      </c>
      <c r="O59" s="55" t="str">
        <f>IF(COUNT(Sept[[#This Row],[Date]])&gt;0,IF(Sept[[#This Row],[Date]]&gt;14,"Yes","No"),"N/A")</f>
        <v>N/A</v>
      </c>
      <c r="P59" s="55"/>
      <c r="Q59" s="5">
        <f>Relay!A58</f>
        <v>0</v>
      </c>
      <c r="R59" s="5">
        <f>Relay!B58</f>
        <v>57</v>
      </c>
      <c r="S59" s="8">
        <f>IF(Sept[After the 14th?]="No",SUMIF(Sept[SysID],R59,Sept[Pay Amount]),0)+IF(Aug[After the 14th?]="Yes",SUMIF(Aug[SysID],R59,Aug[Pay Amount]),0)</f>
        <v>0</v>
      </c>
      <c r="T59" s="8"/>
      <c r="U59" s="5" t="str">
        <f t="shared" si="2"/>
        <v>N</v>
      </c>
      <c r="X59" s="56"/>
      <c r="Y59" s="56"/>
      <c r="Z59" s="56"/>
      <c r="AA59" s="56"/>
      <c r="AC59" s="56"/>
    </row>
    <row r="60" spans="1:29" x14ac:dyDescent="0.25">
      <c r="A60" s="35"/>
      <c r="B60" s="32" t="e">
        <f>VLOOKUP(A60,Relay!$A$1:$B$50,2,FALSE)</f>
        <v>#N/A</v>
      </c>
      <c r="C60" s="32" t="e">
        <f>VLOOKUP(A60,Relay!$A$2:$C$101,3,FALSE)</f>
        <v>#N/A</v>
      </c>
      <c r="D60" s="39"/>
      <c r="E60" s="35"/>
      <c r="F60" s="58" t="str">
        <f t="shared" si="0"/>
        <v>INS</v>
      </c>
      <c r="G60" s="32" t="e">
        <f>IF(OR(E60="Jeopardy",E60="APP Moonlighting",E60="Differential Pay"),"",Sept[[#This Row],[SysID]])</f>
        <v>#N/A</v>
      </c>
      <c r="H60" s="32" t="e">
        <f>IF(E60="Jeopardy",IF(C60="MD",Relay!$E$7,Relay!$E$8),IF(C60="MD",IF(COUNTIF(G:G,B60)&gt;1,Relay!$E$2,Relay!$E$1),IF(AND(COUNTIF(G:G,B60)&gt;1,COUNTA(A60)&gt;0),Relay!$E$5,Relay!$E$4)))</f>
        <v>#N/A</v>
      </c>
      <c r="I60" s="8">
        <f t="shared" si="1"/>
        <v>0</v>
      </c>
      <c r="J60" s="35"/>
      <c r="K60" s="35"/>
      <c r="L60" s="35"/>
      <c r="M60" s="35"/>
      <c r="N60" s="32" t="e">
        <f>IF(H60=Sept!$E$2,"N",IF(AND(COUNTIF(B:B,B60)=1,D60&gt;14),"Y","N"))</f>
        <v>#N/A</v>
      </c>
      <c r="O60" s="55" t="str">
        <f>IF(COUNT(Sept[[#This Row],[Date]])&gt;0,IF(Sept[[#This Row],[Date]]&gt;14,"Yes","No"),"N/A")</f>
        <v>N/A</v>
      </c>
      <c r="P60" s="55"/>
      <c r="Q60" s="5">
        <f>Relay!A59</f>
        <v>0</v>
      </c>
      <c r="R60" s="5">
        <f>Relay!B59</f>
        <v>58</v>
      </c>
      <c r="S60" s="8">
        <f>IF(Sept[After the 14th?]="No",SUMIF(Sept[SysID],R60,Sept[Pay Amount]),0)+IF(Aug[After the 14th?]="Yes",SUMIF(Aug[SysID],R60,Aug[Pay Amount]),0)</f>
        <v>0</v>
      </c>
      <c r="T60" s="8"/>
      <c r="U60" s="5" t="str">
        <f t="shared" si="2"/>
        <v>N</v>
      </c>
      <c r="X60" s="56"/>
      <c r="Y60" s="56"/>
      <c r="Z60" s="56"/>
      <c r="AA60" s="56"/>
      <c r="AC60" s="56"/>
    </row>
    <row r="61" spans="1:29" x14ac:dyDescent="0.25">
      <c r="A61" s="35"/>
      <c r="B61" s="32" t="e">
        <f>VLOOKUP(A61,Relay!$A$1:$B$50,2,FALSE)</f>
        <v>#N/A</v>
      </c>
      <c r="C61" s="32" t="e">
        <f>VLOOKUP(A61,Relay!$A$2:$C$101,3,FALSE)</f>
        <v>#N/A</v>
      </c>
      <c r="D61" s="39"/>
      <c r="E61" s="35"/>
      <c r="F61" s="58" t="str">
        <f t="shared" si="0"/>
        <v>INS</v>
      </c>
      <c r="G61" s="32" t="e">
        <f>IF(OR(E61="Jeopardy",E61="APP Moonlighting",E61="Differential Pay"),"",Sept[[#This Row],[SysID]])</f>
        <v>#N/A</v>
      </c>
      <c r="H61" s="32" t="e">
        <f>IF(E61="Jeopardy",IF(C61="MD",Relay!$E$7,Relay!$E$8),IF(C61="MD",IF(COUNTIF(G:G,B61)&gt;1,Relay!$E$2,Relay!$E$1),IF(AND(COUNTIF(G:G,B61)&gt;1,COUNTA(A61)&gt;0),Relay!$E$5,Relay!$E$4)))</f>
        <v>#N/A</v>
      </c>
      <c r="I61" s="8">
        <f t="shared" si="1"/>
        <v>0</v>
      </c>
      <c r="J61" s="35"/>
      <c r="K61" s="35"/>
      <c r="L61" s="35"/>
      <c r="M61" s="35"/>
      <c r="N61" s="32" t="e">
        <f>IF(H61=Sept!$E$2,"N",IF(AND(COUNTIF(B:B,B61)=1,D61&gt;14),"Y","N"))</f>
        <v>#N/A</v>
      </c>
      <c r="O61" s="55" t="str">
        <f>IF(COUNT(Sept[[#This Row],[Date]])&gt;0,IF(Sept[[#This Row],[Date]]&gt;14,"Yes","No"),"N/A")</f>
        <v>N/A</v>
      </c>
      <c r="P61" s="55"/>
      <c r="Q61" s="5">
        <f>Relay!A60</f>
        <v>0</v>
      </c>
      <c r="R61" s="5">
        <f>Relay!B60</f>
        <v>59</v>
      </c>
      <c r="S61" s="8">
        <f>IF(Sept[After the 14th?]="No",SUMIF(Sept[SysID],R61,Sept[Pay Amount]),0)+IF(Aug[After the 14th?]="Yes",SUMIF(Aug[SysID],R61,Aug[Pay Amount]),0)</f>
        <v>0</v>
      </c>
      <c r="T61" s="8"/>
      <c r="U61" s="5" t="str">
        <f t="shared" si="2"/>
        <v>N</v>
      </c>
      <c r="X61" s="56"/>
      <c r="Y61" s="56"/>
      <c r="Z61" s="56"/>
      <c r="AA61" s="56"/>
      <c r="AC61" s="56"/>
    </row>
    <row r="62" spans="1:29" x14ac:dyDescent="0.25">
      <c r="A62" s="35"/>
      <c r="B62" s="32" t="e">
        <f>VLOOKUP(A62,Relay!$A$1:$B$50,2,FALSE)</f>
        <v>#N/A</v>
      </c>
      <c r="C62" s="32" t="e">
        <f>VLOOKUP(A62,Relay!$A$2:$C$101,3,FALSE)</f>
        <v>#N/A</v>
      </c>
      <c r="D62" s="39"/>
      <c r="E62" s="35"/>
      <c r="F62" s="58" t="str">
        <f t="shared" si="0"/>
        <v>INS</v>
      </c>
      <c r="G62" s="32" t="e">
        <f>IF(OR(E62="Jeopardy",E62="APP Moonlighting",E62="Differential Pay"),"",Sept[[#This Row],[SysID]])</f>
        <v>#N/A</v>
      </c>
      <c r="H62" s="32" t="e">
        <f>IF(E62="Jeopardy",IF(C62="MD",Relay!$E$7,Relay!$E$8),IF(C62="MD",IF(COUNTIF(G:G,B62)&gt;1,Relay!$E$2,Relay!$E$1),IF(AND(COUNTIF(G:G,B62)&gt;1,COUNTA(A62)&gt;0),Relay!$E$5,Relay!$E$4)))</f>
        <v>#N/A</v>
      </c>
      <c r="I62" s="8">
        <f t="shared" si="1"/>
        <v>0</v>
      </c>
      <c r="J62" s="35"/>
      <c r="K62" s="35"/>
      <c r="L62" s="35"/>
      <c r="M62" s="35"/>
      <c r="N62" s="32" t="e">
        <f>IF(H62=Sept!$E$2,"N",IF(AND(COUNTIF(B:B,B62)=1,D62&gt;14),"Y","N"))</f>
        <v>#N/A</v>
      </c>
      <c r="O62" s="55" t="str">
        <f>IF(COUNT(Sept[[#This Row],[Date]])&gt;0,IF(Sept[[#This Row],[Date]]&gt;14,"Yes","No"),"N/A")</f>
        <v>N/A</v>
      </c>
      <c r="P62" s="55"/>
      <c r="Q62" s="5">
        <f>Relay!A61</f>
        <v>0</v>
      </c>
      <c r="R62" s="5">
        <f>Relay!B61</f>
        <v>60</v>
      </c>
      <c r="S62" s="8">
        <f>IF(Sept[After the 14th?]="No",SUMIF(Sept[SysID],R62,Sept[Pay Amount]),0)+IF(Aug[After the 14th?]="Yes",SUMIF(Aug[SysID],R62,Aug[Pay Amount]),0)</f>
        <v>0</v>
      </c>
      <c r="T62" s="8"/>
      <c r="U62" s="5" t="str">
        <f t="shared" si="2"/>
        <v>N</v>
      </c>
      <c r="X62" s="56"/>
      <c r="Y62" s="56"/>
      <c r="Z62" s="56"/>
      <c r="AA62" s="56"/>
      <c r="AC62" s="56"/>
    </row>
    <row r="63" spans="1:29" x14ac:dyDescent="0.25">
      <c r="A63" s="35"/>
      <c r="B63" s="32" t="e">
        <f>VLOOKUP(A63,Relay!$A$1:$B$50,2,FALSE)</f>
        <v>#N/A</v>
      </c>
      <c r="C63" s="32" t="e">
        <f>VLOOKUP(A63,Relay!$A$2:$C$101,3,FALSE)</f>
        <v>#N/A</v>
      </c>
      <c r="D63" s="39"/>
      <c r="E63" s="35"/>
      <c r="F63" s="58" t="str">
        <f t="shared" si="0"/>
        <v>INS</v>
      </c>
      <c r="G63" s="32" t="e">
        <f>IF(OR(E63="Jeopardy",E63="APP Moonlighting",E63="Differential Pay"),"",Sept[[#This Row],[SysID]])</f>
        <v>#N/A</v>
      </c>
      <c r="H63" s="32" t="e">
        <f>IF(E63="Jeopardy",IF(C63="MD",Relay!$E$7,Relay!$E$8),IF(C63="MD",IF(COUNTIF(G:G,B63)&gt;1,Relay!$E$2,Relay!$E$1),IF(AND(COUNTIF(G:G,B63)&gt;1,COUNTA(A63)&gt;0),Relay!$E$5,Relay!$E$4)))</f>
        <v>#N/A</v>
      </c>
      <c r="I63" s="8">
        <f t="shared" si="1"/>
        <v>0</v>
      </c>
      <c r="J63" s="35"/>
      <c r="K63" s="35"/>
      <c r="L63" s="35"/>
      <c r="M63" s="35"/>
      <c r="N63" s="32" t="e">
        <f>IF(H63=Sept!$E$2,"N",IF(AND(COUNTIF(B:B,B63)=1,D63&gt;14),"Y","N"))</f>
        <v>#N/A</v>
      </c>
      <c r="O63" s="55" t="str">
        <f>IF(COUNT(Sept[[#This Row],[Date]])&gt;0,IF(Sept[[#This Row],[Date]]&gt;14,"Yes","No"),"N/A")</f>
        <v>N/A</v>
      </c>
      <c r="P63" s="55"/>
      <c r="Q63" s="5">
        <f>Relay!A62</f>
        <v>0</v>
      </c>
      <c r="R63" s="5">
        <f>Relay!B62</f>
        <v>61</v>
      </c>
      <c r="S63" s="8">
        <f>IF(Sept[After the 14th?]="No",SUMIF(Sept[SysID],R63,Sept[Pay Amount]),0)+IF(Aug[After the 14th?]="Yes",SUMIF(Aug[SysID],R63,Aug[Pay Amount]),0)</f>
        <v>0</v>
      </c>
      <c r="T63" s="8"/>
      <c r="U63" s="5" t="str">
        <f t="shared" si="2"/>
        <v>N</v>
      </c>
      <c r="X63" s="56"/>
      <c r="Y63" s="56"/>
      <c r="Z63" s="56"/>
      <c r="AA63" s="56"/>
      <c r="AC63" s="56"/>
    </row>
    <row r="64" spans="1:29" x14ac:dyDescent="0.25">
      <c r="A64" s="35"/>
      <c r="B64" s="32" t="e">
        <f>VLOOKUP(A64,Relay!$A$1:$B$50,2,FALSE)</f>
        <v>#N/A</v>
      </c>
      <c r="C64" s="32" t="e">
        <f>VLOOKUP(A64,Relay!$A$2:$C$101,3,FALSE)</f>
        <v>#N/A</v>
      </c>
      <c r="D64" s="39"/>
      <c r="E64" s="35"/>
      <c r="F64" s="58" t="str">
        <f t="shared" si="0"/>
        <v>INS</v>
      </c>
      <c r="G64" s="32" t="e">
        <f>IF(OR(E64="Jeopardy",E64="APP Moonlighting",E64="Differential Pay"),"",Sept[[#This Row],[SysID]])</f>
        <v>#N/A</v>
      </c>
      <c r="H64" s="32" t="e">
        <f>IF(E64="Jeopardy",IF(C64="MD",Relay!$E$7,Relay!$E$8),IF(C64="MD",IF(COUNTIF(G:G,B64)&gt;1,Relay!$E$2,Relay!$E$1),IF(AND(COUNTIF(G:G,B64)&gt;1,COUNTA(A64)&gt;0),Relay!$E$5,Relay!$E$4)))</f>
        <v>#N/A</v>
      </c>
      <c r="I64" s="8">
        <f t="shared" si="1"/>
        <v>0</v>
      </c>
      <c r="J64" s="35"/>
      <c r="K64" s="35"/>
      <c r="L64" s="35"/>
      <c r="M64" s="35"/>
      <c r="N64" s="32" t="e">
        <f>IF(H64=Sept!$E$2,"N",IF(AND(COUNTIF(B:B,B64)=1,D64&gt;14),"Y","N"))</f>
        <v>#N/A</v>
      </c>
      <c r="O64" s="55" t="str">
        <f>IF(COUNT(Sept[[#This Row],[Date]])&gt;0,IF(Sept[[#This Row],[Date]]&gt;14,"Yes","No"),"N/A")</f>
        <v>N/A</v>
      </c>
      <c r="P64" s="55"/>
      <c r="Q64" s="5">
        <f>Relay!A63</f>
        <v>0</v>
      </c>
      <c r="R64" s="5">
        <f>Relay!B63</f>
        <v>62</v>
      </c>
      <c r="S64" s="8">
        <f>IF(Sept[After the 14th?]="No",SUMIF(Sept[SysID],R64,Sept[Pay Amount]),0)+IF(Aug[After the 14th?]="Yes",SUMIF(Aug[SysID],R64,Aug[Pay Amount]),0)</f>
        <v>0</v>
      </c>
      <c r="T64" s="8"/>
      <c r="U64" s="5" t="str">
        <f t="shared" si="2"/>
        <v>N</v>
      </c>
      <c r="X64" s="56"/>
      <c r="Y64" s="56"/>
      <c r="Z64" s="56"/>
      <c r="AA64" s="56"/>
      <c r="AC64" s="56"/>
    </row>
    <row r="65" spans="1:29" x14ac:dyDescent="0.25">
      <c r="A65" s="35"/>
      <c r="B65" s="32" t="e">
        <f>VLOOKUP(A65,Relay!$A$1:$B$50,2,FALSE)</f>
        <v>#N/A</v>
      </c>
      <c r="C65" s="32" t="e">
        <f>VLOOKUP(A65,Relay!$A$2:$C$101,3,FALSE)</f>
        <v>#N/A</v>
      </c>
      <c r="D65" s="39"/>
      <c r="E65" s="35"/>
      <c r="F65" s="58" t="str">
        <f t="shared" si="0"/>
        <v>INS</v>
      </c>
      <c r="G65" s="32" t="e">
        <f>IF(OR(E65="Jeopardy",E65="APP Moonlighting",E65="Differential Pay"),"",Sept[[#This Row],[SysID]])</f>
        <v>#N/A</v>
      </c>
      <c r="H65" s="32" t="e">
        <f>IF(E65="Jeopardy",IF(C65="MD",Relay!$E$7,Relay!$E$8),IF(C65="MD",IF(COUNTIF(G:G,B65)&gt;1,Relay!$E$2,Relay!$E$1),IF(AND(COUNTIF(G:G,B65)&gt;1,COUNTA(A65)&gt;0),Relay!$E$5,Relay!$E$4)))</f>
        <v>#N/A</v>
      </c>
      <c r="I65" s="8">
        <f t="shared" si="1"/>
        <v>0</v>
      </c>
      <c r="J65" s="35"/>
      <c r="K65" s="35"/>
      <c r="L65" s="35"/>
      <c r="M65" s="35"/>
      <c r="N65" s="32" t="e">
        <f>IF(H65=Sept!$E$2,"N",IF(AND(COUNTIF(B:B,B65)=1,D65&gt;14),"Y","N"))</f>
        <v>#N/A</v>
      </c>
      <c r="O65" s="55" t="str">
        <f>IF(COUNT(Sept[[#This Row],[Date]])&gt;0,IF(Sept[[#This Row],[Date]]&gt;14,"Yes","No"),"N/A")</f>
        <v>N/A</v>
      </c>
      <c r="P65" s="55"/>
      <c r="Q65" s="5">
        <f>Relay!A64</f>
        <v>0</v>
      </c>
      <c r="R65" s="5">
        <f>Relay!B64</f>
        <v>63</v>
      </c>
      <c r="S65" s="8">
        <f>IF(Sept[After the 14th?]="No",SUMIF(Sept[SysID],R65,Sept[Pay Amount]),0)+IF(Aug[After the 14th?]="Yes",SUMIF(Aug[SysID],R65,Aug[Pay Amount]),0)</f>
        <v>0</v>
      </c>
      <c r="T65" s="8"/>
      <c r="U65" s="5" t="str">
        <f t="shared" si="2"/>
        <v>N</v>
      </c>
      <c r="X65" s="56"/>
      <c r="Y65" s="56"/>
      <c r="Z65" s="56"/>
      <c r="AA65" s="56"/>
      <c r="AC65" s="56"/>
    </row>
    <row r="66" spans="1:29" x14ac:dyDescent="0.25">
      <c r="A66" s="35"/>
      <c r="B66" s="32" t="e">
        <f>VLOOKUP(A66,Relay!$A$1:$B$50,2,FALSE)</f>
        <v>#N/A</v>
      </c>
      <c r="C66" s="32" t="e">
        <f>VLOOKUP(A66,Relay!$A$2:$C$101,3,FALSE)</f>
        <v>#N/A</v>
      </c>
      <c r="D66" s="39"/>
      <c r="E66" s="35"/>
      <c r="F66" s="58" t="str">
        <f t="shared" si="0"/>
        <v>INS</v>
      </c>
      <c r="G66" s="32" t="e">
        <f>IF(OR(E66="Jeopardy",E66="APP Moonlighting",E66="Differential Pay"),"",Sept[[#This Row],[SysID]])</f>
        <v>#N/A</v>
      </c>
      <c r="H66" s="32" t="e">
        <f>IF(E66="Jeopardy",IF(C66="MD",Relay!$E$7,Relay!$E$8),IF(C66="MD",IF(COUNTIF(G:G,B66)&gt;1,Relay!$E$2,Relay!$E$1),IF(AND(COUNTIF(G:G,B66)&gt;1,COUNTA(A66)&gt;0),Relay!$E$5,Relay!$E$4)))</f>
        <v>#N/A</v>
      </c>
      <c r="I66" s="8">
        <f t="shared" si="1"/>
        <v>0</v>
      </c>
      <c r="J66" s="35"/>
      <c r="K66" s="35"/>
      <c r="L66" s="35"/>
      <c r="M66" s="35"/>
      <c r="N66" s="32" t="e">
        <f>IF(H66=Sept!$E$2,"N",IF(AND(COUNTIF(B:B,B66)=1,D66&gt;14),"Y","N"))</f>
        <v>#N/A</v>
      </c>
      <c r="O66" s="55" t="str">
        <f>IF(COUNT(Sept[[#This Row],[Date]])&gt;0,IF(Sept[[#This Row],[Date]]&gt;14,"Yes","No"),"N/A")</f>
        <v>N/A</v>
      </c>
      <c r="P66" s="55"/>
      <c r="Q66" s="5">
        <f>Relay!A65</f>
        <v>0</v>
      </c>
      <c r="R66" s="5">
        <f>Relay!B65</f>
        <v>64</v>
      </c>
      <c r="S66" s="8">
        <f>IF(Sept[After the 14th?]="No",SUMIF(Sept[SysID],R66,Sept[Pay Amount]),0)+IF(Aug[After the 14th?]="Yes",SUMIF(Aug[SysID],R66,Aug[Pay Amount]),0)</f>
        <v>0</v>
      </c>
      <c r="T66" s="8"/>
      <c r="U66" s="5" t="str">
        <f t="shared" si="2"/>
        <v>N</v>
      </c>
      <c r="X66" s="56"/>
      <c r="Y66" s="56"/>
      <c r="Z66" s="56"/>
      <c r="AA66" s="56"/>
      <c r="AC66" s="56"/>
    </row>
    <row r="67" spans="1:29" x14ac:dyDescent="0.25">
      <c r="A67" s="35"/>
      <c r="B67" s="32" t="e">
        <f>VLOOKUP(A67,Relay!$A$1:$B$50,2,FALSE)</f>
        <v>#N/A</v>
      </c>
      <c r="C67" s="32" t="e">
        <f>VLOOKUP(A67,Relay!$A$2:$C$101,3,FALSE)</f>
        <v>#N/A</v>
      </c>
      <c r="D67" s="39"/>
      <c r="E67" s="35"/>
      <c r="F67" s="58" t="str">
        <f t="shared" ref="F67:F103" si="3">IF(E67="Moonlighting", 12, "INS")</f>
        <v>INS</v>
      </c>
      <c r="G67" s="32" t="e">
        <f>IF(OR(E67="Jeopardy",E67="APP Moonlighting",E67="Differential Pay"),"",Sept[[#This Row],[SysID]])</f>
        <v>#N/A</v>
      </c>
      <c r="H67" s="32" t="e">
        <f>IF(E67="Jeopardy",IF(C67="MD",Relay!$E$7,Relay!$E$8),IF(C67="MD",IF(COUNTIF(G:G,B67)&gt;1,Relay!$E$2,Relay!$E$1),IF(AND(COUNTIF(G:G,B67)&gt;1,COUNTA(A67)&gt;0),Relay!$E$5,Relay!$E$4)))</f>
        <v>#N/A</v>
      </c>
      <c r="I67" s="8">
        <f t="shared" ref="I67:I103" si="4">IF(COUNTA(A67)&gt;0,H67*F67,0)</f>
        <v>0</v>
      </c>
      <c r="J67" s="35"/>
      <c r="K67" s="35"/>
      <c r="L67" s="35"/>
      <c r="M67" s="35"/>
      <c r="N67" s="32" t="e">
        <f>IF(H67=Sept!$E$2,"N",IF(AND(COUNTIF(B:B,B67)=1,D67&gt;14),"Y","N"))</f>
        <v>#N/A</v>
      </c>
      <c r="O67" s="55" t="str">
        <f>IF(COUNT(Sept[[#This Row],[Date]])&gt;0,IF(Sept[[#This Row],[Date]]&gt;14,"Yes","No"),"N/A")</f>
        <v>N/A</v>
      </c>
      <c r="P67" s="55"/>
      <c r="Q67" s="5">
        <f>Relay!A66</f>
        <v>0</v>
      </c>
      <c r="R67" s="5">
        <f>Relay!B66</f>
        <v>65</v>
      </c>
      <c r="S67" s="8">
        <f>IF(Sept[After the 14th?]="No",SUMIF(Sept[SysID],R67,Sept[Pay Amount]),0)+IF(Aug[After the 14th?]="Yes",SUMIF(Aug[SysID],R67,Aug[Pay Amount]),0)</f>
        <v>0</v>
      </c>
      <c r="T67" s="8"/>
      <c r="U67" s="5" t="str">
        <f t="shared" ref="U67:U103" si="5">IF(S67=T67,"N","Y")</f>
        <v>N</v>
      </c>
      <c r="X67" s="56"/>
      <c r="Y67" s="56"/>
      <c r="Z67" s="56"/>
      <c r="AA67" s="56"/>
      <c r="AC67" s="56"/>
    </row>
    <row r="68" spans="1:29" x14ac:dyDescent="0.25">
      <c r="A68" s="35"/>
      <c r="B68" s="32" t="e">
        <f>VLOOKUP(A68,Relay!$A$1:$B$50,2,FALSE)</f>
        <v>#N/A</v>
      </c>
      <c r="C68" s="32" t="e">
        <f>VLOOKUP(A68,Relay!$A$2:$C$101,3,FALSE)</f>
        <v>#N/A</v>
      </c>
      <c r="D68" s="39"/>
      <c r="E68" s="35"/>
      <c r="F68" s="58" t="str">
        <f t="shared" si="3"/>
        <v>INS</v>
      </c>
      <c r="G68" s="32" t="e">
        <f>IF(OR(E68="Jeopardy",E68="APP Moonlighting",E68="Differential Pay"),"",Sept[[#This Row],[SysID]])</f>
        <v>#N/A</v>
      </c>
      <c r="H68" s="32" t="e">
        <f>IF(E68="Jeopardy",IF(C68="MD",Relay!$E$7,Relay!$E$8),IF(C68="MD",IF(COUNTIF(G:G,B68)&gt;1,Relay!$E$2,Relay!$E$1),IF(AND(COUNTIF(G:G,B68)&gt;1,COUNTA(A68)&gt;0),Relay!$E$5,Relay!$E$4)))</f>
        <v>#N/A</v>
      </c>
      <c r="I68" s="8">
        <f t="shared" si="4"/>
        <v>0</v>
      </c>
      <c r="J68" s="35"/>
      <c r="K68" s="35"/>
      <c r="L68" s="35"/>
      <c r="M68" s="35"/>
      <c r="N68" s="32" t="e">
        <f>IF(H68=Sept!$E$2,"N",IF(AND(COUNTIF(B:B,B68)=1,D68&gt;14),"Y","N"))</f>
        <v>#N/A</v>
      </c>
      <c r="O68" s="55" t="str">
        <f>IF(COUNT(Sept[[#This Row],[Date]])&gt;0,IF(Sept[[#This Row],[Date]]&gt;14,"Yes","No"),"N/A")</f>
        <v>N/A</v>
      </c>
      <c r="P68" s="55"/>
      <c r="Q68" s="5">
        <f>Relay!A67</f>
        <v>0</v>
      </c>
      <c r="R68" s="5">
        <f>Relay!B67</f>
        <v>66</v>
      </c>
      <c r="S68" s="8">
        <f>IF(Sept[After the 14th?]="No",SUMIF(Sept[SysID],R68,Sept[Pay Amount]),0)+IF(Aug[After the 14th?]="Yes",SUMIF(Aug[SysID],R68,Aug[Pay Amount]),0)</f>
        <v>0</v>
      </c>
      <c r="T68" s="8"/>
      <c r="U68" s="5" t="str">
        <f t="shared" si="5"/>
        <v>N</v>
      </c>
      <c r="X68" s="56"/>
      <c r="Y68" s="56"/>
      <c r="Z68" s="56"/>
      <c r="AA68" s="56"/>
      <c r="AC68" s="56"/>
    </row>
    <row r="69" spans="1:29" x14ac:dyDescent="0.25">
      <c r="A69" s="35"/>
      <c r="B69" s="32" t="e">
        <f>VLOOKUP(A69,Relay!$A$1:$B$50,2,FALSE)</f>
        <v>#N/A</v>
      </c>
      <c r="C69" s="32" t="e">
        <f>VLOOKUP(A69,Relay!$A$2:$C$101,3,FALSE)</f>
        <v>#N/A</v>
      </c>
      <c r="D69" s="39"/>
      <c r="E69" s="35"/>
      <c r="F69" s="58" t="str">
        <f t="shared" si="3"/>
        <v>INS</v>
      </c>
      <c r="G69" s="32" t="e">
        <f>IF(OR(E69="Jeopardy",E69="APP Moonlighting",E69="Differential Pay"),"",Sept[[#This Row],[SysID]])</f>
        <v>#N/A</v>
      </c>
      <c r="H69" s="32" t="e">
        <f>IF(E69="Jeopardy",IF(C69="MD",Relay!$E$7,Relay!$E$8),IF(C69="MD",IF(COUNTIF(G:G,B69)&gt;1,Relay!$E$2,Relay!$E$1),IF(AND(COUNTIF(G:G,B69)&gt;1,COUNTA(A69)&gt;0),Relay!$E$5,Relay!$E$4)))</f>
        <v>#N/A</v>
      </c>
      <c r="I69" s="8">
        <f t="shared" si="4"/>
        <v>0</v>
      </c>
      <c r="J69" s="35"/>
      <c r="K69" s="35"/>
      <c r="L69" s="35"/>
      <c r="M69" s="35"/>
      <c r="N69" s="32" t="e">
        <f>IF(H69=Sept!$E$2,"N",IF(AND(COUNTIF(B:B,B69)=1,D69&gt;14),"Y","N"))</f>
        <v>#N/A</v>
      </c>
      <c r="O69" s="55" t="str">
        <f>IF(COUNT(Sept[[#This Row],[Date]])&gt;0,IF(Sept[[#This Row],[Date]]&gt;14,"Yes","No"),"N/A")</f>
        <v>N/A</v>
      </c>
      <c r="P69" s="55"/>
      <c r="Q69" s="5">
        <f>Relay!A68</f>
        <v>0</v>
      </c>
      <c r="R69" s="5">
        <f>Relay!B68</f>
        <v>67</v>
      </c>
      <c r="S69" s="8">
        <f>IF(Sept[After the 14th?]="No",SUMIF(Sept[SysID],R69,Sept[Pay Amount]),0)+IF(Aug[After the 14th?]="Yes",SUMIF(Aug[SysID],R69,Aug[Pay Amount]),0)</f>
        <v>0</v>
      </c>
      <c r="T69" s="8"/>
      <c r="U69" s="5" t="str">
        <f t="shared" si="5"/>
        <v>N</v>
      </c>
      <c r="X69" s="56"/>
      <c r="Y69" s="56"/>
      <c r="Z69" s="56"/>
      <c r="AA69" s="56"/>
      <c r="AC69" s="56"/>
    </row>
    <row r="70" spans="1:29" x14ac:dyDescent="0.25">
      <c r="A70" s="35"/>
      <c r="B70" s="32" t="e">
        <f>VLOOKUP(A70,Relay!$A$1:$B$50,2,FALSE)</f>
        <v>#N/A</v>
      </c>
      <c r="C70" s="32" t="e">
        <f>VLOOKUP(A70,Relay!$A$2:$C$101,3,FALSE)</f>
        <v>#N/A</v>
      </c>
      <c r="D70" s="39"/>
      <c r="E70" s="35"/>
      <c r="F70" s="58" t="str">
        <f t="shared" si="3"/>
        <v>INS</v>
      </c>
      <c r="G70" s="32" t="e">
        <f>IF(OR(E70="Jeopardy",E70="APP Moonlighting",E70="Differential Pay"),"",Sept[[#This Row],[SysID]])</f>
        <v>#N/A</v>
      </c>
      <c r="H70" s="32" t="e">
        <f>IF(E70="Jeopardy",IF(C70="MD",Relay!$E$7,Relay!$E$8),IF(C70="MD",IF(COUNTIF(G:G,B70)&gt;1,Relay!$E$2,Relay!$E$1),IF(AND(COUNTIF(G:G,B70)&gt;1,COUNTA(A70)&gt;0),Relay!$E$5,Relay!$E$4)))</f>
        <v>#N/A</v>
      </c>
      <c r="I70" s="8">
        <f t="shared" si="4"/>
        <v>0</v>
      </c>
      <c r="J70" s="35"/>
      <c r="K70" s="35"/>
      <c r="L70" s="35"/>
      <c r="M70" s="35"/>
      <c r="N70" s="32" t="e">
        <f>IF(H70=Sept!$E$2,"N",IF(AND(COUNTIF(B:B,B70)=1,D70&gt;14),"Y","N"))</f>
        <v>#N/A</v>
      </c>
      <c r="O70" s="55" t="str">
        <f>IF(COUNT(Sept[[#This Row],[Date]])&gt;0,IF(Sept[[#This Row],[Date]]&gt;14,"Yes","No"),"N/A")</f>
        <v>N/A</v>
      </c>
      <c r="P70" s="55"/>
      <c r="Q70" s="5">
        <f>Relay!A69</f>
        <v>0</v>
      </c>
      <c r="R70" s="5">
        <f>Relay!B69</f>
        <v>68</v>
      </c>
      <c r="S70" s="8">
        <f>IF(Sept[After the 14th?]="No",SUMIF(Sept[SysID],R70,Sept[Pay Amount]),0)+IF(Aug[After the 14th?]="Yes",SUMIF(Aug[SysID],R70,Aug[Pay Amount]),0)</f>
        <v>0</v>
      </c>
      <c r="T70" s="8"/>
      <c r="U70" s="5" t="str">
        <f t="shared" si="5"/>
        <v>N</v>
      </c>
      <c r="X70" s="56"/>
      <c r="Y70" s="56"/>
      <c r="Z70" s="56"/>
      <c r="AA70" s="56"/>
      <c r="AC70" s="56"/>
    </row>
    <row r="71" spans="1:29" x14ac:dyDescent="0.25">
      <c r="A71" s="35"/>
      <c r="B71" s="32" t="e">
        <f>VLOOKUP(A71,Relay!$A$1:$B$50,2,FALSE)</f>
        <v>#N/A</v>
      </c>
      <c r="C71" s="32" t="e">
        <f>VLOOKUP(A71,Relay!$A$2:$C$101,3,FALSE)</f>
        <v>#N/A</v>
      </c>
      <c r="D71" s="39"/>
      <c r="E71" s="35"/>
      <c r="F71" s="58" t="str">
        <f t="shared" si="3"/>
        <v>INS</v>
      </c>
      <c r="G71" s="32" t="e">
        <f>IF(OR(E71="Jeopardy",E71="APP Moonlighting",E71="Differential Pay"),"",Sept[[#This Row],[SysID]])</f>
        <v>#N/A</v>
      </c>
      <c r="H71" s="32" t="e">
        <f>IF(E71="Jeopardy",IF(C71="MD",Relay!$E$7,Relay!$E$8),IF(C71="MD",IF(COUNTIF(G:G,B71)&gt;1,Relay!$E$2,Relay!$E$1),IF(AND(COUNTIF(G:G,B71)&gt;1,COUNTA(A71)&gt;0),Relay!$E$5,Relay!$E$4)))</f>
        <v>#N/A</v>
      </c>
      <c r="I71" s="8">
        <f t="shared" si="4"/>
        <v>0</v>
      </c>
      <c r="J71" s="35"/>
      <c r="K71" s="35"/>
      <c r="L71" s="35"/>
      <c r="M71" s="35"/>
      <c r="N71" s="32" t="e">
        <f>IF(H71=Sept!$E$2,"N",IF(AND(COUNTIF(B:B,B71)=1,D71&gt;14),"Y","N"))</f>
        <v>#N/A</v>
      </c>
      <c r="O71" s="55" t="str">
        <f>IF(COUNT(Sept[[#This Row],[Date]])&gt;0,IF(Sept[[#This Row],[Date]]&gt;14,"Yes","No"),"N/A")</f>
        <v>N/A</v>
      </c>
      <c r="P71" s="55"/>
      <c r="Q71" s="5">
        <f>Relay!A70</f>
        <v>0</v>
      </c>
      <c r="R71" s="5">
        <f>Relay!B70</f>
        <v>69</v>
      </c>
      <c r="S71" s="8">
        <f>IF(Sept[After the 14th?]="No",SUMIF(Sept[SysID],R71,Sept[Pay Amount]),0)+IF(Aug[After the 14th?]="Yes",SUMIF(Aug[SysID],R71,Aug[Pay Amount]),0)</f>
        <v>0</v>
      </c>
      <c r="T71" s="8"/>
      <c r="U71" s="5" t="str">
        <f t="shared" si="5"/>
        <v>N</v>
      </c>
      <c r="X71" s="56"/>
      <c r="Y71" s="56"/>
      <c r="Z71" s="56"/>
      <c r="AA71" s="56"/>
      <c r="AC71" s="56"/>
    </row>
    <row r="72" spans="1:29" x14ac:dyDescent="0.25">
      <c r="A72" s="35"/>
      <c r="B72" s="32" t="e">
        <f>VLOOKUP(A72,Relay!$A$1:$B$50,2,FALSE)</f>
        <v>#N/A</v>
      </c>
      <c r="C72" s="32" t="e">
        <f>VLOOKUP(A72,Relay!$A$2:$C$101,3,FALSE)</f>
        <v>#N/A</v>
      </c>
      <c r="D72" s="39"/>
      <c r="E72" s="35"/>
      <c r="F72" s="58" t="str">
        <f t="shared" si="3"/>
        <v>INS</v>
      </c>
      <c r="G72" s="32" t="e">
        <f>IF(OR(E72="Jeopardy",E72="APP Moonlighting",E72="Differential Pay"),"",Sept[[#This Row],[SysID]])</f>
        <v>#N/A</v>
      </c>
      <c r="H72" s="32" t="e">
        <f>IF(E72="Jeopardy",IF(C72="MD",Relay!$E$7,Relay!$E$8),IF(C72="MD",IF(COUNTIF(G:G,B72)&gt;1,Relay!$E$2,Relay!$E$1),IF(AND(COUNTIF(G:G,B72)&gt;1,COUNTA(A72)&gt;0),Relay!$E$5,Relay!$E$4)))</f>
        <v>#N/A</v>
      </c>
      <c r="I72" s="8">
        <f t="shared" si="4"/>
        <v>0</v>
      </c>
      <c r="J72" s="35"/>
      <c r="K72" s="35"/>
      <c r="L72" s="35"/>
      <c r="M72" s="35"/>
      <c r="N72" s="32" t="e">
        <f>IF(H72=Sept!$E$2,"N",IF(AND(COUNTIF(B:B,B72)=1,D72&gt;14),"Y","N"))</f>
        <v>#N/A</v>
      </c>
      <c r="O72" s="55" t="str">
        <f>IF(COUNT(Sept[[#This Row],[Date]])&gt;0,IF(Sept[[#This Row],[Date]]&gt;14,"Yes","No"),"N/A")</f>
        <v>N/A</v>
      </c>
      <c r="P72" s="55"/>
      <c r="Q72" s="5">
        <f>Relay!A71</f>
        <v>0</v>
      </c>
      <c r="R72" s="5">
        <f>Relay!B71</f>
        <v>70</v>
      </c>
      <c r="S72" s="8">
        <f>IF(Sept[After the 14th?]="No",SUMIF(Sept[SysID],R72,Sept[Pay Amount]),0)+IF(Aug[After the 14th?]="Yes",SUMIF(Aug[SysID],R72,Aug[Pay Amount]),0)</f>
        <v>0</v>
      </c>
      <c r="T72" s="8"/>
      <c r="U72" s="5" t="str">
        <f t="shared" si="5"/>
        <v>N</v>
      </c>
      <c r="X72" s="56"/>
      <c r="Y72" s="56"/>
      <c r="Z72" s="56"/>
      <c r="AA72" s="56"/>
      <c r="AC72" s="56"/>
    </row>
    <row r="73" spans="1:29" x14ac:dyDescent="0.25">
      <c r="A73" s="35"/>
      <c r="B73" s="32" t="e">
        <f>VLOOKUP(A73,Relay!$A$1:$B$50,2,FALSE)</f>
        <v>#N/A</v>
      </c>
      <c r="C73" s="32" t="e">
        <f>VLOOKUP(A73,Relay!$A$2:$C$101,3,FALSE)</f>
        <v>#N/A</v>
      </c>
      <c r="D73" s="39"/>
      <c r="E73" s="35"/>
      <c r="F73" s="58" t="str">
        <f t="shared" si="3"/>
        <v>INS</v>
      </c>
      <c r="G73" s="32" t="e">
        <f>IF(OR(E73="Jeopardy",E73="APP Moonlighting",E73="Differential Pay"),"",Sept[[#This Row],[SysID]])</f>
        <v>#N/A</v>
      </c>
      <c r="H73" s="32" t="e">
        <f>IF(E73="Jeopardy",IF(C73="MD",Relay!$E$7,Relay!$E$8),IF(C73="MD",IF(COUNTIF(G:G,B73)&gt;1,Relay!$E$2,Relay!$E$1),IF(AND(COUNTIF(G:G,B73)&gt;1,COUNTA(A73)&gt;0),Relay!$E$5,Relay!$E$4)))</f>
        <v>#N/A</v>
      </c>
      <c r="I73" s="8">
        <f t="shared" si="4"/>
        <v>0</v>
      </c>
      <c r="J73" s="35"/>
      <c r="K73" s="35"/>
      <c r="L73" s="35"/>
      <c r="M73" s="35"/>
      <c r="N73" s="32" t="e">
        <f>IF(H73=Sept!$E$2,"N",IF(AND(COUNTIF(B:B,B73)=1,D73&gt;14),"Y","N"))</f>
        <v>#N/A</v>
      </c>
      <c r="O73" s="55" t="str">
        <f>IF(COUNT(Sept[[#This Row],[Date]])&gt;0,IF(Sept[[#This Row],[Date]]&gt;14,"Yes","No"),"N/A")</f>
        <v>N/A</v>
      </c>
      <c r="P73" s="55"/>
      <c r="Q73" s="5">
        <f>Relay!A72</f>
        <v>0</v>
      </c>
      <c r="R73" s="5">
        <f>Relay!B72</f>
        <v>71</v>
      </c>
      <c r="S73" s="8">
        <f>IF(Sept[After the 14th?]="No",SUMIF(Sept[SysID],R73,Sept[Pay Amount]),0)+IF(Aug[After the 14th?]="Yes",SUMIF(Aug[SysID],R73,Aug[Pay Amount]),0)</f>
        <v>0</v>
      </c>
      <c r="T73" s="8"/>
      <c r="U73" s="5" t="str">
        <f t="shared" si="5"/>
        <v>N</v>
      </c>
      <c r="X73" s="56"/>
      <c r="Y73" s="56"/>
      <c r="Z73" s="56"/>
      <c r="AA73" s="56"/>
      <c r="AC73" s="56"/>
    </row>
    <row r="74" spans="1:29" x14ac:dyDescent="0.25">
      <c r="A74" s="35"/>
      <c r="B74" s="32" t="e">
        <f>VLOOKUP(A74,Relay!$A$1:$B$50,2,FALSE)</f>
        <v>#N/A</v>
      </c>
      <c r="C74" s="32" t="e">
        <f>VLOOKUP(A74,Relay!$A$2:$C$101,3,FALSE)</f>
        <v>#N/A</v>
      </c>
      <c r="D74" s="39"/>
      <c r="E74" s="35"/>
      <c r="F74" s="58" t="str">
        <f t="shared" si="3"/>
        <v>INS</v>
      </c>
      <c r="G74" s="32" t="e">
        <f>IF(OR(E74="Jeopardy",E74="APP Moonlighting",E74="Differential Pay"),"",Sept[[#This Row],[SysID]])</f>
        <v>#N/A</v>
      </c>
      <c r="H74" s="32" t="e">
        <f>IF(E74="Jeopardy",IF(C74="MD",Relay!$E$7,Relay!$E$8),IF(C74="MD",IF(COUNTIF(G:G,B74)&gt;1,Relay!$E$2,Relay!$E$1),IF(AND(COUNTIF(G:G,B74)&gt;1,COUNTA(A74)&gt;0),Relay!$E$5,Relay!$E$4)))</f>
        <v>#N/A</v>
      </c>
      <c r="I74" s="8">
        <f t="shared" si="4"/>
        <v>0</v>
      </c>
      <c r="J74" s="35"/>
      <c r="K74" s="35"/>
      <c r="L74" s="35"/>
      <c r="M74" s="35"/>
      <c r="N74" s="32" t="e">
        <f>IF(H74=Sept!$E$2,"N",IF(AND(COUNTIF(B:B,B74)=1,D74&gt;14),"Y","N"))</f>
        <v>#N/A</v>
      </c>
      <c r="O74" s="55" t="str">
        <f>IF(COUNT(Sept[[#This Row],[Date]])&gt;0,IF(Sept[[#This Row],[Date]]&gt;14,"Yes","No"),"N/A")</f>
        <v>N/A</v>
      </c>
      <c r="P74" s="55"/>
      <c r="Q74" s="5">
        <f>Relay!A73</f>
        <v>0</v>
      </c>
      <c r="R74" s="5">
        <f>Relay!B73</f>
        <v>72</v>
      </c>
      <c r="S74" s="8">
        <f>IF(Sept[After the 14th?]="No",SUMIF(Sept[SysID],R74,Sept[Pay Amount]),0)+IF(Aug[After the 14th?]="Yes",SUMIF(Aug[SysID],R74,Aug[Pay Amount]),0)</f>
        <v>0</v>
      </c>
      <c r="T74" s="8"/>
      <c r="U74" s="5" t="str">
        <f t="shared" si="5"/>
        <v>N</v>
      </c>
      <c r="X74" s="56"/>
      <c r="Y74" s="56"/>
      <c r="Z74" s="56"/>
      <c r="AA74" s="56"/>
      <c r="AC74" s="56"/>
    </row>
    <row r="75" spans="1:29" x14ac:dyDescent="0.25">
      <c r="A75" s="35"/>
      <c r="B75" s="32" t="e">
        <f>VLOOKUP(A75,Relay!$A$1:$B$50,2,FALSE)</f>
        <v>#N/A</v>
      </c>
      <c r="C75" s="32" t="e">
        <f>VLOOKUP(A75,Relay!$A$2:$C$101,3,FALSE)</f>
        <v>#N/A</v>
      </c>
      <c r="D75" s="39"/>
      <c r="E75" s="35"/>
      <c r="F75" s="58" t="str">
        <f t="shared" si="3"/>
        <v>INS</v>
      </c>
      <c r="G75" s="32" t="e">
        <f>IF(OR(E75="Jeopardy",E75="APP Moonlighting",E75="Differential Pay"),"",Sept[[#This Row],[SysID]])</f>
        <v>#N/A</v>
      </c>
      <c r="H75" s="32" t="e">
        <f>IF(E75="Jeopardy",IF(C75="MD",Relay!$E$7,Relay!$E$8),IF(C75="MD",IF(COUNTIF(G:G,B75)&gt;1,Relay!$E$2,Relay!$E$1),IF(AND(COUNTIF(G:G,B75)&gt;1,COUNTA(A75)&gt;0),Relay!$E$5,Relay!$E$4)))</f>
        <v>#N/A</v>
      </c>
      <c r="I75" s="8">
        <f t="shared" si="4"/>
        <v>0</v>
      </c>
      <c r="J75" s="35"/>
      <c r="K75" s="35"/>
      <c r="L75" s="35"/>
      <c r="M75" s="35"/>
      <c r="N75" s="32" t="e">
        <f>IF(H75=Sept!$E$2,"N",IF(AND(COUNTIF(B:B,B75)=1,D75&gt;14),"Y","N"))</f>
        <v>#N/A</v>
      </c>
      <c r="O75" s="55" t="str">
        <f>IF(COUNT(Sept[[#This Row],[Date]])&gt;0,IF(Sept[[#This Row],[Date]]&gt;14,"Yes","No"),"N/A")</f>
        <v>N/A</v>
      </c>
      <c r="P75" s="55"/>
      <c r="Q75" s="5">
        <f>Relay!A74</f>
        <v>0</v>
      </c>
      <c r="R75" s="5">
        <f>Relay!B74</f>
        <v>73</v>
      </c>
      <c r="S75" s="8">
        <f>IF(Sept[After the 14th?]="No",SUMIF(Sept[SysID],R75,Sept[Pay Amount]),0)+IF(Aug[After the 14th?]="Yes",SUMIF(Aug[SysID],R75,Aug[Pay Amount]),0)</f>
        <v>0</v>
      </c>
      <c r="T75" s="8"/>
      <c r="U75" s="5" t="str">
        <f t="shared" si="5"/>
        <v>N</v>
      </c>
      <c r="X75" s="56"/>
      <c r="Y75" s="56"/>
      <c r="Z75" s="56"/>
      <c r="AA75" s="56"/>
      <c r="AC75" s="56"/>
    </row>
    <row r="76" spans="1:29" x14ac:dyDescent="0.25">
      <c r="A76" s="35"/>
      <c r="B76" s="32" t="e">
        <f>VLOOKUP(A76,Relay!$A$1:$B$50,2,FALSE)</f>
        <v>#N/A</v>
      </c>
      <c r="C76" s="32" t="e">
        <f>VLOOKUP(A76,Relay!$A$2:$C$101,3,FALSE)</f>
        <v>#N/A</v>
      </c>
      <c r="D76" s="39"/>
      <c r="E76" s="35"/>
      <c r="F76" s="58" t="str">
        <f t="shared" si="3"/>
        <v>INS</v>
      </c>
      <c r="G76" s="32" t="e">
        <f>IF(OR(E76="Jeopardy",E76="APP Moonlighting",E76="Differential Pay"),"",Sept[[#This Row],[SysID]])</f>
        <v>#N/A</v>
      </c>
      <c r="H76" s="32" t="e">
        <f>IF(E76="Jeopardy",IF(C76="MD",Relay!$E$7,Relay!$E$8),IF(C76="MD",IF(COUNTIF(G:G,B76)&gt;1,Relay!$E$2,Relay!$E$1),IF(AND(COUNTIF(G:G,B76)&gt;1,COUNTA(A76)&gt;0),Relay!$E$5,Relay!$E$4)))</f>
        <v>#N/A</v>
      </c>
      <c r="I76" s="8">
        <f t="shared" si="4"/>
        <v>0</v>
      </c>
      <c r="J76" s="35"/>
      <c r="K76" s="35"/>
      <c r="L76" s="35"/>
      <c r="M76" s="35"/>
      <c r="N76" s="32" t="e">
        <f>IF(H76=Sept!$E$2,"N",IF(AND(COUNTIF(B:B,B76)=1,D76&gt;14),"Y","N"))</f>
        <v>#N/A</v>
      </c>
      <c r="O76" s="55" t="str">
        <f>IF(COUNT(Sept[[#This Row],[Date]])&gt;0,IF(Sept[[#This Row],[Date]]&gt;14,"Yes","No"),"N/A")</f>
        <v>N/A</v>
      </c>
      <c r="P76" s="55"/>
      <c r="Q76" s="5">
        <f>Relay!A75</f>
        <v>0</v>
      </c>
      <c r="R76" s="5">
        <f>Relay!B75</f>
        <v>74</v>
      </c>
      <c r="S76" s="8">
        <f>IF(Sept[After the 14th?]="No",SUMIF(Sept[SysID],R76,Sept[Pay Amount]),0)+IF(Aug[After the 14th?]="Yes",SUMIF(Aug[SysID],R76,Aug[Pay Amount]),0)</f>
        <v>0</v>
      </c>
      <c r="T76" s="8"/>
      <c r="U76" s="5" t="str">
        <f t="shared" si="5"/>
        <v>N</v>
      </c>
      <c r="X76" s="56"/>
      <c r="Y76" s="56"/>
      <c r="Z76" s="56"/>
      <c r="AA76" s="56"/>
      <c r="AC76" s="56"/>
    </row>
    <row r="77" spans="1:29" x14ac:dyDescent="0.25">
      <c r="A77" s="35"/>
      <c r="B77" s="32" t="e">
        <f>VLOOKUP(A77,Relay!$A$1:$B$50,2,FALSE)</f>
        <v>#N/A</v>
      </c>
      <c r="C77" s="32" t="e">
        <f>VLOOKUP(A77,Relay!$A$2:$C$101,3,FALSE)</f>
        <v>#N/A</v>
      </c>
      <c r="D77" s="39"/>
      <c r="E77" s="35"/>
      <c r="F77" s="58" t="str">
        <f t="shared" si="3"/>
        <v>INS</v>
      </c>
      <c r="G77" s="32" t="e">
        <f>IF(OR(E77="Jeopardy",E77="APP Moonlighting",E77="Differential Pay"),"",Sept[[#This Row],[SysID]])</f>
        <v>#N/A</v>
      </c>
      <c r="H77" s="32" t="e">
        <f>IF(E77="Jeopardy",IF(C77="MD",Relay!$E$7,Relay!$E$8),IF(C77="MD",IF(COUNTIF(G:G,B77)&gt;1,Relay!$E$2,Relay!$E$1),IF(AND(COUNTIF(G:G,B77)&gt;1,COUNTA(A77)&gt;0),Relay!$E$5,Relay!$E$4)))</f>
        <v>#N/A</v>
      </c>
      <c r="I77" s="8">
        <f t="shared" si="4"/>
        <v>0</v>
      </c>
      <c r="J77" s="35"/>
      <c r="K77" s="35"/>
      <c r="L77" s="35"/>
      <c r="M77" s="35"/>
      <c r="N77" s="32" t="e">
        <f>IF(H77=Sept!$E$2,"N",IF(AND(COUNTIF(B:B,B77)=1,D77&gt;14),"Y","N"))</f>
        <v>#N/A</v>
      </c>
      <c r="O77" s="55" t="str">
        <f>IF(COUNT(Sept[[#This Row],[Date]])&gt;0,IF(Sept[[#This Row],[Date]]&gt;14,"Yes","No"),"N/A")</f>
        <v>N/A</v>
      </c>
      <c r="P77" s="55"/>
      <c r="Q77" s="5">
        <f>Relay!A76</f>
        <v>0</v>
      </c>
      <c r="R77" s="5">
        <f>Relay!B76</f>
        <v>75</v>
      </c>
      <c r="S77" s="8">
        <f>IF(Sept[After the 14th?]="No",SUMIF(Sept[SysID],R77,Sept[Pay Amount]),0)+IF(Aug[After the 14th?]="Yes",SUMIF(Aug[SysID],R77,Aug[Pay Amount]),0)</f>
        <v>0</v>
      </c>
      <c r="T77" s="8"/>
      <c r="U77" s="5" t="str">
        <f t="shared" si="5"/>
        <v>N</v>
      </c>
      <c r="X77" s="56"/>
      <c r="Y77" s="56"/>
      <c r="Z77" s="56"/>
      <c r="AA77" s="56"/>
      <c r="AC77" s="56"/>
    </row>
    <row r="78" spans="1:29" x14ac:dyDescent="0.25">
      <c r="A78" s="35"/>
      <c r="B78" s="32" t="e">
        <f>VLOOKUP(A78,Relay!$A$1:$B$50,2,FALSE)</f>
        <v>#N/A</v>
      </c>
      <c r="C78" s="32" t="e">
        <f>VLOOKUP(A78,Relay!$A$2:$C$101,3,FALSE)</f>
        <v>#N/A</v>
      </c>
      <c r="D78" s="39"/>
      <c r="E78" s="35"/>
      <c r="F78" s="58" t="str">
        <f t="shared" si="3"/>
        <v>INS</v>
      </c>
      <c r="G78" s="32" t="e">
        <f>IF(OR(E78="Jeopardy",E78="APP Moonlighting",E78="Differential Pay"),"",Sept[[#This Row],[SysID]])</f>
        <v>#N/A</v>
      </c>
      <c r="H78" s="32" t="e">
        <f>IF(E78="Jeopardy",IF(C78="MD",Relay!$E$7,Relay!$E$8),IF(C78="MD",IF(COUNTIF(G:G,B78)&gt;1,Relay!$E$2,Relay!$E$1),IF(AND(COUNTIF(G:G,B78)&gt;1,COUNTA(A78)&gt;0),Relay!$E$5,Relay!$E$4)))</f>
        <v>#N/A</v>
      </c>
      <c r="I78" s="8">
        <f t="shared" si="4"/>
        <v>0</v>
      </c>
      <c r="J78" s="35"/>
      <c r="K78" s="35"/>
      <c r="L78" s="35"/>
      <c r="M78" s="35"/>
      <c r="N78" s="32" t="e">
        <f>IF(H78=Sept!$E$2,"N",IF(AND(COUNTIF(B:B,B78)=1,D78&gt;14),"Y","N"))</f>
        <v>#N/A</v>
      </c>
      <c r="O78" s="55" t="str">
        <f>IF(COUNT(Sept[[#This Row],[Date]])&gt;0,IF(Sept[[#This Row],[Date]]&gt;14,"Yes","No"),"N/A")</f>
        <v>N/A</v>
      </c>
      <c r="P78" s="55"/>
      <c r="Q78" s="5">
        <f>Relay!A77</f>
        <v>0</v>
      </c>
      <c r="R78" s="5">
        <f>Relay!B77</f>
        <v>76</v>
      </c>
      <c r="S78" s="8">
        <f>IF(Sept[After the 14th?]="No",SUMIF(Sept[SysID],R78,Sept[Pay Amount]),0)+IF(Aug[After the 14th?]="Yes",SUMIF(Aug[SysID],R78,Aug[Pay Amount]),0)</f>
        <v>0</v>
      </c>
      <c r="T78" s="8"/>
      <c r="U78" s="5" t="str">
        <f t="shared" si="5"/>
        <v>N</v>
      </c>
      <c r="X78" s="56"/>
      <c r="Y78" s="56"/>
      <c r="Z78" s="56"/>
      <c r="AA78" s="56"/>
      <c r="AC78" s="56"/>
    </row>
    <row r="79" spans="1:29" x14ac:dyDescent="0.25">
      <c r="A79" s="35"/>
      <c r="B79" s="32" t="e">
        <f>VLOOKUP(A79,Relay!$A$1:$B$50,2,FALSE)</f>
        <v>#N/A</v>
      </c>
      <c r="C79" s="32" t="e">
        <f>VLOOKUP(A79,Relay!$A$2:$C$101,3,FALSE)</f>
        <v>#N/A</v>
      </c>
      <c r="D79" s="39"/>
      <c r="E79" s="35"/>
      <c r="F79" s="58" t="str">
        <f t="shared" si="3"/>
        <v>INS</v>
      </c>
      <c r="G79" s="32" t="e">
        <f>IF(OR(E79="Jeopardy",E79="APP Moonlighting",E79="Differential Pay"),"",Sept[[#This Row],[SysID]])</f>
        <v>#N/A</v>
      </c>
      <c r="H79" s="32" t="e">
        <f>IF(E79="Jeopardy",IF(C79="MD",Relay!$E$7,Relay!$E$8),IF(C79="MD",IF(COUNTIF(G:G,B79)&gt;1,Relay!$E$2,Relay!$E$1),IF(AND(COUNTIF(G:G,B79)&gt;1,COUNTA(A79)&gt;0),Relay!$E$5,Relay!$E$4)))</f>
        <v>#N/A</v>
      </c>
      <c r="I79" s="8">
        <f t="shared" si="4"/>
        <v>0</v>
      </c>
      <c r="J79" s="35"/>
      <c r="K79" s="35"/>
      <c r="L79" s="35"/>
      <c r="M79" s="35"/>
      <c r="N79" s="32" t="e">
        <f>IF(H79=Sept!$E$2,"N",IF(AND(COUNTIF(B:B,B79)=1,D79&gt;14),"Y","N"))</f>
        <v>#N/A</v>
      </c>
      <c r="O79" s="55" t="str">
        <f>IF(COUNT(Sept[[#This Row],[Date]])&gt;0,IF(Sept[[#This Row],[Date]]&gt;14,"Yes","No"),"N/A")</f>
        <v>N/A</v>
      </c>
      <c r="P79" s="55"/>
      <c r="Q79" s="5">
        <f>Relay!A78</f>
        <v>0</v>
      </c>
      <c r="R79" s="5">
        <f>Relay!B78</f>
        <v>77</v>
      </c>
      <c r="S79" s="8">
        <f>IF(Sept[After the 14th?]="No",SUMIF(Sept[SysID],R79,Sept[Pay Amount]),0)+IF(Aug[After the 14th?]="Yes",SUMIF(Aug[SysID],R79,Aug[Pay Amount]),0)</f>
        <v>0</v>
      </c>
      <c r="T79" s="8"/>
      <c r="U79" s="5" t="str">
        <f t="shared" si="5"/>
        <v>N</v>
      </c>
      <c r="X79" s="56"/>
      <c r="Y79" s="56"/>
      <c r="Z79" s="56"/>
      <c r="AA79" s="56"/>
      <c r="AC79" s="56"/>
    </row>
    <row r="80" spans="1:29" x14ac:dyDescent="0.25">
      <c r="A80" s="35"/>
      <c r="B80" s="32" t="e">
        <f>VLOOKUP(A80,Relay!$A$1:$B$50,2,FALSE)</f>
        <v>#N/A</v>
      </c>
      <c r="C80" s="32" t="e">
        <f>VLOOKUP(A80,Relay!$A$2:$C$101,3,FALSE)</f>
        <v>#N/A</v>
      </c>
      <c r="D80" s="39"/>
      <c r="E80" s="35"/>
      <c r="F80" s="58" t="str">
        <f t="shared" si="3"/>
        <v>INS</v>
      </c>
      <c r="G80" s="32" t="e">
        <f>IF(OR(E80="Jeopardy",E80="APP Moonlighting",E80="Differential Pay"),"",Sept[[#This Row],[SysID]])</f>
        <v>#N/A</v>
      </c>
      <c r="H80" s="32" t="e">
        <f>IF(E80="Jeopardy",IF(C80="MD",Relay!$E$7,Relay!$E$8),IF(C80="MD",IF(COUNTIF(G:G,B80)&gt;1,Relay!$E$2,Relay!$E$1),IF(AND(COUNTIF(G:G,B80)&gt;1,COUNTA(A80)&gt;0),Relay!$E$5,Relay!$E$4)))</f>
        <v>#N/A</v>
      </c>
      <c r="I80" s="8">
        <f t="shared" si="4"/>
        <v>0</v>
      </c>
      <c r="J80" s="35"/>
      <c r="K80" s="35"/>
      <c r="L80" s="35"/>
      <c r="M80" s="35"/>
      <c r="N80" s="32" t="e">
        <f>IF(H80=Sept!$E$2,"N",IF(AND(COUNTIF(B:B,B80)=1,D80&gt;14),"Y","N"))</f>
        <v>#N/A</v>
      </c>
      <c r="O80" s="55" t="str">
        <f>IF(COUNT(Sept[[#This Row],[Date]])&gt;0,IF(Sept[[#This Row],[Date]]&gt;14,"Yes","No"),"N/A")</f>
        <v>N/A</v>
      </c>
      <c r="P80" s="55"/>
      <c r="Q80" s="5">
        <f>Relay!A79</f>
        <v>0</v>
      </c>
      <c r="R80" s="5">
        <f>Relay!B79</f>
        <v>78</v>
      </c>
      <c r="S80" s="8">
        <f>IF(Sept[After the 14th?]="No",SUMIF(Sept[SysID],R80,Sept[Pay Amount]),0)+IF(Aug[After the 14th?]="Yes",SUMIF(Aug[SysID],R80,Aug[Pay Amount]),0)</f>
        <v>0</v>
      </c>
      <c r="T80" s="8"/>
      <c r="U80" s="5" t="str">
        <f t="shared" si="5"/>
        <v>N</v>
      </c>
      <c r="X80" s="56"/>
      <c r="Y80" s="56"/>
      <c r="Z80" s="56"/>
      <c r="AA80" s="56"/>
      <c r="AC80" s="56"/>
    </row>
    <row r="81" spans="1:29" x14ac:dyDescent="0.25">
      <c r="A81" s="35"/>
      <c r="B81" s="32" t="e">
        <f>VLOOKUP(A81,Relay!$A$1:$B$50,2,FALSE)</f>
        <v>#N/A</v>
      </c>
      <c r="C81" s="32" t="e">
        <f>VLOOKUP(A81,Relay!$A$2:$C$101,3,FALSE)</f>
        <v>#N/A</v>
      </c>
      <c r="D81" s="39"/>
      <c r="E81" s="35"/>
      <c r="F81" s="58" t="str">
        <f t="shared" si="3"/>
        <v>INS</v>
      </c>
      <c r="G81" s="32" t="e">
        <f>IF(OR(E81="Jeopardy",E81="APP Moonlighting",E81="Differential Pay"),"",Sept[[#This Row],[SysID]])</f>
        <v>#N/A</v>
      </c>
      <c r="H81" s="32" t="e">
        <f>IF(E81="Jeopardy",IF(C81="MD",Relay!$E$7,Relay!$E$8),IF(C81="MD",IF(COUNTIF(G:G,B81)&gt;1,Relay!$E$2,Relay!$E$1),IF(AND(COUNTIF(G:G,B81)&gt;1,COUNTA(A81)&gt;0),Relay!$E$5,Relay!$E$4)))</f>
        <v>#N/A</v>
      </c>
      <c r="I81" s="8">
        <f t="shared" si="4"/>
        <v>0</v>
      </c>
      <c r="J81" s="35"/>
      <c r="K81" s="35"/>
      <c r="L81" s="35"/>
      <c r="M81" s="35"/>
      <c r="N81" s="32" t="e">
        <f>IF(H81=Sept!$E$2,"N",IF(AND(COUNTIF(B:B,B81)=1,D81&gt;14),"Y","N"))</f>
        <v>#N/A</v>
      </c>
      <c r="O81" s="55" t="str">
        <f>IF(COUNT(Sept[[#This Row],[Date]])&gt;0,IF(Sept[[#This Row],[Date]]&gt;14,"Yes","No"),"N/A")</f>
        <v>N/A</v>
      </c>
      <c r="P81" s="55"/>
      <c r="Q81" s="5">
        <f>Relay!A80</f>
        <v>0</v>
      </c>
      <c r="R81" s="5">
        <f>Relay!B80</f>
        <v>79</v>
      </c>
      <c r="S81" s="8">
        <f>IF(Sept[After the 14th?]="No",SUMIF(Sept[SysID],R81,Sept[Pay Amount]),0)+IF(Aug[After the 14th?]="Yes",SUMIF(Aug[SysID],R81,Aug[Pay Amount]),0)</f>
        <v>0</v>
      </c>
      <c r="T81" s="8"/>
      <c r="U81" s="5" t="str">
        <f t="shared" si="5"/>
        <v>N</v>
      </c>
      <c r="X81" s="56"/>
      <c r="Y81" s="56"/>
      <c r="Z81" s="56"/>
      <c r="AA81" s="56"/>
      <c r="AC81" s="56"/>
    </row>
    <row r="82" spans="1:29" x14ac:dyDescent="0.25">
      <c r="A82" s="35"/>
      <c r="B82" s="32" t="e">
        <f>VLOOKUP(A82,Relay!$A$1:$B$50,2,FALSE)</f>
        <v>#N/A</v>
      </c>
      <c r="C82" s="32" t="e">
        <f>VLOOKUP(A82,Relay!$A$2:$C$101,3,FALSE)</f>
        <v>#N/A</v>
      </c>
      <c r="D82" s="39"/>
      <c r="E82" s="35"/>
      <c r="F82" s="58" t="str">
        <f t="shared" si="3"/>
        <v>INS</v>
      </c>
      <c r="G82" s="32" t="e">
        <f>IF(OR(E82="Jeopardy",E82="APP Moonlighting",E82="Differential Pay"),"",Sept[[#This Row],[SysID]])</f>
        <v>#N/A</v>
      </c>
      <c r="H82" s="32" t="e">
        <f>IF(E82="Jeopardy",IF(C82="MD",Relay!$E$7,Relay!$E$8),IF(C82="MD",IF(COUNTIF(G:G,B82)&gt;1,Relay!$E$2,Relay!$E$1),IF(AND(COUNTIF(G:G,B82)&gt;1,COUNTA(A82)&gt;0),Relay!$E$5,Relay!$E$4)))</f>
        <v>#N/A</v>
      </c>
      <c r="I82" s="8">
        <f t="shared" si="4"/>
        <v>0</v>
      </c>
      <c r="J82" s="35"/>
      <c r="K82" s="35"/>
      <c r="L82" s="35"/>
      <c r="M82" s="35"/>
      <c r="N82" s="32" t="e">
        <f>IF(H82=Sept!$E$2,"N",IF(AND(COUNTIF(B:B,B82)=1,D82&gt;14),"Y","N"))</f>
        <v>#N/A</v>
      </c>
      <c r="O82" s="55" t="str">
        <f>IF(COUNT(Sept[[#This Row],[Date]])&gt;0,IF(Sept[[#This Row],[Date]]&gt;14,"Yes","No"),"N/A")</f>
        <v>N/A</v>
      </c>
      <c r="P82" s="55"/>
      <c r="Q82" s="5">
        <f>Relay!A81</f>
        <v>0</v>
      </c>
      <c r="R82" s="5">
        <f>Relay!B81</f>
        <v>80</v>
      </c>
      <c r="S82" s="8">
        <f>IF(Sept[After the 14th?]="No",SUMIF(Sept[SysID],R82,Sept[Pay Amount]),0)+IF(Aug[After the 14th?]="Yes",SUMIF(Aug[SysID],R82,Aug[Pay Amount]),0)</f>
        <v>0</v>
      </c>
      <c r="T82" s="8"/>
      <c r="U82" s="5" t="str">
        <f t="shared" si="5"/>
        <v>N</v>
      </c>
      <c r="X82" s="56"/>
      <c r="Y82" s="56"/>
      <c r="Z82" s="56"/>
      <c r="AA82" s="56"/>
      <c r="AC82" s="56"/>
    </row>
    <row r="83" spans="1:29" x14ac:dyDescent="0.25">
      <c r="A83" s="35"/>
      <c r="B83" s="32" t="e">
        <f>VLOOKUP(A83,Relay!$A$1:$B$50,2,FALSE)</f>
        <v>#N/A</v>
      </c>
      <c r="C83" s="32" t="e">
        <f>VLOOKUP(A83,Relay!$A$2:$C$101,3,FALSE)</f>
        <v>#N/A</v>
      </c>
      <c r="D83" s="39"/>
      <c r="E83" s="35"/>
      <c r="F83" s="58" t="str">
        <f t="shared" si="3"/>
        <v>INS</v>
      </c>
      <c r="G83" s="32" t="e">
        <f>IF(OR(E83="Jeopardy",E83="APP Moonlighting",E83="Differential Pay"),"",Sept[[#This Row],[SysID]])</f>
        <v>#N/A</v>
      </c>
      <c r="H83" s="32" t="e">
        <f>IF(E83="Jeopardy",IF(C83="MD",Relay!$E$7,Relay!$E$8),IF(C83="MD",IF(COUNTIF(G:G,B83)&gt;1,Relay!$E$2,Relay!$E$1),IF(AND(COUNTIF(G:G,B83)&gt;1,COUNTA(A83)&gt;0),Relay!$E$5,Relay!$E$4)))</f>
        <v>#N/A</v>
      </c>
      <c r="I83" s="8">
        <f t="shared" si="4"/>
        <v>0</v>
      </c>
      <c r="J83" s="35"/>
      <c r="K83" s="35"/>
      <c r="L83" s="35"/>
      <c r="M83" s="35"/>
      <c r="N83" s="32" t="e">
        <f>IF(H83=Sept!$E$2,"N",IF(AND(COUNTIF(B:B,B83)=1,D83&gt;14),"Y","N"))</f>
        <v>#N/A</v>
      </c>
      <c r="O83" s="55" t="str">
        <f>IF(COUNT(Sept[[#This Row],[Date]])&gt;0,IF(Sept[[#This Row],[Date]]&gt;14,"Yes","No"),"N/A")</f>
        <v>N/A</v>
      </c>
      <c r="P83" s="55"/>
      <c r="Q83" s="5">
        <f>Relay!A82</f>
        <v>0</v>
      </c>
      <c r="R83" s="5">
        <f>Relay!B82</f>
        <v>81</v>
      </c>
      <c r="S83" s="8">
        <f>IF(Sept[After the 14th?]="No",SUMIF(Sept[SysID],R83,Sept[Pay Amount]),0)+IF(Aug[After the 14th?]="Yes",SUMIF(Aug[SysID],R83,Aug[Pay Amount]),0)</f>
        <v>0</v>
      </c>
      <c r="T83" s="8"/>
      <c r="U83" s="5" t="str">
        <f t="shared" si="5"/>
        <v>N</v>
      </c>
      <c r="X83" s="56"/>
      <c r="Y83" s="56"/>
      <c r="Z83" s="56"/>
      <c r="AA83" s="56"/>
      <c r="AC83" s="56"/>
    </row>
    <row r="84" spans="1:29" x14ac:dyDescent="0.25">
      <c r="A84" s="35"/>
      <c r="B84" s="32" t="e">
        <f>VLOOKUP(A84,Relay!$A$1:$B$50,2,FALSE)</f>
        <v>#N/A</v>
      </c>
      <c r="C84" s="32" t="e">
        <f>VLOOKUP(A84,Relay!$A$2:$C$101,3,FALSE)</f>
        <v>#N/A</v>
      </c>
      <c r="D84" s="39"/>
      <c r="E84" s="35"/>
      <c r="F84" s="58" t="str">
        <f t="shared" si="3"/>
        <v>INS</v>
      </c>
      <c r="G84" s="32" t="e">
        <f>IF(OR(E84="Jeopardy",E84="APP Moonlighting",E84="Differential Pay"),"",Sept[[#This Row],[SysID]])</f>
        <v>#N/A</v>
      </c>
      <c r="H84" s="32" t="e">
        <f>IF(E84="Jeopardy",IF(C84="MD",Relay!$E$7,Relay!$E$8),IF(C84="MD",IF(COUNTIF(G:G,B84)&gt;1,Relay!$E$2,Relay!$E$1),IF(AND(COUNTIF(G:G,B84)&gt;1,COUNTA(A84)&gt;0),Relay!$E$5,Relay!$E$4)))</f>
        <v>#N/A</v>
      </c>
      <c r="I84" s="8">
        <f t="shared" si="4"/>
        <v>0</v>
      </c>
      <c r="J84" s="35"/>
      <c r="K84" s="35"/>
      <c r="L84" s="35"/>
      <c r="M84" s="35"/>
      <c r="N84" s="32" t="e">
        <f>IF(H84=Sept!$E$2,"N",IF(AND(COUNTIF(B:B,B84)=1,D84&gt;14),"Y","N"))</f>
        <v>#N/A</v>
      </c>
      <c r="O84" s="55" t="str">
        <f>IF(COUNT(Sept[[#This Row],[Date]])&gt;0,IF(Sept[[#This Row],[Date]]&gt;14,"Yes","No"),"N/A")</f>
        <v>N/A</v>
      </c>
      <c r="P84" s="55"/>
      <c r="Q84" s="5">
        <f>Relay!A83</f>
        <v>0</v>
      </c>
      <c r="R84" s="5">
        <f>Relay!B83</f>
        <v>82</v>
      </c>
      <c r="S84" s="8">
        <f>IF(Sept[After the 14th?]="No",SUMIF(Sept[SysID],R84,Sept[Pay Amount]),0)+IF(Aug[After the 14th?]="Yes",SUMIF(Aug[SysID],R84,Aug[Pay Amount]),0)</f>
        <v>0</v>
      </c>
      <c r="T84" s="8"/>
      <c r="U84" s="5" t="str">
        <f t="shared" si="5"/>
        <v>N</v>
      </c>
      <c r="X84" s="56"/>
      <c r="Y84" s="56"/>
      <c r="Z84" s="56"/>
      <c r="AA84" s="56"/>
      <c r="AC84" s="56"/>
    </row>
    <row r="85" spans="1:29" x14ac:dyDescent="0.25">
      <c r="A85" s="35"/>
      <c r="B85" s="32" t="e">
        <f>VLOOKUP(A85,Relay!$A$1:$B$50,2,FALSE)</f>
        <v>#N/A</v>
      </c>
      <c r="C85" s="32" t="e">
        <f>VLOOKUP(A85,Relay!$A$2:$C$101,3,FALSE)</f>
        <v>#N/A</v>
      </c>
      <c r="D85" s="39"/>
      <c r="E85" s="35"/>
      <c r="F85" s="58" t="str">
        <f t="shared" si="3"/>
        <v>INS</v>
      </c>
      <c r="G85" s="32" t="e">
        <f>IF(OR(E85="Jeopardy",E85="APP Moonlighting",E85="Differential Pay"),"",Sept[[#This Row],[SysID]])</f>
        <v>#N/A</v>
      </c>
      <c r="H85" s="32" t="e">
        <f>IF(E85="Jeopardy",IF(C85="MD",Relay!$E$7,Relay!$E$8),IF(C85="MD",IF(COUNTIF(G:G,B85)&gt;1,Relay!$E$2,Relay!$E$1),IF(AND(COUNTIF(G:G,B85)&gt;1,COUNTA(A85)&gt;0),Relay!$E$5,Relay!$E$4)))</f>
        <v>#N/A</v>
      </c>
      <c r="I85" s="8">
        <f t="shared" si="4"/>
        <v>0</v>
      </c>
      <c r="J85" s="35"/>
      <c r="K85" s="35"/>
      <c r="L85" s="35"/>
      <c r="M85" s="35"/>
      <c r="N85" s="32" t="e">
        <f>IF(H85=Sept!$E$2,"N",IF(AND(COUNTIF(B:B,B85)=1,D85&gt;14),"Y","N"))</f>
        <v>#N/A</v>
      </c>
      <c r="O85" s="55" t="str">
        <f>IF(COUNT(Sept[[#This Row],[Date]])&gt;0,IF(Sept[[#This Row],[Date]]&gt;14,"Yes","No"),"N/A")</f>
        <v>N/A</v>
      </c>
      <c r="P85" s="55"/>
      <c r="Q85" s="5">
        <f>Relay!A84</f>
        <v>0</v>
      </c>
      <c r="R85" s="5">
        <f>Relay!B84</f>
        <v>83</v>
      </c>
      <c r="S85" s="8">
        <f>IF(Sept[After the 14th?]="No",SUMIF(Sept[SysID],R85,Sept[Pay Amount]),0)+IF(Aug[After the 14th?]="Yes",SUMIF(Aug[SysID],R85,Aug[Pay Amount]),0)</f>
        <v>0</v>
      </c>
      <c r="T85" s="8"/>
      <c r="U85" s="5" t="str">
        <f t="shared" si="5"/>
        <v>N</v>
      </c>
      <c r="X85" s="56"/>
      <c r="Y85" s="56"/>
      <c r="Z85" s="56"/>
      <c r="AA85" s="56"/>
      <c r="AC85" s="56"/>
    </row>
    <row r="86" spans="1:29" x14ac:dyDescent="0.25">
      <c r="A86" s="35"/>
      <c r="B86" s="32" t="e">
        <f>VLOOKUP(A86,Relay!$A$1:$B$50,2,FALSE)</f>
        <v>#N/A</v>
      </c>
      <c r="C86" s="32" t="e">
        <f>VLOOKUP(A86,Relay!$A$2:$C$101,3,FALSE)</f>
        <v>#N/A</v>
      </c>
      <c r="D86" s="39"/>
      <c r="E86" s="35"/>
      <c r="F86" s="58" t="str">
        <f t="shared" si="3"/>
        <v>INS</v>
      </c>
      <c r="G86" s="32" t="e">
        <f>IF(OR(E86="Jeopardy",E86="APP Moonlighting",E86="Differential Pay"),"",Sept[[#This Row],[SysID]])</f>
        <v>#N/A</v>
      </c>
      <c r="H86" s="32" t="e">
        <f>IF(E86="Jeopardy",IF(C86="MD",Relay!$E$7,Relay!$E$8),IF(C86="MD",IF(COUNTIF(G:G,B86)&gt;1,Relay!$E$2,Relay!$E$1),IF(AND(COUNTIF(G:G,B86)&gt;1,COUNTA(A86)&gt;0),Relay!$E$5,Relay!$E$4)))</f>
        <v>#N/A</v>
      </c>
      <c r="I86" s="8">
        <f t="shared" si="4"/>
        <v>0</v>
      </c>
      <c r="J86" s="35"/>
      <c r="K86" s="35"/>
      <c r="L86" s="35"/>
      <c r="M86" s="35"/>
      <c r="N86" s="32" t="e">
        <f>IF(H86=Sept!$E$2,"N",IF(AND(COUNTIF(B:B,B86)=1,D86&gt;14),"Y","N"))</f>
        <v>#N/A</v>
      </c>
      <c r="O86" s="55" t="str">
        <f>IF(COUNT(Sept[[#This Row],[Date]])&gt;0,IF(Sept[[#This Row],[Date]]&gt;14,"Yes","No"),"N/A")</f>
        <v>N/A</v>
      </c>
      <c r="P86" s="55"/>
      <c r="Q86" s="5">
        <f>Relay!A85</f>
        <v>0</v>
      </c>
      <c r="R86" s="5">
        <f>Relay!B85</f>
        <v>84</v>
      </c>
      <c r="S86" s="8">
        <f>IF(Sept[After the 14th?]="No",SUMIF(Sept[SysID],R86,Sept[Pay Amount]),0)+IF(Aug[After the 14th?]="Yes",SUMIF(Aug[SysID],R86,Aug[Pay Amount]),0)</f>
        <v>0</v>
      </c>
      <c r="T86" s="8"/>
      <c r="U86" s="5" t="str">
        <f t="shared" si="5"/>
        <v>N</v>
      </c>
      <c r="X86" s="56"/>
      <c r="Y86" s="56"/>
      <c r="Z86" s="56"/>
      <c r="AA86" s="56"/>
      <c r="AC86" s="56"/>
    </row>
    <row r="87" spans="1:29" x14ac:dyDescent="0.25">
      <c r="A87" s="35"/>
      <c r="B87" s="32" t="e">
        <f>VLOOKUP(A87,Relay!$A$1:$B$50,2,FALSE)</f>
        <v>#N/A</v>
      </c>
      <c r="C87" s="32" t="e">
        <f>VLOOKUP(A87,Relay!$A$2:$C$101,3,FALSE)</f>
        <v>#N/A</v>
      </c>
      <c r="D87" s="39"/>
      <c r="E87" s="35"/>
      <c r="F87" s="58" t="str">
        <f t="shared" si="3"/>
        <v>INS</v>
      </c>
      <c r="G87" s="32" t="e">
        <f>IF(OR(E87="Jeopardy",E87="APP Moonlighting",E87="Differential Pay"),"",Sept[[#This Row],[SysID]])</f>
        <v>#N/A</v>
      </c>
      <c r="H87" s="32" t="e">
        <f>IF(E87="Jeopardy",IF(C87="MD",Relay!$E$7,Relay!$E$8),IF(C87="MD",IF(COUNTIF(G:G,B87)&gt;1,Relay!$E$2,Relay!$E$1),IF(AND(COUNTIF(G:G,B87)&gt;1,COUNTA(A87)&gt;0),Relay!$E$5,Relay!$E$4)))</f>
        <v>#N/A</v>
      </c>
      <c r="I87" s="8">
        <f t="shared" si="4"/>
        <v>0</v>
      </c>
      <c r="J87" s="35"/>
      <c r="K87" s="35"/>
      <c r="L87" s="35"/>
      <c r="M87" s="35"/>
      <c r="N87" s="32" t="e">
        <f>IF(H87=Sept!$E$2,"N",IF(AND(COUNTIF(B:B,B87)=1,D87&gt;14),"Y","N"))</f>
        <v>#N/A</v>
      </c>
      <c r="O87" s="55" t="str">
        <f>IF(COUNT(Sept[[#This Row],[Date]])&gt;0,IF(Sept[[#This Row],[Date]]&gt;14,"Yes","No"),"N/A")</f>
        <v>N/A</v>
      </c>
      <c r="P87" s="55"/>
      <c r="Q87" s="5">
        <f>Relay!A86</f>
        <v>0</v>
      </c>
      <c r="R87" s="5">
        <f>Relay!B86</f>
        <v>85</v>
      </c>
      <c r="S87" s="8">
        <f>IF(Sept[After the 14th?]="No",SUMIF(Sept[SysID],R87,Sept[Pay Amount]),0)+IF(Aug[After the 14th?]="Yes",SUMIF(Aug[SysID],R87,Aug[Pay Amount]),0)</f>
        <v>0</v>
      </c>
      <c r="T87" s="8"/>
      <c r="U87" s="5" t="str">
        <f t="shared" si="5"/>
        <v>N</v>
      </c>
      <c r="X87" s="56"/>
      <c r="Y87" s="56"/>
      <c r="Z87" s="56"/>
      <c r="AA87" s="56"/>
      <c r="AC87" s="56"/>
    </row>
    <row r="88" spans="1:29" x14ac:dyDescent="0.25">
      <c r="A88" s="35"/>
      <c r="B88" s="32" t="e">
        <f>VLOOKUP(A88,Relay!$A$1:$B$50,2,FALSE)</f>
        <v>#N/A</v>
      </c>
      <c r="C88" s="32" t="e">
        <f>VLOOKUP(A88,Relay!$A$2:$C$101,3,FALSE)</f>
        <v>#N/A</v>
      </c>
      <c r="D88" s="39"/>
      <c r="E88" s="35"/>
      <c r="F88" s="58" t="str">
        <f t="shared" si="3"/>
        <v>INS</v>
      </c>
      <c r="G88" s="32" t="e">
        <f>IF(OR(E88="Jeopardy",E88="APP Moonlighting",E88="Differential Pay"),"",Sept[[#This Row],[SysID]])</f>
        <v>#N/A</v>
      </c>
      <c r="H88" s="32" t="e">
        <f>IF(E88="Jeopardy",IF(C88="MD",Relay!$E$7,Relay!$E$8),IF(C88="MD",IF(COUNTIF(G:G,B88)&gt;1,Relay!$E$2,Relay!$E$1),IF(AND(COUNTIF(G:G,B88)&gt;1,COUNTA(A88)&gt;0),Relay!$E$5,Relay!$E$4)))</f>
        <v>#N/A</v>
      </c>
      <c r="I88" s="8">
        <f t="shared" si="4"/>
        <v>0</v>
      </c>
      <c r="J88" s="35"/>
      <c r="K88" s="35"/>
      <c r="L88" s="35"/>
      <c r="M88" s="35"/>
      <c r="N88" s="32" t="e">
        <f>IF(H88=Sept!$E$2,"N",IF(AND(COUNTIF(B:B,B88)=1,D88&gt;14),"Y","N"))</f>
        <v>#N/A</v>
      </c>
      <c r="O88" s="55" t="str">
        <f>IF(COUNT(Sept[[#This Row],[Date]])&gt;0,IF(Sept[[#This Row],[Date]]&gt;14,"Yes","No"),"N/A")</f>
        <v>N/A</v>
      </c>
      <c r="P88" s="55"/>
      <c r="Q88" s="5">
        <f>Relay!A87</f>
        <v>0</v>
      </c>
      <c r="R88" s="5">
        <f>Relay!B87</f>
        <v>86</v>
      </c>
      <c r="S88" s="8">
        <f>IF(Sept[After the 14th?]="No",SUMIF(Sept[SysID],R88,Sept[Pay Amount]),0)+IF(Aug[After the 14th?]="Yes",SUMIF(Aug[SysID],R88,Aug[Pay Amount]),0)</f>
        <v>0</v>
      </c>
      <c r="T88" s="8"/>
      <c r="U88" s="5" t="str">
        <f t="shared" si="5"/>
        <v>N</v>
      </c>
      <c r="X88" s="56"/>
      <c r="Y88" s="56"/>
      <c r="Z88" s="56"/>
      <c r="AA88" s="56"/>
      <c r="AC88" s="56"/>
    </row>
    <row r="89" spans="1:29" x14ac:dyDescent="0.25">
      <c r="A89" s="35"/>
      <c r="B89" s="32" t="e">
        <f>VLOOKUP(A89,Relay!$A$1:$B$50,2,FALSE)</f>
        <v>#N/A</v>
      </c>
      <c r="C89" s="32" t="e">
        <f>VLOOKUP(A89,Relay!$A$2:$C$101,3,FALSE)</f>
        <v>#N/A</v>
      </c>
      <c r="D89" s="39"/>
      <c r="E89" s="35"/>
      <c r="F89" s="58" t="str">
        <f t="shared" si="3"/>
        <v>INS</v>
      </c>
      <c r="G89" s="32" t="e">
        <f>IF(OR(E89="Jeopardy",E89="APP Moonlighting",E89="Differential Pay"),"",Sept[[#This Row],[SysID]])</f>
        <v>#N/A</v>
      </c>
      <c r="H89" s="32" t="e">
        <f>IF(E89="Jeopardy",IF(C89="MD",Relay!$E$7,Relay!$E$8),IF(C89="MD",IF(COUNTIF(G:G,B89)&gt;1,Relay!$E$2,Relay!$E$1),IF(AND(COUNTIF(G:G,B89)&gt;1,COUNTA(A89)&gt;0),Relay!$E$5,Relay!$E$4)))</f>
        <v>#N/A</v>
      </c>
      <c r="I89" s="8">
        <f t="shared" si="4"/>
        <v>0</v>
      </c>
      <c r="J89" s="35"/>
      <c r="K89" s="35"/>
      <c r="L89" s="35"/>
      <c r="M89" s="35"/>
      <c r="N89" s="32" t="e">
        <f>IF(H89=Sept!$E$2,"N",IF(AND(COUNTIF(B:B,B89)=1,D89&gt;14),"Y","N"))</f>
        <v>#N/A</v>
      </c>
      <c r="O89" s="55" t="str">
        <f>IF(COUNT(Sept[[#This Row],[Date]])&gt;0,IF(Sept[[#This Row],[Date]]&gt;14,"Yes","No"),"N/A")</f>
        <v>N/A</v>
      </c>
      <c r="P89" s="55"/>
      <c r="Q89" s="5">
        <f>Relay!A88</f>
        <v>0</v>
      </c>
      <c r="R89" s="5">
        <f>Relay!B88</f>
        <v>87</v>
      </c>
      <c r="S89" s="8">
        <f>IF(Sept[After the 14th?]="No",SUMIF(Sept[SysID],R89,Sept[Pay Amount]),0)+IF(Aug[After the 14th?]="Yes",SUMIF(Aug[SysID],R89,Aug[Pay Amount]),0)</f>
        <v>0</v>
      </c>
      <c r="T89" s="8"/>
      <c r="U89" s="5" t="str">
        <f t="shared" si="5"/>
        <v>N</v>
      </c>
      <c r="X89" s="56"/>
      <c r="Y89" s="56"/>
      <c r="Z89" s="56"/>
      <c r="AA89" s="56"/>
      <c r="AC89" s="56"/>
    </row>
    <row r="90" spans="1:29" x14ac:dyDescent="0.25">
      <c r="A90" s="35"/>
      <c r="B90" s="32" t="e">
        <f>VLOOKUP(A90,Relay!$A$1:$B$50,2,FALSE)</f>
        <v>#N/A</v>
      </c>
      <c r="C90" s="32" t="e">
        <f>VLOOKUP(A90,Relay!$A$2:$C$101,3,FALSE)</f>
        <v>#N/A</v>
      </c>
      <c r="D90" s="39"/>
      <c r="E90" s="35"/>
      <c r="F90" s="58" t="str">
        <f t="shared" si="3"/>
        <v>INS</v>
      </c>
      <c r="G90" s="32" t="e">
        <f>IF(OR(E90="Jeopardy",E90="APP Moonlighting",E90="Differential Pay"),"",Sept[[#This Row],[SysID]])</f>
        <v>#N/A</v>
      </c>
      <c r="H90" s="32" t="e">
        <f>IF(E90="Jeopardy",IF(C90="MD",Relay!$E$7,Relay!$E$8),IF(C90="MD",IF(COUNTIF(G:G,B90)&gt;1,Relay!$E$2,Relay!$E$1),IF(AND(COUNTIF(G:G,B90)&gt;1,COUNTA(A90)&gt;0),Relay!$E$5,Relay!$E$4)))</f>
        <v>#N/A</v>
      </c>
      <c r="I90" s="8">
        <f t="shared" si="4"/>
        <v>0</v>
      </c>
      <c r="J90" s="35"/>
      <c r="K90" s="35"/>
      <c r="L90" s="35"/>
      <c r="M90" s="35"/>
      <c r="N90" s="32" t="e">
        <f>IF(H90=Sept!$E$2,"N",IF(AND(COUNTIF(B:B,B90)=1,D90&gt;14),"Y","N"))</f>
        <v>#N/A</v>
      </c>
      <c r="O90" s="55" t="str">
        <f>IF(COUNT(Sept[[#This Row],[Date]])&gt;0,IF(Sept[[#This Row],[Date]]&gt;14,"Yes","No"),"N/A")</f>
        <v>N/A</v>
      </c>
      <c r="P90" s="55"/>
      <c r="Q90" s="5">
        <f>Relay!A89</f>
        <v>0</v>
      </c>
      <c r="R90" s="5">
        <f>Relay!B89</f>
        <v>88</v>
      </c>
      <c r="S90" s="8">
        <f>IF(Sept[After the 14th?]="No",SUMIF(Sept[SysID],R90,Sept[Pay Amount]),0)+IF(Aug[After the 14th?]="Yes",SUMIF(Aug[SysID],R90,Aug[Pay Amount]),0)</f>
        <v>0</v>
      </c>
      <c r="T90" s="8"/>
      <c r="U90" s="5" t="str">
        <f t="shared" si="5"/>
        <v>N</v>
      </c>
      <c r="X90" s="56"/>
      <c r="Y90" s="56"/>
      <c r="Z90" s="56"/>
      <c r="AA90" s="56"/>
      <c r="AC90" s="56"/>
    </row>
    <row r="91" spans="1:29" x14ac:dyDescent="0.25">
      <c r="A91" s="35"/>
      <c r="B91" s="32" t="e">
        <f>VLOOKUP(A91,Relay!$A$1:$B$50,2,FALSE)</f>
        <v>#N/A</v>
      </c>
      <c r="C91" s="32" t="e">
        <f>VLOOKUP(A91,Relay!$A$2:$C$101,3,FALSE)</f>
        <v>#N/A</v>
      </c>
      <c r="D91" s="39"/>
      <c r="E91" s="35"/>
      <c r="F91" s="58" t="str">
        <f t="shared" si="3"/>
        <v>INS</v>
      </c>
      <c r="G91" s="32" t="e">
        <f>IF(OR(E91="Jeopardy",E91="APP Moonlighting",E91="Differential Pay"),"",Sept[[#This Row],[SysID]])</f>
        <v>#N/A</v>
      </c>
      <c r="H91" s="32" t="e">
        <f>IF(E91="Jeopardy",IF(C91="MD",Relay!$E$7,Relay!$E$8),IF(C91="MD",IF(COUNTIF(G:G,B91)&gt;1,Relay!$E$2,Relay!$E$1),IF(AND(COUNTIF(G:G,B91)&gt;1,COUNTA(A91)&gt;0),Relay!$E$5,Relay!$E$4)))</f>
        <v>#N/A</v>
      </c>
      <c r="I91" s="8">
        <f t="shared" si="4"/>
        <v>0</v>
      </c>
      <c r="J91" s="35"/>
      <c r="K91" s="35"/>
      <c r="L91" s="35"/>
      <c r="M91" s="35"/>
      <c r="N91" s="32" t="e">
        <f>IF(H91=Sept!$E$2,"N",IF(AND(COUNTIF(B:B,B91)=1,D91&gt;14),"Y","N"))</f>
        <v>#N/A</v>
      </c>
      <c r="O91" s="55" t="str">
        <f>IF(COUNT(Sept[[#This Row],[Date]])&gt;0,IF(Sept[[#This Row],[Date]]&gt;14,"Yes","No"),"N/A")</f>
        <v>N/A</v>
      </c>
      <c r="P91" s="55"/>
      <c r="Q91" s="5">
        <f>Relay!A90</f>
        <v>0</v>
      </c>
      <c r="R91" s="5">
        <f>Relay!B90</f>
        <v>89</v>
      </c>
      <c r="S91" s="8">
        <f>IF(Sept[After the 14th?]="No",SUMIF(Sept[SysID],R91,Sept[Pay Amount]),0)+IF(Aug[After the 14th?]="Yes",SUMIF(Aug[SysID],R91,Aug[Pay Amount]),0)</f>
        <v>0</v>
      </c>
      <c r="T91" s="8"/>
      <c r="U91" s="5" t="str">
        <f t="shared" si="5"/>
        <v>N</v>
      </c>
      <c r="X91" s="56"/>
      <c r="Y91" s="56"/>
      <c r="Z91" s="56"/>
      <c r="AA91" s="56"/>
      <c r="AC91" s="56"/>
    </row>
    <row r="92" spans="1:29" x14ac:dyDescent="0.25">
      <c r="A92" s="35"/>
      <c r="B92" s="32" t="e">
        <f>VLOOKUP(A92,Relay!$A$1:$B$50,2,FALSE)</f>
        <v>#N/A</v>
      </c>
      <c r="C92" s="32" t="e">
        <f>VLOOKUP(A92,Relay!$A$2:$C$101,3,FALSE)</f>
        <v>#N/A</v>
      </c>
      <c r="D92" s="39"/>
      <c r="E92" s="35"/>
      <c r="F92" s="58" t="str">
        <f t="shared" si="3"/>
        <v>INS</v>
      </c>
      <c r="G92" s="32" t="e">
        <f>IF(OR(E92="Jeopardy",E92="APP Moonlighting",E92="Differential Pay"),"",Sept[[#This Row],[SysID]])</f>
        <v>#N/A</v>
      </c>
      <c r="H92" s="32" t="e">
        <f>IF(E92="Jeopardy",IF(C92="MD",Relay!$E$7,Relay!$E$8),IF(C92="MD",IF(COUNTIF(G:G,B92)&gt;1,Relay!$E$2,Relay!$E$1),IF(AND(COUNTIF(G:G,B92)&gt;1,COUNTA(A92)&gt;0),Relay!$E$5,Relay!$E$4)))</f>
        <v>#N/A</v>
      </c>
      <c r="I92" s="8">
        <f t="shared" si="4"/>
        <v>0</v>
      </c>
      <c r="J92" s="35"/>
      <c r="K92" s="35"/>
      <c r="L92" s="35"/>
      <c r="M92" s="35"/>
      <c r="N92" s="32" t="e">
        <f>IF(H92=Sept!$E$2,"N",IF(AND(COUNTIF(B:B,B92)=1,D92&gt;14),"Y","N"))</f>
        <v>#N/A</v>
      </c>
      <c r="O92" s="55" t="str">
        <f>IF(COUNT(Sept[[#This Row],[Date]])&gt;0,IF(Sept[[#This Row],[Date]]&gt;14,"Yes","No"),"N/A")</f>
        <v>N/A</v>
      </c>
      <c r="P92" s="55"/>
      <c r="Q92" s="5">
        <f>Relay!A91</f>
        <v>0</v>
      </c>
      <c r="R92" s="5">
        <f>Relay!B91</f>
        <v>90</v>
      </c>
      <c r="S92" s="8">
        <f>IF(Sept[After the 14th?]="No",SUMIF(Sept[SysID],R92,Sept[Pay Amount]),0)+IF(Aug[After the 14th?]="Yes",SUMIF(Aug[SysID],R92,Aug[Pay Amount]),0)</f>
        <v>0</v>
      </c>
      <c r="T92" s="8"/>
      <c r="U92" s="5" t="str">
        <f t="shared" si="5"/>
        <v>N</v>
      </c>
      <c r="X92" s="56"/>
      <c r="Y92" s="56"/>
      <c r="Z92" s="56"/>
      <c r="AA92" s="56"/>
      <c r="AC92" s="56"/>
    </row>
    <row r="93" spans="1:29" x14ac:dyDescent="0.25">
      <c r="A93" s="35"/>
      <c r="B93" s="32" t="e">
        <f>VLOOKUP(A93,Relay!$A$1:$B$50,2,FALSE)</f>
        <v>#N/A</v>
      </c>
      <c r="C93" s="32" t="e">
        <f>VLOOKUP(A93,Relay!$A$2:$C$101,3,FALSE)</f>
        <v>#N/A</v>
      </c>
      <c r="D93" s="39"/>
      <c r="E93" s="35"/>
      <c r="F93" s="58" t="str">
        <f t="shared" si="3"/>
        <v>INS</v>
      </c>
      <c r="G93" s="32" t="e">
        <f>IF(OR(E93="Jeopardy",E93="APP Moonlighting",E93="Differential Pay"),"",Sept[[#This Row],[SysID]])</f>
        <v>#N/A</v>
      </c>
      <c r="H93" s="32" t="e">
        <f>IF(E93="Jeopardy",IF(C93="MD",Relay!$E$7,Relay!$E$8),IF(C93="MD",IF(COUNTIF(G:G,B93)&gt;1,Relay!$E$2,Relay!$E$1),IF(AND(COUNTIF(G:G,B93)&gt;1,COUNTA(A93)&gt;0),Relay!$E$5,Relay!$E$4)))</f>
        <v>#N/A</v>
      </c>
      <c r="I93" s="8">
        <f t="shared" si="4"/>
        <v>0</v>
      </c>
      <c r="J93" s="35"/>
      <c r="K93" s="35"/>
      <c r="L93" s="35"/>
      <c r="M93" s="35"/>
      <c r="N93" s="32" t="e">
        <f>IF(H93=Sept!$E$2,"N",IF(AND(COUNTIF(B:B,B93)=1,D93&gt;14),"Y","N"))</f>
        <v>#N/A</v>
      </c>
      <c r="O93" s="55" t="str">
        <f>IF(COUNT(Sept[[#This Row],[Date]])&gt;0,IF(Sept[[#This Row],[Date]]&gt;14,"Yes","No"),"N/A")</f>
        <v>N/A</v>
      </c>
      <c r="P93" s="55"/>
      <c r="Q93" s="5">
        <f>Relay!A92</f>
        <v>0</v>
      </c>
      <c r="R93" s="5">
        <f>Relay!B92</f>
        <v>91</v>
      </c>
      <c r="S93" s="8">
        <f>IF(Sept[After the 14th?]="No",SUMIF(Sept[SysID],R93,Sept[Pay Amount]),0)+IF(Aug[After the 14th?]="Yes",SUMIF(Aug[SysID],R93,Aug[Pay Amount]),0)</f>
        <v>0</v>
      </c>
      <c r="T93" s="8"/>
      <c r="U93" s="5" t="str">
        <f t="shared" si="5"/>
        <v>N</v>
      </c>
      <c r="X93" s="56"/>
      <c r="Y93" s="56"/>
      <c r="Z93" s="56"/>
      <c r="AA93" s="56"/>
      <c r="AC93" s="56"/>
    </row>
    <row r="94" spans="1:29" x14ac:dyDescent="0.25">
      <c r="A94" s="35"/>
      <c r="B94" s="32" t="e">
        <f>VLOOKUP(A94,Relay!$A$1:$B$50,2,FALSE)</f>
        <v>#N/A</v>
      </c>
      <c r="C94" s="32" t="e">
        <f>VLOOKUP(A94,Relay!$A$2:$C$101,3,FALSE)</f>
        <v>#N/A</v>
      </c>
      <c r="D94" s="39"/>
      <c r="E94" s="35"/>
      <c r="F94" s="58" t="str">
        <f t="shared" si="3"/>
        <v>INS</v>
      </c>
      <c r="G94" s="32" t="e">
        <f>IF(OR(E94="Jeopardy",E94="APP Moonlighting",E94="Differential Pay"),"",Sept[[#This Row],[SysID]])</f>
        <v>#N/A</v>
      </c>
      <c r="H94" s="32" t="e">
        <f>IF(E94="Jeopardy",IF(C94="MD",Relay!$E$7,Relay!$E$8),IF(C94="MD",IF(COUNTIF(G:G,B94)&gt;1,Relay!$E$2,Relay!$E$1),IF(AND(COUNTIF(G:G,B94)&gt;1,COUNTA(A94)&gt;0),Relay!$E$5,Relay!$E$4)))</f>
        <v>#N/A</v>
      </c>
      <c r="I94" s="8">
        <f t="shared" si="4"/>
        <v>0</v>
      </c>
      <c r="J94" s="35"/>
      <c r="K94" s="35"/>
      <c r="L94" s="35"/>
      <c r="M94" s="35"/>
      <c r="N94" s="32" t="e">
        <f>IF(H94=Sept!$E$2,"N",IF(AND(COUNTIF(B:B,B94)=1,D94&gt;14),"Y","N"))</f>
        <v>#N/A</v>
      </c>
      <c r="O94" s="55" t="str">
        <f>IF(COUNT(Sept[[#This Row],[Date]])&gt;0,IF(Sept[[#This Row],[Date]]&gt;14,"Yes","No"),"N/A")</f>
        <v>N/A</v>
      </c>
      <c r="P94" s="55"/>
      <c r="Q94" s="5">
        <f>Relay!A93</f>
        <v>0</v>
      </c>
      <c r="R94" s="5">
        <f>Relay!B93</f>
        <v>92</v>
      </c>
      <c r="S94" s="8">
        <f>IF(Sept[After the 14th?]="No",SUMIF(Sept[SysID],R94,Sept[Pay Amount]),0)+IF(Aug[After the 14th?]="Yes",SUMIF(Aug[SysID],R94,Aug[Pay Amount]),0)</f>
        <v>0</v>
      </c>
      <c r="T94" s="8"/>
      <c r="U94" s="5" t="str">
        <f t="shared" si="5"/>
        <v>N</v>
      </c>
      <c r="X94" s="56"/>
      <c r="Y94" s="56"/>
      <c r="Z94" s="56"/>
      <c r="AA94" s="56"/>
      <c r="AC94" s="56"/>
    </row>
    <row r="95" spans="1:29" x14ac:dyDescent="0.25">
      <c r="A95" s="35"/>
      <c r="B95" s="32" t="e">
        <f>VLOOKUP(A95,Relay!$A$1:$B$50,2,FALSE)</f>
        <v>#N/A</v>
      </c>
      <c r="C95" s="32" t="e">
        <f>VLOOKUP(A95,Relay!$A$2:$C$101,3,FALSE)</f>
        <v>#N/A</v>
      </c>
      <c r="D95" s="39"/>
      <c r="E95" s="35"/>
      <c r="F95" s="58" t="str">
        <f t="shared" si="3"/>
        <v>INS</v>
      </c>
      <c r="G95" s="32" t="e">
        <f>IF(OR(E95="Jeopardy",E95="APP Moonlighting",E95="Differential Pay"),"",Sept[[#This Row],[SysID]])</f>
        <v>#N/A</v>
      </c>
      <c r="H95" s="32" t="e">
        <f>IF(E95="Jeopardy",IF(C95="MD",Relay!$E$7,Relay!$E$8),IF(C95="MD",IF(COUNTIF(G:G,B95)&gt;1,Relay!$E$2,Relay!$E$1),IF(AND(COUNTIF(G:G,B95)&gt;1,COUNTA(A95)&gt;0),Relay!$E$5,Relay!$E$4)))</f>
        <v>#N/A</v>
      </c>
      <c r="I95" s="8">
        <f t="shared" si="4"/>
        <v>0</v>
      </c>
      <c r="J95" s="35"/>
      <c r="K95" s="35"/>
      <c r="L95" s="35"/>
      <c r="M95" s="35"/>
      <c r="N95" s="32" t="e">
        <f>IF(H95=Sept!$E$2,"N",IF(AND(COUNTIF(B:B,B95)=1,D95&gt;14),"Y","N"))</f>
        <v>#N/A</v>
      </c>
      <c r="O95" s="55" t="str">
        <f>IF(COUNT(Sept[[#This Row],[Date]])&gt;0,IF(Sept[[#This Row],[Date]]&gt;14,"Yes","No"),"N/A")</f>
        <v>N/A</v>
      </c>
      <c r="P95" s="55"/>
      <c r="Q95" s="5">
        <f>Relay!A94</f>
        <v>0</v>
      </c>
      <c r="R95" s="5">
        <f>Relay!B94</f>
        <v>93</v>
      </c>
      <c r="S95" s="8">
        <f>IF(Sept[After the 14th?]="No",SUMIF(Sept[SysID],R95,Sept[Pay Amount]),0)+IF(Aug[After the 14th?]="Yes",SUMIF(Aug[SysID],R95,Aug[Pay Amount]),0)</f>
        <v>0</v>
      </c>
      <c r="T95" s="8"/>
      <c r="U95" s="5" t="str">
        <f t="shared" si="5"/>
        <v>N</v>
      </c>
      <c r="X95" s="56"/>
      <c r="Y95" s="56"/>
      <c r="Z95" s="56"/>
      <c r="AA95" s="56"/>
      <c r="AC95" s="56"/>
    </row>
    <row r="96" spans="1:29" x14ac:dyDescent="0.25">
      <c r="A96" s="35"/>
      <c r="B96" s="32" t="e">
        <f>VLOOKUP(A96,Relay!$A$1:$B$50,2,FALSE)</f>
        <v>#N/A</v>
      </c>
      <c r="C96" s="32" t="e">
        <f>VLOOKUP(A96,Relay!$A$2:$C$101,3,FALSE)</f>
        <v>#N/A</v>
      </c>
      <c r="D96" s="39"/>
      <c r="E96" s="35"/>
      <c r="F96" s="58" t="str">
        <f t="shared" si="3"/>
        <v>INS</v>
      </c>
      <c r="G96" s="32" t="e">
        <f>IF(OR(E96="Jeopardy",E96="APP Moonlighting",E96="Differential Pay"),"",Sept[[#This Row],[SysID]])</f>
        <v>#N/A</v>
      </c>
      <c r="H96" s="32" t="e">
        <f>IF(E96="Jeopardy",IF(C96="MD",Relay!$E$7,Relay!$E$8),IF(C96="MD",IF(COUNTIF(G:G,B96)&gt;1,Relay!$E$2,Relay!$E$1),IF(AND(COUNTIF(G:G,B96)&gt;1,COUNTA(A96)&gt;0),Relay!$E$5,Relay!$E$4)))</f>
        <v>#N/A</v>
      </c>
      <c r="I96" s="8">
        <f t="shared" si="4"/>
        <v>0</v>
      </c>
      <c r="J96" s="35"/>
      <c r="K96" s="35"/>
      <c r="L96" s="35"/>
      <c r="M96" s="35"/>
      <c r="N96" s="32" t="e">
        <f>IF(H96=Sept!$E$2,"N",IF(AND(COUNTIF(B:B,B96)=1,D96&gt;14),"Y","N"))</f>
        <v>#N/A</v>
      </c>
      <c r="O96" s="55" t="str">
        <f>IF(COUNT(Sept[[#This Row],[Date]])&gt;0,IF(Sept[[#This Row],[Date]]&gt;14,"Yes","No"),"N/A")</f>
        <v>N/A</v>
      </c>
      <c r="P96" s="55"/>
      <c r="Q96" s="5">
        <f>Relay!A95</f>
        <v>0</v>
      </c>
      <c r="R96" s="5">
        <f>Relay!B95</f>
        <v>94</v>
      </c>
      <c r="S96" s="8">
        <f>IF(Sept[After the 14th?]="No",SUMIF(Sept[SysID],R96,Sept[Pay Amount]),0)+IF(Aug[After the 14th?]="Yes",SUMIF(Aug[SysID],R96,Aug[Pay Amount]),0)</f>
        <v>0</v>
      </c>
      <c r="T96" s="8"/>
      <c r="U96" s="5" t="str">
        <f t="shared" si="5"/>
        <v>N</v>
      </c>
      <c r="X96" s="56"/>
      <c r="Y96" s="56"/>
      <c r="Z96" s="56"/>
      <c r="AA96" s="56"/>
      <c r="AC96" s="56"/>
    </row>
    <row r="97" spans="1:29" x14ac:dyDescent="0.25">
      <c r="A97" s="35"/>
      <c r="B97" s="32" t="e">
        <f>VLOOKUP(A97,Relay!$A$1:$B$50,2,FALSE)</f>
        <v>#N/A</v>
      </c>
      <c r="C97" s="32" t="e">
        <f>VLOOKUP(A97,Relay!$A$2:$C$101,3,FALSE)</f>
        <v>#N/A</v>
      </c>
      <c r="D97" s="39"/>
      <c r="E97" s="35"/>
      <c r="F97" s="58" t="str">
        <f t="shared" si="3"/>
        <v>INS</v>
      </c>
      <c r="G97" s="32" t="e">
        <f>IF(OR(E97="Jeopardy",E97="APP Moonlighting",E97="Differential Pay"),"",Sept[[#This Row],[SysID]])</f>
        <v>#N/A</v>
      </c>
      <c r="H97" s="32" t="e">
        <f>IF(E97="Jeopardy",IF(C97="MD",Relay!$E$7,Relay!$E$8),IF(C97="MD",IF(COUNTIF(G:G,B97)&gt;1,Relay!$E$2,Relay!$E$1),IF(AND(COUNTIF(G:G,B97)&gt;1,COUNTA(A97)&gt;0),Relay!$E$5,Relay!$E$4)))</f>
        <v>#N/A</v>
      </c>
      <c r="I97" s="8">
        <f t="shared" si="4"/>
        <v>0</v>
      </c>
      <c r="J97" s="35"/>
      <c r="K97" s="35"/>
      <c r="L97" s="35"/>
      <c r="M97" s="35"/>
      <c r="N97" s="32" t="e">
        <f>IF(H97=Sept!$E$2,"N",IF(AND(COUNTIF(B:B,B97)=1,D97&gt;14),"Y","N"))</f>
        <v>#N/A</v>
      </c>
      <c r="O97" s="55" t="str">
        <f>IF(COUNT(Sept[[#This Row],[Date]])&gt;0,IF(Sept[[#This Row],[Date]]&gt;14,"Yes","No"),"N/A")</f>
        <v>N/A</v>
      </c>
      <c r="P97" s="55"/>
      <c r="Q97" s="5">
        <f>Relay!A96</f>
        <v>0</v>
      </c>
      <c r="R97" s="5">
        <f>Relay!B96</f>
        <v>95</v>
      </c>
      <c r="S97" s="8">
        <f>IF(Sept[After the 14th?]="No",SUMIF(Sept[SysID],R97,Sept[Pay Amount]),0)+IF(Aug[After the 14th?]="Yes",SUMIF(Aug[SysID],R97,Aug[Pay Amount]),0)</f>
        <v>0</v>
      </c>
      <c r="T97" s="8"/>
      <c r="U97" s="5" t="str">
        <f t="shared" si="5"/>
        <v>N</v>
      </c>
      <c r="X97" s="56"/>
      <c r="Y97" s="56"/>
      <c r="Z97" s="56"/>
      <c r="AA97" s="56"/>
      <c r="AC97" s="56"/>
    </row>
    <row r="98" spans="1:29" x14ac:dyDescent="0.25">
      <c r="A98" s="35"/>
      <c r="B98" s="32" t="e">
        <f>VLOOKUP(A98,Relay!$A$1:$B$50,2,FALSE)</f>
        <v>#N/A</v>
      </c>
      <c r="C98" s="32" t="e">
        <f>VLOOKUP(A98,Relay!$A$2:$C$101,3,FALSE)</f>
        <v>#N/A</v>
      </c>
      <c r="D98" s="39"/>
      <c r="E98" s="35"/>
      <c r="F98" s="58" t="str">
        <f t="shared" si="3"/>
        <v>INS</v>
      </c>
      <c r="G98" s="32" t="e">
        <f>IF(OR(E98="Jeopardy",E98="APP Moonlighting",E98="Differential Pay"),"",Sept[[#This Row],[SysID]])</f>
        <v>#N/A</v>
      </c>
      <c r="H98" s="32" t="e">
        <f>IF(E98="Jeopardy",IF(C98="MD",Relay!$E$7,Relay!$E$8),IF(C98="MD",IF(COUNTIF(G:G,B98)&gt;1,Relay!$E$2,Relay!$E$1),IF(AND(COUNTIF(G:G,B98)&gt;1,COUNTA(A98)&gt;0),Relay!$E$5,Relay!$E$4)))</f>
        <v>#N/A</v>
      </c>
      <c r="I98" s="8">
        <f t="shared" si="4"/>
        <v>0</v>
      </c>
      <c r="J98" s="35"/>
      <c r="K98" s="35"/>
      <c r="L98" s="35"/>
      <c r="M98" s="35"/>
      <c r="N98" s="32" t="e">
        <f>IF(H98=Sept!$E$2,"N",IF(AND(COUNTIF(B:B,B98)=1,D98&gt;14),"Y","N"))</f>
        <v>#N/A</v>
      </c>
      <c r="O98" s="55" t="str">
        <f>IF(COUNT(Sept[[#This Row],[Date]])&gt;0,IF(Sept[[#This Row],[Date]]&gt;14,"Yes","No"),"N/A")</f>
        <v>N/A</v>
      </c>
      <c r="P98" s="55"/>
      <c r="Q98" s="5">
        <f>Relay!A97</f>
        <v>0</v>
      </c>
      <c r="R98" s="5">
        <f>Relay!B97</f>
        <v>96</v>
      </c>
      <c r="S98" s="8">
        <f>IF(Sept[After the 14th?]="No",SUMIF(Sept[SysID],R98,Sept[Pay Amount]),0)+IF(Aug[After the 14th?]="Yes",SUMIF(Aug[SysID],R98,Aug[Pay Amount]),0)</f>
        <v>0</v>
      </c>
      <c r="T98" s="8"/>
      <c r="U98" s="5" t="str">
        <f t="shared" si="5"/>
        <v>N</v>
      </c>
      <c r="X98" s="56"/>
      <c r="Y98" s="56"/>
      <c r="Z98" s="56"/>
      <c r="AA98" s="56"/>
      <c r="AC98" s="56"/>
    </row>
    <row r="99" spans="1:29" x14ac:dyDescent="0.25">
      <c r="A99" s="35"/>
      <c r="B99" s="32" t="e">
        <f>VLOOKUP(A99,Relay!$A$1:$B$50,2,FALSE)</f>
        <v>#N/A</v>
      </c>
      <c r="C99" s="32" t="e">
        <f>VLOOKUP(A99,Relay!$A$2:$C$101,3,FALSE)</f>
        <v>#N/A</v>
      </c>
      <c r="D99" s="39"/>
      <c r="E99" s="35"/>
      <c r="F99" s="58" t="str">
        <f t="shared" si="3"/>
        <v>INS</v>
      </c>
      <c r="G99" s="32" t="e">
        <f>IF(OR(E99="Jeopardy",E99="APP Moonlighting",E99="Differential Pay"),"",Sept[[#This Row],[SysID]])</f>
        <v>#N/A</v>
      </c>
      <c r="H99" s="32" t="e">
        <f>IF(E99="Jeopardy",IF(C99="MD",Relay!$E$7,Relay!$E$8),IF(C99="MD",IF(COUNTIF(G:G,B99)&gt;1,Relay!$E$2,Relay!$E$1),IF(AND(COUNTIF(G:G,B99)&gt;1,COUNTA(A99)&gt;0),Relay!$E$5,Relay!$E$4)))</f>
        <v>#N/A</v>
      </c>
      <c r="I99" s="8">
        <f t="shared" si="4"/>
        <v>0</v>
      </c>
      <c r="J99" s="35"/>
      <c r="K99" s="35"/>
      <c r="L99" s="35"/>
      <c r="M99" s="35"/>
      <c r="N99" s="32" t="e">
        <f>IF(H99=Sept!$E$2,"N",IF(AND(COUNTIF(B:B,B99)=1,D99&gt;14),"Y","N"))</f>
        <v>#N/A</v>
      </c>
      <c r="O99" s="55" t="str">
        <f>IF(COUNT(Sept[[#This Row],[Date]])&gt;0,IF(Sept[[#This Row],[Date]]&gt;14,"Yes","No"),"N/A")</f>
        <v>N/A</v>
      </c>
      <c r="P99" s="55"/>
      <c r="Q99" s="5">
        <f>Relay!A98</f>
        <v>0</v>
      </c>
      <c r="R99" s="5">
        <f>Relay!B98</f>
        <v>97</v>
      </c>
      <c r="S99" s="8">
        <f>IF(Sept[After the 14th?]="No",SUMIF(Sept[SysID],R99,Sept[Pay Amount]),0)+IF(Aug[After the 14th?]="Yes",SUMIF(Aug[SysID],R99,Aug[Pay Amount]),0)</f>
        <v>0</v>
      </c>
      <c r="T99" s="8"/>
      <c r="U99" s="5" t="str">
        <f t="shared" si="5"/>
        <v>N</v>
      </c>
      <c r="X99" s="56"/>
      <c r="Y99" s="56"/>
      <c r="Z99" s="56"/>
      <c r="AA99" s="56"/>
      <c r="AC99" s="56"/>
    </row>
    <row r="100" spans="1:29" x14ac:dyDescent="0.25">
      <c r="A100" s="35"/>
      <c r="B100" s="32" t="e">
        <f>VLOOKUP(A100,Relay!$A$1:$B$50,2,FALSE)</f>
        <v>#N/A</v>
      </c>
      <c r="C100" s="32" t="e">
        <f>VLOOKUP(A100,Relay!$A$2:$C$101,3,FALSE)</f>
        <v>#N/A</v>
      </c>
      <c r="D100" s="39"/>
      <c r="E100" s="35"/>
      <c r="F100" s="58" t="str">
        <f t="shared" si="3"/>
        <v>INS</v>
      </c>
      <c r="G100" s="32" t="e">
        <f>IF(OR(E100="Jeopardy",E100="APP Moonlighting",E100="Differential Pay"),"",Sept[[#This Row],[SysID]])</f>
        <v>#N/A</v>
      </c>
      <c r="H100" s="32" t="e">
        <f>IF(E100="Jeopardy",IF(C100="MD",Relay!$E$7,Relay!$E$8),IF(C100="MD",IF(COUNTIF(G:G,B100)&gt;1,Relay!$E$2,Relay!$E$1),IF(AND(COUNTIF(G:G,B100)&gt;1,COUNTA(A100)&gt;0),Relay!$E$5,Relay!$E$4)))</f>
        <v>#N/A</v>
      </c>
      <c r="I100" s="8">
        <f t="shared" si="4"/>
        <v>0</v>
      </c>
      <c r="J100" s="35"/>
      <c r="K100" s="35"/>
      <c r="L100" s="35"/>
      <c r="M100" s="35"/>
      <c r="N100" s="32" t="e">
        <f>IF(H100=Sept!$E$2,"N",IF(AND(COUNTIF(B:B,B100)=1,D100&gt;14),"Y","N"))</f>
        <v>#N/A</v>
      </c>
      <c r="O100" s="55" t="str">
        <f>IF(COUNT(Sept[[#This Row],[Date]])&gt;0,IF(Sept[[#This Row],[Date]]&gt;14,"Yes","No"),"N/A")</f>
        <v>N/A</v>
      </c>
      <c r="P100" s="55"/>
      <c r="Q100" s="5">
        <f>Relay!A99</f>
        <v>0</v>
      </c>
      <c r="R100" s="5">
        <f>Relay!B99</f>
        <v>98</v>
      </c>
      <c r="S100" s="8">
        <f>IF(Sept[After the 14th?]="No",SUMIF(Sept[SysID],R100,Sept[Pay Amount]),0)+IF(Aug[After the 14th?]="Yes",SUMIF(Aug[SysID],R100,Aug[Pay Amount]),0)</f>
        <v>0</v>
      </c>
      <c r="T100" s="8"/>
      <c r="U100" s="5" t="str">
        <f t="shared" si="5"/>
        <v>N</v>
      </c>
      <c r="X100" s="56"/>
      <c r="Y100" s="56"/>
      <c r="Z100" s="56"/>
      <c r="AA100" s="56"/>
      <c r="AC100" s="56"/>
    </row>
    <row r="101" spans="1:29" x14ac:dyDescent="0.25">
      <c r="A101" s="35"/>
      <c r="B101" s="32" t="e">
        <f>VLOOKUP(A101,Relay!$A$1:$B$50,2,FALSE)</f>
        <v>#N/A</v>
      </c>
      <c r="C101" s="32" t="e">
        <f>VLOOKUP(A101,Relay!$A$2:$C$101,3,FALSE)</f>
        <v>#N/A</v>
      </c>
      <c r="D101" s="39"/>
      <c r="E101" s="35"/>
      <c r="F101" s="58" t="str">
        <f t="shared" si="3"/>
        <v>INS</v>
      </c>
      <c r="G101" s="32" t="e">
        <f>IF(OR(E101="Jeopardy",E101="APP Moonlighting",E101="Differential Pay"),"",Sept[[#This Row],[SysID]])</f>
        <v>#N/A</v>
      </c>
      <c r="H101" s="32" t="e">
        <f>IF(E101="Jeopardy",IF(C101="MD",Relay!$E$7,Relay!$E$8),IF(C101="MD",IF(COUNTIF(G:G,B101)&gt;1,Relay!$E$2,Relay!$E$1),IF(AND(COUNTIF(G:G,B101)&gt;1,COUNTA(A101)&gt;0),Relay!$E$5,Relay!$E$4)))</f>
        <v>#N/A</v>
      </c>
      <c r="I101" s="8">
        <f t="shared" si="4"/>
        <v>0</v>
      </c>
      <c r="J101" s="35"/>
      <c r="K101" s="35"/>
      <c r="L101" s="35"/>
      <c r="M101" s="35"/>
      <c r="N101" s="32" t="e">
        <f>IF(H101=Sept!$E$2,"N",IF(AND(COUNTIF(B:B,B101)=1,D101&gt;14),"Y","N"))</f>
        <v>#N/A</v>
      </c>
      <c r="O101" s="55" t="str">
        <f>IF(COUNT(Sept[[#This Row],[Date]])&gt;0,IF(Sept[[#This Row],[Date]]&gt;14,"Yes","No"),"N/A")</f>
        <v>N/A</v>
      </c>
      <c r="P101" s="55"/>
      <c r="Q101" s="5">
        <f>Relay!A100</f>
        <v>0</v>
      </c>
      <c r="R101" s="5">
        <f>Relay!B100</f>
        <v>99</v>
      </c>
      <c r="S101" s="8">
        <f>IF(Sept[After the 14th?]="No",SUMIF(Sept[SysID],R101,Sept[Pay Amount]),0)+IF(Aug[After the 14th?]="Yes",SUMIF(Aug[SysID],R101,Aug[Pay Amount]),0)</f>
        <v>0</v>
      </c>
      <c r="T101" s="8"/>
      <c r="U101" s="5" t="str">
        <f t="shared" si="5"/>
        <v>N</v>
      </c>
      <c r="X101" s="56"/>
      <c r="Y101" s="56"/>
      <c r="Z101" s="56"/>
      <c r="AA101" s="56"/>
      <c r="AC101" s="56"/>
    </row>
    <row r="102" spans="1:29" x14ac:dyDescent="0.25">
      <c r="A102" s="35"/>
      <c r="B102" s="32" t="e">
        <f>VLOOKUP(A102,Relay!$A$1:$B$50,2,FALSE)</f>
        <v>#N/A</v>
      </c>
      <c r="C102" s="32" t="e">
        <f>VLOOKUP(A102,Relay!$A$2:$C$101,3,FALSE)</f>
        <v>#N/A</v>
      </c>
      <c r="D102" s="39"/>
      <c r="E102" s="35"/>
      <c r="F102" s="58" t="str">
        <f t="shared" si="3"/>
        <v>INS</v>
      </c>
      <c r="G102" s="32" t="e">
        <f>IF(OR(E102="Jeopardy",E102="APP Moonlighting",E102="Differential Pay"),"",Sept[[#This Row],[SysID]])</f>
        <v>#N/A</v>
      </c>
      <c r="H102" s="32" t="e">
        <f>IF(E102="Jeopardy",IF(C102="MD",Relay!$E$7,Relay!$E$8),IF(C102="MD",IF(COUNTIF(G:G,B102)&gt;1,Relay!$E$2,Relay!$E$1),IF(AND(COUNTIF(G:G,B102)&gt;1,COUNTA(A102)&gt;0),Relay!$E$5,Relay!$E$4)))</f>
        <v>#N/A</v>
      </c>
      <c r="I102" s="8">
        <f t="shared" si="4"/>
        <v>0</v>
      </c>
      <c r="J102" s="35"/>
      <c r="K102" s="35"/>
      <c r="L102" s="35"/>
      <c r="M102" s="35"/>
      <c r="N102" s="32" t="e">
        <f>IF(H102=Sept!$E$2,"N",IF(AND(COUNTIF(B:B,B102)=1,D102&gt;14),"Y","N"))</f>
        <v>#N/A</v>
      </c>
      <c r="O102" s="55" t="str">
        <f>IF(COUNT(Sept[[#This Row],[Date]])&gt;0,IF(Sept[[#This Row],[Date]]&gt;14,"Yes","No"),"N/A")</f>
        <v>N/A</v>
      </c>
      <c r="P102" s="55"/>
      <c r="Q102" s="5">
        <f>Relay!A101</f>
        <v>0</v>
      </c>
      <c r="R102" s="5">
        <f>Relay!B101</f>
        <v>100</v>
      </c>
      <c r="S102" s="8">
        <f>IF(Sept[After the 14th?]="No",SUMIF(Sept[SysID],R102,Sept[Pay Amount]),0)+IF(Aug[After the 14th?]="Yes",SUMIF(Aug[SysID],R102,Aug[Pay Amount]),0)</f>
        <v>0</v>
      </c>
      <c r="T102" s="8"/>
      <c r="U102" s="5" t="str">
        <f t="shared" si="5"/>
        <v>N</v>
      </c>
      <c r="X102" s="56"/>
      <c r="Y102" s="56"/>
      <c r="Z102" s="56"/>
      <c r="AA102" s="56"/>
      <c r="AC102" s="56"/>
    </row>
    <row r="103" spans="1:29" x14ac:dyDescent="0.25">
      <c r="A103" s="35"/>
      <c r="B103" s="32" t="e">
        <f>VLOOKUP(A103,Relay!$A$1:$B$50,2,FALSE)</f>
        <v>#N/A</v>
      </c>
      <c r="C103" s="32" t="e">
        <f>VLOOKUP(A103,Relay!$A$2:$C$101,3,FALSE)</f>
        <v>#N/A</v>
      </c>
      <c r="D103" s="39"/>
      <c r="E103" s="35"/>
      <c r="F103" s="58" t="str">
        <f t="shared" si="3"/>
        <v>INS</v>
      </c>
      <c r="G103" s="32" t="e">
        <f>IF(OR(E103="Jeopardy",E103="APP Moonlighting",E103="Differential Pay"),"",Sept[[#This Row],[SysID]])</f>
        <v>#N/A</v>
      </c>
      <c r="H103" s="32" t="e">
        <f>IF(E103="Jeopardy",IF(C103="MD",Relay!$E$7,Relay!$E$8),IF(C103="MD",IF(COUNTIF(G:G,B103)&gt;1,Relay!$E$2,Relay!$E$1),IF(AND(COUNTIF(G:G,B103)&gt;1,COUNTA(A103)&gt;0),Relay!$E$5,Relay!$E$4)))</f>
        <v>#N/A</v>
      </c>
      <c r="I103" s="8">
        <f t="shared" si="4"/>
        <v>0</v>
      </c>
      <c r="J103" s="35"/>
      <c r="K103" s="35"/>
      <c r="L103" s="35"/>
      <c r="M103" s="35"/>
      <c r="N103" s="32" t="e">
        <f>IF(H103=Sept!$E$2,"N",IF(AND(COUNTIF(B:B,B103)=1,D103&gt;14),"Y","N"))</f>
        <v>#N/A</v>
      </c>
      <c r="O103" s="55" t="str">
        <f>IF(COUNT(Sept[[#This Row],[Date]])&gt;0,IF(Sept[[#This Row],[Date]]&gt;14,"Yes","No"),"N/A")</f>
        <v>N/A</v>
      </c>
      <c r="P103" s="55"/>
      <c r="Q103">
        <f>Relay!A102</f>
        <v>0</v>
      </c>
      <c r="R103">
        <f>Relay!B102</f>
        <v>0</v>
      </c>
      <c r="S103" s="9">
        <f>IF(Sept[After the 14th?]="No",SUMIF(Sept[SysID],R103,Sept[Pay Amount]),0)+IF(Aug[After the 14th?]="Yes",SUMIF(Aug[SysID],R103,Aug[Pay Amount]),0)</f>
        <v>0</v>
      </c>
      <c r="U103" s="5" t="str">
        <f t="shared" si="5"/>
        <v>N</v>
      </c>
      <c r="X103" s="56"/>
      <c r="Y103" s="56"/>
      <c r="Z103" s="56"/>
      <c r="AA103" s="56"/>
      <c r="AC103" s="56"/>
    </row>
  </sheetData>
  <conditionalFormatting sqref="N1:N1048576">
    <cfRule type="containsText" dxfId="399" priority="6" operator="containsText" text="Y">
      <formula>NOT(ISERROR(SEARCH("Y",N1)))</formula>
    </cfRule>
  </conditionalFormatting>
  <conditionalFormatting sqref="F1:G1048576">
    <cfRule type="containsText" dxfId="398" priority="5" operator="containsText" text="INS">
      <formula>NOT(ISERROR(SEARCH("INS",F1)))</formula>
    </cfRule>
  </conditionalFormatting>
  <conditionalFormatting sqref="O1:O1048576">
    <cfRule type="containsText" dxfId="397" priority="2" operator="containsText" text="yes">
      <formula>NOT(ISERROR(SEARCH("yes",O1)))</formula>
    </cfRule>
    <cfRule type="containsText" dxfId="396" priority="3" operator="containsText" text="no">
      <formula>NOT(ISERROR(SEARCH("no",O1)))</formula>
    </cfRule>
    <cfRule type="containsText" dxfId="395" priority="4" operator="containsText" text="/">
      <formula>NOT(ISERROR(SEARCH("/",O1)))</formula>
    </cfRule>
  </conditionalFormatting>
  <conditionalFormatting sqref="U1:U1048576">
    <cfRule type="containsText" dxfId="394" priority="1" operator="containsText" text="Y">
      <formula>NOT(ISERROR(SEARCH("Y",U1)))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Relay!$D$11:$D$16</xm:f>
          </x14:formula1>
          <xm:sqref>E3:E103</xm:sqref>
        </x14:dataValidation>
        <x14:dataValidation type="list" allowBlank="1" showInputMessage="1" showErrorMessage="1">
          <x14:formula1>
            <xm:f>Relay!$A$2:$A$101</xm:f>
          </x14:formula1>
          <xm:sqref>A3:A103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103"/>
  <sheetViews>
    <sheetView workbookViewId="0">
      <selection activeCell="B1" sqref="B1:B1048576"/>
    </sheetView>
  </sheetViews>
  <sheetFormatPr defaultRowHeight="15" x14ac:dyDescent="0.25"/>
  <cols>
    <col min="1" max="1" width="21.7109375" style="36" customWidth="1"/>
    <col min="2" max="2" width="9.140625" hidden="1" customWidth="1"/>
    <col min="3" max="3" width="12.85546875" bestFit="1" customWidth="1"/>
    <col min="4" max="4" width="10.7109375" style="40" bestFit="1" customWidth="1"/>
    <col min="5" max="5" width="12.85546875" style="36" bestFit="1" customWidth="1"/>
    <col min="6" max="6" width="12.85546875" style="36" customWidth="1"/>
    <col min="7" max="7" width="12.85546875" customWidth="1"/>
    <col min="8" max="8" width="10.7109375" customWidth="1"/>
    <col min="9" max="9" width="15.5703125" style="9" bestFit="1" customWidth="1"/>
    <col min="10" max="10" width="9.140625" style="36" customWidth="1"/>
    <col min="11" max="11" width="13.140625" style="36" bestFit="1" customWidth="1"/>
    <col min="12" max="12" width="15.5703125" style="36" bestFit="1" customWidth="1"/>
    <col min="13" max="13" width="14.140625" style="36" bestFit="1" customWidth="1"/>
    <col min="14" max="14" width="19.5703125" hidden="1" customWidth="1"/>
    <col min="15" max="16" width="17" customWidth="1"/>
    <col min="17" max="17" width="16.42578125" customWidth="1"/>
    <col min="19" max="19" width="15" style="9" bestFit="1" customWidth="1"/>
    <col min="20" max="20" width="16.28515625" style="9" bestFit="1" customWidth="1"/>
    <col min="21" max="21" width="9.140625" style="5"/>
    <col min="22" max="22" width="14.28515625" bestFit="1" customWidth="1"/>
    <col min="23" max="23" width="21.7109375" customWidth="1"/>
    <col min="27" max="27" width="12.85546875" bestFit="1" customWidth="1"/>
    <col min="28" max="28" width="9" style="9" bestFit="1" customWidth="1"/>
    <col min="29" max="29" width="8.42578125" bestFit="1" customWidth="1"/>
    <col min="30" max="30" width="10.42578125" style="9" bestFit="1" customWidth="1"/>
  </cols>
  <sheetData>
    <row r="1" spans="1:30" s="3" customFormat="1" x14ac:dyDescent="0.25">
      <c r="A1" s="33" t="s">
        <v>52</v>
      </c>
      <c r="D1" s="37"/>
      <c r="E1" s="41"/>
      <c r="F1" s="41"/>
      <c r="I1" s="6"/>
      <c r="J1" s="41"/>
      <c r="K1" s="41"/>
      <c r="L1" s="41"/>
      <c r="M1" s="41"/>
      <c r="Q1" s="2" t="s">
        <v>14</v>
      </c>
      <c r="S1" s="6"/>
      <c r="T1" s="6"/>
      <c r="U1" s="71"/>
      <c r="V1" s="2"/>
      <c r="AB1" s="6"/>
      <c r="AD1" s="6"/>
    </row>
    <row r="2" spans="1:30" x14ac:dyDescent="0.25">
      <c r="A2" s="34" t="s">
        <v>3</v>
      </c>
      <c r="B2" s="4" t="s">
        <v>2</v>
      </c>
      <c r="C2" s="4" t="s">
        <v>4</v>
      </c>
      <c r="D2" s="38" t="s">
        <v>1</v>
      </c>
      <c r="E2" s="34" t="s">
        <v>5</v>
      </c>
      <c r="F2" s="34" t="s">
        <v>6</v>
      </c>
      <c r="G2" s="4" t="s">
        <v>35</v>
      </c>
      <c r="H2" s="4" t="s">
        <v>7</v>
      </c>
      <c r="I2" s="7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11" t="s">
        <v>13</v>
      </c>
      <c r="O2" s="4" t="s">
        <v>70</v>
      </c>
      <c r="P2" s="4"/>
      <c r="Q2" s="5" t="s">
        <v>69</v>
      </c>
      <c r="R2" s="5" t="s">
        <v>2</v>
      </c>
      <c r="S2" s="8" t="s">
        <v>71</v>
      </c>
      <c r="T2" s="8" t="s">
        <v>16</v>
      </c>
      <c r="U2" s="5" t="s">
        <v>13</v>
      </c>
    </row>
    <row r="3" spans="1:30" x14ac:dyDescent="0.25">
      <c r="A3" s="35"/>
      <c r="B3" s="5" t="e">
        <f>VLOOKUP(A3,Relay!$A$1:$B$50,2,FALSE)</f>
        <v>#N/A</v>
      </c>
      <c r="C3" s="5" t="e">
        <f>VLOOKUP(A3,Relay!$A$2:$C$51,3,FALSE)</f>
        <v>#N/A</v>
      </c>
      <c r="D3" s="39"/>
      <c r="E3" s="35"/>
      <c r="F3" s="35" t="str">
        <f t="shared" ref="F3:F66" si="0">IF(E3="Moonlighting", 12, "INS")</f>
        <v>INS</v>
      </c>
      <c r="G3" s="5" t="e">
        <f>IF(OR(E3="Jeopardy",E3="APP Moonlighting",E3="Differential Pay"),"",Oct[[#This Row],[SysID]])</f>
        <v>#N/A</v>
      </c>
      <c r="H3" s="5" t="e">
        <f>IF(E3="Jeopardy",IF(C3="MD",Relay!$E$7,Relay!$E$8),IF(C3="MD",IF(COUNTIF(G:G,B3)&gt;1,Relay!$E$2,Relay!$E$1),IF(AND(COUNTIF(G:G,B3)&gt;1,COUNTA(A3)&gt;0),Relay!$E$5,Relay!$E$4)))</f>
        <v>#N/A</v>
      </c>
      <c r="I3" s="8">
        <f t="shared" ref="I3:I66" si="1">IF(COUNTA(A3)&gt;0,H3*F3,0)</f>
        <v>0</v>
      </c>
      <c r="J3" s="35"/>
      <c r="K3" s="35"/>
      <c r="L3" s="35"/>
      <c r="M3" s="35"/>
      <c r="N3" s="10" t="e">
        <f>IF(H3=Oct!$E$2,"N",IF(AND(COUNTIF(B:B,B3)=1,D3&gt;14),"Y","N"))</f>
        <v>#N/A</v>
      </c>
      <c r="O3" s="55" t="str">
        <f>IF(COUNT(Oct[[#This Row],[Date]])&gt;0,IF(Oct[[#This Row],[Date]]&gt;14,"Yes","No"),"N/A")</f>
        <v>N/A</v>
      </c>
      <c r="P3" s="55"/>
      <c r="Q3" s="5">
        <f>Relay!A2</f>
        <v>0</v>
      </c>
      <c r="R3" s="5">
        <f>Relay!B2</f>
        <v>1</v>
      </c>
      <c r="S3" s="8">
        <f>IF(Oct[After the 14th?]="No",SUMIF(Oct[SysID],R3,Oct[Pay Amount]),0)+IF(Sept[After the 14th?]="Yes",SUMIF(Sept[SysID],R3,Sept[Pay Amount]),0)</f>
        <v>0</v>
      </c>
      <c r="T3" s="8"/>
      <c r="U3" s="5" t="str">
        <f t="shared" ref="U3:U66" si="2">IF(S3=T3,"N","Y")</f>
        <v>N</v>
      </c>
      <c r="V3" s="57"/>
      <c r="W3" s="57"/>
      <c r="X3" s="56"/>
      <c r="Y3" s="56"/>
      <c r="Z3" s="56"/>
      <c r="AA3" s="56"/>
      <c r="AC3" s="56"/>
    </row>
    <row r="4" spans="1:30" x14ac:dyDescent="0.25">
      <c r="A4" s="35"/>
      <c r="B4" s="5" t="e">
        <f>VLOOKUP(A4,Relay!$A$1:$B$50,2,FALSE)</f>
        <v>#N/A</v>
      </c>
      <c r="C4" s="5" t="e">
        <f>VLOOKUP(A4,Relay!$A$2:$C$51,3,FALSE)</f>
        <v>#N/A</v>
      </c>
      <c r="D4" s="39"/>
      <c r="E4" s="35"/>
      <c r="F4" s="35" t="str">
        <f t="shared" si="0"/>
        <v>INS</v>
      </c>
      <c r="G4" s="5" t="e">
        <f>IF(OR(E4="Jeopardy",E4="APP Moonlighting",E4="Differential Pay"),"",Oct[[#This Row],[SysID]])</f>
        <v>#N/A</v>
      </c>
      <c r="H4" s="5" t="e">
        <f>IF(E4="Jeopardy",IF(C4="MD",Relay!$E$7,Relay!$E$8),IF(C4="MD",IF(COUNTIF(G:G,B4)&gt;1,Relay!$E$2,Relay!$E$1),IF(AND(COUNTIF(G:G,B4)&gt;1,COUNTA(A4)&gt;0),Relay!$E$5,Relay!$E$4)))</f>
        <v>#N/A</v>
      </c>
      <c r="I4" s="8">
        <f t="shared" si="1"/>
        <v>0</v>
      </c>
      <c r="J4" s="35"/>
      <c r="K4" s="35"/>
      <c r="L4" s="35"/>
      <c r="M4" s="35"/>
      <c r="N4" s="10" t="e">
        <f>IF(H4=Oct!$E$2,"N",IF(AND(COUNTIF(B:B,B4)=1,D4&gt;14),"Y","N"))</f>
        <v>#N/A</v>
      </c>
      <c r="O4" s="55" t="str">
        <f>IF(COUNT(Oct[[#This Row],[Date]])&gt;0,IF(Oct[[#This Row],[Date]]&gt;14,"Yes","No"),"N/A")</f>
        <v>N/A</v>
      </c>
      <c r="P4" s="55"/>
      <c r="Q4" s="5">
        <f>Relay!A3</f>
        <v>0</v>
      </c>
      <c r="R4" s="5">
        <f>Relay!B3</f>
        <v>2</v>
      </c>
      <c r="S4" s="8">
        <f>IF(Oct[After the 14th?]="No",SUMIF(Oct[SysID],R4,Oct[Pay Amount]),0)+IF(Sept[After the 14th?]="Yes",SUMIF(Sept[SysID],R4,Sept[Pay Amount]),0)</f>
        <v>0</v>
      </c>
      <c r="T4" s="8"/>
      <c r="U4" s="5" t="str">
        <f t="shared" si="2"/>
        <v>N</v>
      </c>
      <c r="X4" s="56"/>
      <c r="Y4" s="56"/>
      <c r="Z4" s="56"/>
      <c r="AA4" s="56"/>
      <c r="AC4" s="56"/>
    </row>
    <row r="5" spans="1:30" x14ac:dyDescent="0.25">
      <c r="A5" s="35"/>
      <c r="B5" s="5" t="e">
        <f>VLOOKUP(A5,Relay!$A$1:$B$50,2,FALSE)</f>
        <v>#N/A</v>
      </c>
      <c r="C5" s="5" t="e">
        <f>VLOOKUP(A5,Relay!$A$2:$C$51,3,FALSE)</f>
        <v>#N/A</v>
      </c>
      <c r="D5" s="39"/>
      <c r="E5" s="35"/>
      <c r="F5" s="35" t="str">
        <f t="shared" si="0"/>
        <v>INS</v>
      </c>
      <c r="G5" s="5" t="e">
        <f>IF(OR(E5="Jeopardy",E5="APP Moonlighting",E5="Differential Pay"),"",Oct[[#This Row],[SysID]])</f>
        <v>#N/A</v>
      </c>
      <c r="H5" s="5" t="e">
        <f>IF(E5="Jeopardy",IF(C5="MD",Relay!$E$7,Relay!$E$8),IF(C5="MD",IF(COUNTIF(G:G,B5)&gt;1,Relay!$E$2,Relay!$E$1),IF(AND(COUNTIF(G:G,B5)&gt;1,COUNTA(A5)&gt;0),Relay!$E$5,Relay!$E$4)))</f>
        <v>#N/A</v>
      </c>
      <c r="I5" s="8">
        <f t="shared" si="1"/>
        <v>0</v>
      </c>
      <c r="J5" s="35"/>
      <c r="K5" s="35"/>
      <c r="L5" s="35"/>
      <c r="M5" s="35"/>
      <c r="N5" s="10" t="e">
        <f>IF(H5=Oct!$E$2,"N",IF(AND(COUNTIF(B:B,B5)=1,D5&gt;14),"Y","N"))</f>
        <v>#N/A</v>
      </c>
      <c r="O5" s="55" t="str">
        <f>IF(COUNT(Oct[[#This Row],[Date]])&gt;0,IF(Oct[[#This Row],[Date]]&gt;14,"Yes","No"),"N/A")</f>
        <v>N/A</v>
      </c>
      <c r="P5" s="55"/>
      <c r="Q5" s="5">
        <f>Relay!A4</f>
        <v>0</v>
      </c>
      <c r="R5" s="5">
        <f>Relay!B4</f>
        <v>3</v>
      </c>
      <c r="S5" s="8">
        <f>IF(Oct[After the 14th?]="No",SUMIF(Oct[SysID],R5,Oct[Pay Amount]),0)+IF(Sept[After the 14th?]="Yes",SUMIF(Sept[SysID],R5,Sept[Pay Amount]),0)</f>
        <v>0</v>
      </c>
      <c r="T5" s="8"/>
      <c r="U5" s="5" t="str">
        <f t="shared" si="2"/>
        <v>N</v>
      </c>
      <c r="X5" s="56"/>
      <c r="Y5" s="56"/>
      <c r="Z5" s="56"/>
      <c r="AA5" s="56"/>
      <c r="AC5" s="56"/>
    </row>
    <row r="6" spans="1:30" x14ac:dyDescent="0.25">
      <c r="A6" s="35"/>
      <c r="B6" s="5" t="e">
        <f>VLOOKUP(A6,Relay!$A$1:$B$50,2,FALSE)</f>
        <v>#N/A</v>
      </c>
      <c r="C6" s="5" t="e">
        <f>VLOOKUP(A6,Relay!$A$2:$C$51,3,FALSE)</f>
        <v>#N/A</v>
      </c>
      <c r="D6" s="39"/>
      <c r="E6" s="35"/>
      <c r="F6" s="35" t="str">
        <f t="shared" si="0"/>
        <v>INS</v>
      </c>
      <c r="G6" s="5" t="e">
        <f>IF(OR(E6="Jeopardy",E6="APP Moonlighting",E6="Differential Pay"),"",Oct[[#This Row],[SysID]])</f>
        <v>#N/A</v>
      </c>
      <c r="H6" s="5" t="e">
        <f>IF(E6="Jeopardy",IF(C6="MD",Relay!$E$7,Relay!$E$8),IF(C6="MD",IF(COUNTIF(G:G,B6)&gt;1,Relay!$E$2,Relay!$E$1),IF(AND(COUNTIF(G:G,B6)&gt;1,COUNTA(A6)&gt;0),Relay!$E$5,Relay!$E$4)))</f>
        <v>#N/A</v>
      </c>
      <c r="I6" s="8">
        <f t="shared" si="1"/>
        <v>0</v>
      </c>
      <c r="J6" s="35"/>
      <c r="K6" s="35"/>
      <c r="L6" s="35"/>
      <c r="M6" s="35"/>
      <c r="N6" s="10" t="e">
        <f>IF(H6=Oct!$E$2,"N",IF(AND(COUNTIF(B:B,B6)=1,D6&gt;14),"Y","N"))</f>
        <v>#N/A</v>
      </c>
      <c r="O6" s="55" t="str">
        <f>IF(COUNT(Oct[[#This Row],[Date]])&gt;0,IF(Oct[[#This Row],[Date]]&gt;14,"Yes","No"),"N/A")</f>
        <v>N/A</v>
      </c>
      <c r="P6" s="55"/>
      <c r="Q6" s="5">
        <f>Relay!A5</f>
        <v>0</v>
      </c>
      <c r="R6" s="5">
        <f>Relay!B5</f>
        <v>4</v>
      </c>
      <c r="S6" s="8">
        <f>IF(Oct[After the 14th?]="No",SUMIF(Oct[SysID],R6,Oct[Pay Amount]),0)+IF(Sept[After the 14th?]="Yes",SUMIF(Sept[SysID],R6,Sept[Pay Amount]),0)</f>
        <v>0</v>
      </c>
      <c r="T6" s="8"/>
      <c r="U6" s="5" t="str">
        <f t="shared" si="2"/>
        <v>N</v>
      </c>
      <c r="X6" s="56"/>
      <c r="Y6" s="56"/>
      <c r="Z6" s="56"/>
      <c r="AA6" s="56"/>
      <c r="AC6" s="56"/>
    </row>
    <row r="7" spans="1:30" x14ac:dyDescent="0.25">
      <c r="A7" s="35"/>
      <c r="B7" s="5" t="e">
        <f>VLOOKUP(A7,Relay!$A$1:$B$50,2,FALSE)</f>
        <v>#N/A</v>
      </c>
      <c r="C7" s="5" t="e">
        <f>VLOOKUP(A7,Relay!$A$2:$C$51,3,FALSE)</f>
        <v>#N/A</v>
      </c>
      <c r="D7" s="39"/>
      <c r="E7" s="35"/>
      <c r="F7" s="35" t="str">
        <f t="shared" si="0"/>
        <v>INS</v>
      </c>
      <c r="G7" s="5" t="e">
        <f>IF(OR(E7="Jeopardy",E7="APP Moonlighting",E7="Differential Pay"),"",Oct[[#This Row],[SysID]])</f>
        <v>#N/A</v>
      </c>
      <c r="H7" s="5" t="e">
        <f>IF(E7="Jeopardy",IF(C7="MD",Relay!$E$7,Relay!$E$8),IF(C7="MD",IF(COUNTIF(G:G,B7)&gt;1,Relay!$E$2,Relay!$E$1),IF(AND(COUNTIF(G:G,B7)&gt;1,COUNTA(A7)&gt;0),Relay!$E$5,Relay!$E$4)))</f>
        <v>#N/A</v>
      </c>
      <c r="I7" s="8">
        <f t="shared" si="1"/>
        <v>0</v>
      </c>
      <c r="J7" s="35"/>
      <c r="K7" s="35"/>
      <c r="L7" s="35"/>
      <c r="M7" s="35"/>
      <c r="N7" s="10" t="e">
        <f>IF(H7=Oct!$E$2,"N",IF(AND(COUNTIF(B:B,B7)=1,D7&gt;14),"Y","N"))</f>
        <v>#N/A</v>
      </c>
      <c r="O7" s="55" t="str">
        <f>IF(COUNT(Oct[[#This Row],[Date]])&gt;0,IF(Oct[[#This Row],[Date]]&gt;14,"Yes","No"),"N/A")</f>
        <v>N/A</v>
      </c>
      <c r="P7" s="55"/>
      <c r="Q7" s="5">
        <f>Relay!A6</f>
        <v>0</v>
      </c>
      <c r="R7" s="5">
        <f>Relay!B6</f>
        <v>5</v>
      </c>
      <c r="S7" s="8">
        <f>IF(Oct[After the 14th?]="No",SUMIF(Oct[SysID],R7,Oct[Pay Amount]),0)+IF(Sept[After the 14th?]="Yes",SUMIF(Sept[SysID],R7,Sept[Pay Amount]),0)</f>
        <v>0</v>
      </c>
      <c r="T7" s="8"/>
      <c r="U7" s="5" t="str">
        <f t="shared" si="2"/>
        <v>N</v>
      </c>
      <c r="X7" s="56"/>
      <c r="Y7" s="56"/>
      <c r="Z7" s="56"/>
      <c r="AA7" s="56"/>
      <c r="AC7" s="56"/>
    </row>
    <row r="8" spans="1:30" x14ac:dyDescent="0.25">
      <c r="A8" s="35"/>
      <c r="B8" s="5" t="e">
        <f>VLOOKUP(A8,Relay!$A$1:$B$50,2,FALSE)</f>
        <v>#N/A</v>
      </c>
      <c r="C8" s="5" t="e">
        <f>VLOOKUP(A8,Relay!$A$2:$C$51,3,FALSE)</f>
        <v>#N/A</v>
      </c>
      <c r="D8" s="39"/>
      <c r="E8" s="35"/>
      <c r="F8" s="35" t="str">
        <f t="shared" si="0"/>
        <v>INS</v>
      </c>
      <c r="G8" s="5" t="e">
        <f>IF(OR(E8="Jeopardy",E8="APP Moonlighting",E8="Differential Pay"),"",Oct[[#This Row],[SysID]])</f>
        <v>#N/A</v>
      </c>
      <c r="H8" s="5" t="e">
        <f>IF(E8="Jeopardy",IF(C8="MD",Relay!$E$7,Relay!$E$8),IF(C8="MD",IF(COUNTIF(G:G,B8)&gt;1,Relay!$E$2,Relay!$E$1),IF(AND(COUNTIF(G:G,B8)&gt;1,COUNTA(A8)&gt;0),Relay!$E$5,Relay!$E$4)))</f>
        <v>#N/A</v>
      </c>
      <c r="I8" s="8">
        <f t="shared" si="1"/>
        <v>0</v>
      </c>
      <c r="J8" s="35"/>
      <c r="K8" s="35"/>
      <c r="L8" s="35"/>
      <c r="M8" s="35"/>
      <c r="N8" s="10" t="e">
        <f>IF(H8=Oct!$E$2,"N",IF(AND(COUNTIF(B:B,B8)=1,D8&gt;14),"Y","N"))</f>
        <v>#N/A</v>
      </c>
      <c r="O8" s="55" t="str">
        <f>IF(COUNT(Oct[[#This Row],[Date]])&gt;0,IF(Oct[[#This Row],[Date]]&gt;14,"Yes","No"),"N/A")</f>
        <v>N/A</v>
      </c>
      <c r="P8" s="55"/>
      <c r="Q8" s="5">
        <f>Relay!A7</f>
        <v>0</v>
      </c>
      <c r="R8" s="5">
        <f>Relay!B7</f>
        <v>6</v>
      </c>
      <c r="S8" s="8">
        <f>IF(Oct[After the 14th?]="No",SUMIF(Oct[SysID],R8,Oct[Pay Amount]),0)+IF(Sept[After the 14th?]="Yes",SUMIF(Sept[SysID],R8,Sept[Pay Amount]),0)</f>
        <v>0</v>
      </c>
      <c r="T8" s="8"/>
      <c r="U8" s="5" t="str">
        <f t="shared" si="2"/>
        <v>N</v>
      </c>
      <c r="X8" s="56"/>
      <c r="Y8" s="56"/>
      <c r="Z8" s="56"/>
      <c r="AA8" s="56"/>
      <c r="AC8" s="56"/>
    </row>
    <row r="9" spans="1:30" x14ac:dyDescent="0.25">
      <c r="A9" s="35"/>
      <c r="B9" s="5" t="e">
        <f>VLOOKUP(A9,Relay!$A$1:$B$50,2,FALSE)</f>
        <v>#N/A</v>
      </c>
      <c r="C9" s="5" t="e">
        <f>VLOOKUP(A9,Relay!$A$2:$C$51,3,FALSE)</f>
        <v>#N/A</v>
      </c>
      <c r="D9" s="39"/>
      <c r="E9" s="35"/>
      <c r="F9" s="35" t="str">
        <f t="shared" si="0"/>
        <v>INS</v>
      </c>
      <c r="G9" s="5" t="e">
        <f>IF(OR(E9="Jeopardy",E9="APP Moonlighting",E9="Differential Pay"),"",Oct[[#This Row],[SysID]])</f>
        <v>#N/A</v>
      </c>
      <c r="H9" s="5" t="e">
        <f>IF(E9="Jeopardy",IF(C9="MD",Relay!$E$7,Relay!$E$8),IF(C9="MD",IF(COUNTIF(G:G,B9)&gt;1,Relay!$E$2,Relay!$E$1),IF(AND(COUNTIF(G:G,B9)&gt;1,COUNTA(A9)&gt;0),Relay!$E$5,Relay!$E$4)))</f>
        <v>#N/A</v>
      </c>
      <c r="I9" s="8">
        <f t="shared" si="1"/>
        <v>0</v>
      </c>
      <c r="J9" s="35"/>
      <c r="K9" s="35"/>
      <c r="L9" s="35"/>
      <c r="M9" s="35"/>
      <c r="N9" s="10" t="e">
        <f>IF(H9=Oct!$E$2,"N",IF(AND(COUNTIF(B:B,B9)=1,D9&gt;14),"Y","N"))</f>
        <v>#N/A</v>
      </c>
      <c r="O9" s="55" t="str">
        <f>IF(COUNT(Oct[[#This Row],[Date]])&gt;0,IF(Oct[[#This Row],[Date]]&gt;14,"Yes","No"),"N/A")</f>
        <v>N/A</v>
      </c>
      <c r="P9" s="55"/>
      <c r="Q9" s="5">
        <f>Relay!A8</f>
        <v>0</v>
      </c>
      <c r="R9" s="5">
        <f>Relay!B8</f>
        <v>7</v>
      </c>
      <c r="S9" s="8">
        <f>IF(Oct[After the 14th?]="No",SUMIF(Oct[SysID],R9,Oct[Pay Amount]),0)+IF(Sept[After the 14th?]="Yes",SUMIF(Sept[SysID],R9,Sept[Pay Amount]),0)</f>
        <v>0</v>
      </c>
      <c r="T9" s="8"/>
      <c r="U9" s="5" t="str">
        <f t="shared" si="2"/>
        <v>N</v>
      </c>
      <c r="X9" s="56"/>
      <c r="Y9" s="56"/>
      <c r="Z9" s="56"/>
      <c r="AA9" s="56"/>
      <c r="AC9" s="56"/>
    </row>
    <row r="10" spans="1:30" x14ac:dyDescent="0.25">
      <c r="A10" s="35"/>
      <c r="B10" s="5" t="e">
        <f>VLOOKUP(A10,Relay!$A$1:$B$50,2,FALSE)</f>
        <v>#N/A</v>
      </c>
      <c r="C10" s="5" t="e">
        <f>VLOOKUP(A10,Relay!$A$2:$C$51,3,FALSE)</f>
        <v>#N/A</v>
      </c>
      <c r="D10" s="39"/>
      <c r="E10" s="35"/>
      <c r="F10" s="35" t="str">
        <f t="shared" si="0"/>
        <v>INS</v>
      </c>
      <c r="G10" s="5" t="e">
        <f>IF(OR(E10="Jeopardy",E10="APP Moonlighting",E10="Differential Pay"),"",Oct[[#This Row],[SysID]])</f>
        <v>#N/A</v>
      </c>
      <c r="H10" s="5" t="e">
        <f>IF(E10="Jeopardy",IF(C10="MD",Relay!$E$7,Relay!$E$8),IF(C10="MD",IF(COUNTIF(G:G,B10)&gt;1,Relay!$E$2,Relay!$E$1),IF(AND(COUNTIF(G:G,B10)&gt;1,COUNTA(A10)&gt;0),Relay!$E$5,Relay!$E$4)))</f>
        <v>#N/A</v>
      </c>
      <c r="I10" s="8">
        <f t="shared" si="1"/>
        <v>0</v>
      </c>
      <c r="J10" s="35"/>
      <c r="K10" s="35"/>
      <c r="L10" s="35"/>
      <c r="M10" s="35"/>
      <c r="N10" s="10" t="e">
        <f>IF(H10=Oct!$E$2,"N",IF(AND(COUNTIF(B:B,B10)=1,D10&gt;14),"Y","N"))</f>
        <v>#N/A</v>
      </c>
      <c r="O10" s="55" t="str">
        <f>IF(COUNT(Oct[[#This Row],[Date]])&gt;0,IF(Oct[[#This Row],[Date]]&gt;14,"Yes","No"),"N/A")</f>
        <v>N/A</v>
      </c>
      <c r="P10" s="55"/>
      <c r="Q10" s="5">
        <f>Relay!A9</f>
        <v>0</v>
      </c>
      <c r="R10" s="5">
        <f>Relay!B9</f>
        <v>8</v>
      </c>
      <c r="S10" s="8">
        <f>IF(Oct[After the 14th?]="No",SUMIF(Oct[SysID],R10,Oct[Pay Amount]),0)+IF(Sept[After the 14th?]="Yes",SUMIF(Sept[SysID],R10,Sept[Pay Amount]),0)</f>
        <v>0</v>
      </c>
      <c r="T10" s="8"/>
      <c r="U10" s="5" t="str">
        <f t="shared" si="2"/>
        <v>N</v>
      </c>
      <c r="X10" s="56"/>
      <c r="Y10" s="56"/>
      <c r="Z10" s="56"/>
      <c r="AA10" s="56"/>
      <c r="AC10" s="56"/>
    </row>
    <row r="11" spans="1:30" x14ac:dyDescent="0.25">
      <c r="A11" s="35"/>
      <c r="B11" s="5" t="e">
        <f>VLOOKUP(A11,Relay!$A$1:$B$50,2,FALSE)</f>
        <v>#N/A</v>
      </c>
      <c r="C11" s="5" t="e">
        <f>VLOOKUP(A11,Relay!$A$2:$C$51,3,FALSE)</f>
        <v>#N/A</v>
      </c>
      <c r="D11" s="39"/>
      <c r="E11" s="35"/>
      <c r="F11" s="35" t="str">
        <f t="shared" si="0"/>
        <v>INS</v>
      </c>
      <c r="G11" s="5" t="e">
        <f>IF(OR(E11="Jeopardy",E11="APP Moonlighting",E11="Differential Pay"),"",Oct[[#This Row],[SysID]])</f>
        <v>#N/A</v>
      </c>
      <c r="H11" s="5" t="e">
        <f>IF(E11="Jeopardy",IF(C11="MD",Relay!$E$7,Relay!$E$8),IF(C11="MD",IF(COUNTIF(G:G,B11)&gt;1,Relay!$E$2,Relay!$E$1),IF(AND(COUNTIF(G:G,B11)&gt;1,COUNTA(A11)&gt;0),Relay!$E$5,Relay!$E$4)))</f>
        <v>#N/A</v>
      </c>
      <c r="I11" s="8">
        <f t="shared" si="1"/>
        <v>0</v>
      </c>
      <c r="J11" s="35"/>
      <c r="K11" s="35"/>
      <c r="L11" s="35"/>
      <c r="M11" s="35"/>
      <c r="N11" s="10" t="e">
        <f>IF(H11=Oct!$E$2,"N",IF(AND(COUNTIF(B:B,B11)=1,D11&gt;14),"Y","N"))</f>
        <v>#N/A</v>
      </c>
      <c r="O11" s="55" t="str">
        <f>IF(COUNT(Oct[[#This Row],[Date]])&gt;0,IF(Oct[[#This Row],[Date]]&gt;14,"Yes","No"),"N/A")</f>
        <v>N/A</v>
      </c>
      <c r="P11" s="55"/>
      <c r="Q11" s="5">
        <f>Relay!A10</f>
        <v>0</v>
      </c>
      <c r="R11" s="5">
        <f>Relay!B10</f>
        <v>9</v>
      </c>
      <c r="S11" s="8">
        <f>IF(Oct[After the 14th?]="No",SUMIF(Oct[SysID],R11,Oct[Pay Amount]),0)+IF(Sept[After the 14th?]="Yes",SUMIF(Sept[SysID],R11,Sept[Pay Amount]),0)</f>
        <v>0</v>
      </c>
      <c r="T11" s="8"/>
      <c r="U11" s="5" t="str">
        <f t="shared" si="2"/>
        <v>N</v>
      </c>
      <c r="X11" s="56"/>
      <c r="Y11" s="56"/>
      <c r="Z11" s="56"/>
      <c r="AA11" s="56"/>
      <c r="AC11" s="56"/>
    </row>
    <row r="12" spans="1:30" x14ac:dyDescent="0.25">
      <c r="A12" s="35"/>
      <c r="B12" s="5" t="e">
        <f>VLOOKUP(A12,Relay!$A$1:$B$50,2,FALSE)</f>
        <v>#N/A</v>
      </c>
      <c r="C12" s="5" t="e">
        <f>VLOOKUP(A12,Relay!$A$2:$C$51,3,FALSE)</f>
        <v>#N/A</v>
      </c>
      <c r="D12" s="39"/>
      <c r="E12" s="35"/>
      <c r="F12" s="35" t="str">
        <f t="shared" si="0"/>
        <v>INS</v>
      </c>
      <c r="G12" s="5" t="e">
        <f>IF(OR(E12="Jeopardy",E12="APP Moonlighting",E12="Differential Pay"),"",Oct[[#This Row],[SysID]])</f>
        <v>#N/A</v>
      </c>
      <c r="H12" s="5" t="e">
        <f>IF(E12="Jeopardy",IF(C12="MD",Relay!$E$7,Relay!$E$8),IF(C12="MD",IF(COUNTIF(G:G,B12)&gt;1,Relay!$E$2,Relay!$E$1),IF(AND(COUNTIF(G:G,B12)&gt;1,COUNTA(A12)&gt;0),Relay!$E$5,Relay!$E$4)))</f>
        <v>#N/A</v>
      </c>
      <c r="I12" s="8">
        <f t="shared" si="1"/>
        <v>0</v>
      </c>
      <c r="J12" s="35"/>
      <c r="K12" s="35"/>
      <c r="L12" s="35"/>
      <c r="M12" s="35"/>
      <c r="N12" s="10" t="e">
        <f>IF(H12=Oct!$E$2,"N",IF(AND(COUNTIF(B:B,B12)=1,D12&gt;14),"Y","N"))</f>
        <v>#N/A</v>
      </c>
      <c r="O12" s="55" t="str">
        <f>IF(COUNT(Oct[[#This Row],[Date]])&gt;0,IF(Oct[[#This Row],[Date]]&gt;14,"Yes","No"),"N/A")</f>
        <v>N/A</v>
      </c>
      <c r="P12" s="55"/>
      <c r="Q12" s="5">
        <f>Relay!A11</f>
        <v>0</v>
      </c>
      <c r="R12" s="5">
        <f>Relay!B11</f>
        <v>10</v>
      </c>
      <c r="S12" s="8">
        <f>IF(Oct[After the 14th?]="No",SUMIF(Oct[SysID],R12,Oct[Pay Amount]),0)+IF(Sept[After the 14th?]="Yes",SUMIF(Sept[SysID],R12,Sept[Pay Amount]),0)</f>
        <v>0</v>
      </c>
      <c r="T12" s="8"/>
      <c r="U12" s="5" t="str">
        <f t="shared" si="2"/>
        <v>N</v>
      </c>
      <c r="X12" s="56"/>
      <c r="Y12" s="56"/>
      <c r="Z12" s="56"/>
      <c r="AA12" s="56"/>
      <c r="AC12" s="56"/>
    </row>
    <row r="13" spans="1:30" x14ac:dyDescent="0.25">
      <c r="A13" s="35"/>
      <c r="B13" s="5" t="e">
        <f>VLOOKUP(A13,Relay!$A$1:$B$50,2,FALSE)</f>
        <v>#N/A</v>
      </c>
      <c r="C13" s="5" t="e">
        <f>VLOOKUP(A13,Relay!$A$2:$C$51,3,FALSE)</f>
        <v>#N/A</v>
      </c>
      <c r="D13" s="39"/>
      <c r="E13" s="35"/>
      <c r="F13" s="35" t="str">
        <f t="shared" si="0"/>
        <v>INS</v>
      </c>
      <c r="G13" s="5" t="e">
        <f>IF(OR(E13="Jeopardy",E13="APP Moonlighting",E13="Differential Pay"),"",Oct[[#This Row],[SysID]])</f>
        <v>#N/A</v>
      </c>
      <c r="H13" s="5" t="e">
        <f>IF(E13="Jeopardy",IF(C13="MD",Relay!$E$7,Relay!$E$8),IF(C13="MD",IF(COUNTIF(G:G,B13)&gt;1,Relay!$E$2,Relay!$E$1),IF(AND(COUNTIF(G:G,B13)&gt;1,COUNTA(A13)&gt;0),Relay!$E$5,Relay!$E$4)))</f>
        <v>#N/A</v>
      </c>
      <c r="I13" s="8">
        <f t="shared" si="1"/>
        <v>0</v>
      </c>
      <c r="J13" s="35"/>
      <c r="K13" s="35"/>
      <c r="L13" s="35"/>
      <c r="M13" s="35"/>
      <c r="N13" s="10" t="e">
        <f>IF(H13=Oct!$E$2,"N",IF(AND(COUNTIF(B:B,B13)=1,D13&gt;14),"Y","N"))</f>
        <v>#N/A</v>
      </c>
      <c r="O13" s="55" t="str">
        <f>IF(COUNT(Oct[[#This Row],[Date]])&gt;0,IF(Oct[[#This Row],[Date]]&gt;14,"Yes","No"),"N/A")</f>
        <v>N/A</v>
      </c>
      <c r="P13" s="55"/>
      <c r="Q13" s="5">
        <f>Relay!A12</f>
        <v>0</v>
      </c>
      <c r="R13" s="5">
        <f>Relay!B12</f>
        <v>11</v>
      </c>
      <c r="S13" s="8">
        <f>IF(Oct[After the 14th?]="No",SUMIF(Oct[SysID],R13,Oct[Pay Amount]),0)+IF(Sept[After the 14th?]="Yes",SUMIF(Sept[SysID],R13,Sept[Pay Amount]),0)</f>
        <v>0</v>
      </c>
      <c r="T13" s="8"/>
      <c r="U13" s="5" t="str">
        <f t="shared" si="2"/>
        <v>N</v>
      </c>
      <c r="X13" s="56"/>
      <c r="Y13" s="56"/>
      <c r="Z13" s="56"/>
      <c r="AA13" s="56"/>
      <c r="AC13" s="56"/>
    </row>
    <row r="14" spans="1:30" x14ac:dyDescent="0.25">
      <c r="A14" s="35"/>
      <c r="B14" s="5" t="e">
        <f>VLOOKUP(A14,Relay!$A$1:$B$50,2,FALSE)</f>
        <v>#N/A</v>
      </c>
      <c r="C14" s="5" t="e">
        <f>VLOOKUP(A14,Relay!$A$2:$C$51,3,FALSE)</f>
        <v>#N/A</v>
      </c>
      <c r="D14" s="39"/>
      <c r="E14" s="35"/>
      <c r="F14" s="35" t="str">
        <f t="shared" si="0"/>
        <v>INS</v>
      </c>
      <c r="G14" s="5" t="e">
        <f>IF(OR(E14="Jeopardy",E14="APP Moonlighting",E14="Differential Pay"),"",Oct[[#This Row],[SysID]])</f>
        <v>#N/A</v>
      </c>
      <c r="H14" s="5" t="e">
        <f>IF(E14="Jeopardy",IF(C14="MD",Relay!$E$7,Relay!$E$8),IF(C14="MD",IF(COUNTIF(G:G,B14)&gt;1,Relay!$E$2,Relay!$E$1),IF(AND(COUNTIF(G:G,B14)&gt;1,COUNTA(A14)&gt;0),Relay!$E$5,Relay!$E$4)))</f>
        <v>#N/A</v>
      </c>
      <c r="I14" s="8">
        <f t="shared" si="1"/>
        <v>0</v>
      </c>
      <c r="J14" s="35"/>
      <c r="K14" s="35"/>
      <c r="L14" s="35"/>
      <c r="M14" s="35"/>
      <c r="N14" s="10" t="e">
        <f>IF(H14=Oct!$E$2,"N",IF(AND(COUNTIF(B:B,B14)=1,D14&gt;14),"Y","N"))</f>
        <v>#N/A</v>
      </c>
      <c r="O14" s="55" t="str">
        <f>IF(COUNT(Oct[[#This Row],[Date]])&gt;0,IF(Oct[[#This Row],[Date]]&gt;14,"Yes","No"),"N/A")</f>
        <v>N/A</v>
      </c>
      <c r="P14" s="55"/>
      <c r="Q14" s="5">
        <f>Relay!A13</f>
        <v>0</v>
      </c>
      <c r="R14" s="5">
        <f>Relay!B13</f>
        <v>12</v>
      </c>
      <c r="S14" s="8">
        <f>IF(Oct[After the 14th?]="No",SUMIF(Oct[SysID],R14,Oct[Pay Amount]),0)+IF(Sept[After the 14th?]="Yes",SUMIF(Sept[SysID],R14,Sept[Pay Amount]),0)</f>
        <v>0</v>
      </c>
      <c r="T14" s="8"/>
      <c r="U14" s="5" t="str">
        <f t="shared" si="2"/>
        <v>N</v>
      </c>
      <c r="X14" s="56"/>
      <c r="Y14" s="56"/>
      <c r="Z14" s="56"/>
      <c r="AA14" s="56"/>
      <c r="AC14" s="56"/>
    </row>
    <row r="15" spans="1:30" x14ac:dyDescent="0.25">
      <c r="A15" s="35"/>
      <c r="B15" s="5" t="e">
        <f>VLOOKUP(A15,Relay!$A$1:$B$50,2,FALSE)</f>
        <v>#N/A</v>
      </c>
      <c r="C15" s="5" t="e">
        <f>VLOOKUP(A15,Relay!$A$2:$C$51,3,FALSE)</f>
        <v>#N/A</v>
      </c>
      <c r="D15" s="39"/>
      <c r="E15" s="35"/>
      <c r="F15" s="35" t="str">
        <f t="shared" si="0"/>
        <v>INS</v>
      </c>
      <c r="G15" s="5" t="e">
        <f>IF(OR(E15="Jeopardy",E15="APP Moonlighting",E15="Differential Pay"),"",Oct[[#This Row],[SysID]])</f>
        <v>#N/A</v>
      </c>
      <c r="H15" s="5" t="e">
        <f>IF(E15="Jeopardy",IF(C15="MD",Relay!$E$7,Relay!$E$8),IF(C15="MD",IF(COUNTIF(G:G,B15)&gt;1,Relay!$E$2,Relay!$E$1),IF(AND(COUNTIF(G:G,B15)&gt;1,COUNTA(A15)&gt;0),Relay!$E$5,Relay!$E$4)))</f>
        <v>#N/A</v>
      </c>
      <c r="I15" s="8">
        <f t="shared" si="1"/>
        <v>0</v>
      </c>
      <c r="J15" s="35"/>
      <c r="K15" s="35"/>
      <c r="L15" s="35"/>
      <c r="M15" s="35"/>
      <c r="N15" s="10" t="e">
        <f>IF(H15=Oct!$E$2,"N",IF(AND(COUNTIF(B:B,B15)=1,D15&gt;14),"Y","N"))</f>
        <v>#N/A</v>
      </c>
      <c r="O15" s="55" t="str">
        <f>IF(COUNT(Oct[[#This Row],[Date]])&gt;0,IF(Oct[[#This Row],[Date]]&gt;14,"Yes","No"),"N/A")</f>
        <v>N/A</v>
      </c>
      <c r="P15" s="55"/>
      <c r="Q15" s="5">
        <f>Relay!A14</f>
        <v>0</v>
      </c>
      <c r="R15" s="5">
        <f>Relay!B14</f>
        <v>13</v>
      </c>
      <c r="S15" s="8">
        <f>IF(Oct[After the 14th?]="No",SUMIF(Oct[SysID],R15,Oct[Pay Amount]),0)+IF(Sept[After the 14th?]="Yes",SUMIF(Sept[SysID],R15,Sept[Pay Amount]),0)</f>
        <v>0</v>
      </c>
      <c r="T15" s="8"/>
      <c r="U15" s="5" t="str">
        <f t="shared" si="2"/>
        <v>N</v>
      </c>
      <c r="X15" s="56"/>
      <c r="Y15" s="56"/>
      <c r="Z15" s="56"/>
      <c r="AA15" s="56"/>
      <c r="AC15" s="56"/>
    </row>
    <row r="16" spans="1:30" x14ac:dyDescent="0.25">
      <c r="A16" s="35"/>
      <c r="B16" s="5" t="e">
        <f>VLOOKUP(A16,Relay!$A$1:$B$50,2,FALSE)</f>
        <v>#N/A</v>
      </c>
      <c r="C16" s="5" t="e">
        <f>VLOOKUP(A16,Relay!$A$2:$C$51,3,FALSE)</f>
        <v>#N/A</v>
      </c>
      <c r="D16" s="39"/>
      <c r="E16" s="35"/>
      <c r="F16" s="35" t="str">
        <f t="shared" si="0"/>
        <v>INS</v>
      </c>
      <c r="G16" s="5" t="e">
        <f>IF(OR(E16="Jeopardy",E16="APP Moonlighting",E16="Differential Pay"),"",Oct[[#This Row],[SysID]])</f>
        <v>#N/A</v>
      </c>
      <c r="H16" s="5" t="e">
        <f>IF(E16="Jeopardy",IF(C16="MD",Relay!$E$7,Relay!$E$8),IF(C16="MD",IF(COUNTIF(G:G,B16)&gt;1,Relay!$E$2,Relay!$E$1),IF(AND(COUNTIF(G:G,B16)&gt;1,COUNTA(A16)&gt;0),Relay!$E$5,Relay!$E$4)))</f>
        <v>#N/A</v>
      </c>
      <c r="I16" s="8">
        <f t="shared" si="1"/>
        <v>0</v>
      </c>
      <c r="J16" s="35"/>
      <c r="K16" s="35"/>
      <c r="L16" s="35"/>
      <c r="M16" s="35"/>
      <c r="N16" s="10" t="e">
        <f>IF(H16=Oct!$E$2,"N",IF(AND(COUNTIF(B:B,B16)=1,D16&gt;14),"Y","N"))</f>
        <v>#N/A</v>
      </c>
      <c r="O16" s="55" t="str">
        <f>IF(COUNT(Oct[[#This Row],[Date]])&gt;0,IF(Oct[[#This Row],[Date]]&gt;14,"Yes","No"),"N/A")</f>
        <v>N/A</v>
      </c>
      <c r="P16" s="55"/>
      <c r="Q16" s="5">
        <f>Relay!A15</f>
        <v>0</v>
      </c>
      <c r="R16" s="5">
        <f>Relay!B15</f>
        <v>14</v>
      </c>
      <c r="S16" s="8">
        <f>IF(Oct[After the 14th?]="No",SUMIF(Oct[SysID],R16,Oct[Pay Amount]),0)+IF(Sept[After the 14th?]="Yes",SUMIF(Sept[SysID],R16,Sept[Pay Amount]),0)</f>
        <v>0</v>
      </c>
      <c r="T16" s="8"/>
      <c r="U16" s="5" t="str">
        <f t="shared" si="2"/>
        <v>N</v>
      </c>
      <c r="X16" s="56"/>
      <c r="Y16" s="56"/>
      <c r="Z16" s="56"/>
      <c r="AA16" s="56"/>
      <c r="AC16" s="56"/>
    </row>
    <row r="17" spans="1:29" x14ac:dyDescent="0.25">
      <c r="A17" s="35"/>
      <c r="B17" s="5" t="e">
        <f>VLOOKUP(A17,Relay!$A$1:$B$50,2,FALSE)</f>
        <v>#N/A</v>
      </c>
      <c r="C17" s="5" t="e">
        <f>VLOOKUP(A17,Relay!$A$2:$C$51,3,FALSE)</f>
        <v>#N/A</v>
      </c>
      <c r="D17" s="39"/>
      <c r="E17" s="35"/>
      <c r="F17" s="35" t="str">
        <f t="shared" si="0"/>
        <v>INS</v>
      </c>
      <c r="G17" s="5" t="e">
        <f>IF(OR(E17="Jeopardy",E17="APP Moonlighting",E17="Differential Pay"),"",Oct[[#This Row],[SysID]])</f>
        <v>#N/A</v>
      </c>
      <c r="H17" s="5" t="e">
        <f>IF(E17="Jeopardy",IF(C17="MD",Relay!$E$7,Relay!$E$8),IF(C17="MD",IF(COUNTIF(G:G,B17)&gt;1,Relay!$E$2,Relay!$E$1),IF(AND(COUNTIF(G:G,B17)&gt;1,COUNTA(A17)&gt;0),Relay!$E$5,Relay!$E$4)))</f>
        <v>#N/A</v>
      </c>
      <c r="I17" s="8">
        <f t="shared" si="1"/>
        <v>0</v>
      </c>
      <c r="J17" s="35"/>
      <c r="K17" s="35"/>
      <c r="L17" s="35"/>
      <c r="M17" s="35"/>
      <c r="N17" s="10" t="e">
        <f>IF(H17=Oct!$E$2,"N",IF(AND(COUNTIF(B:B,B17)=1,D17&gt;14),"Y","N"))</f>
        <v>#N/A</v>
      </c>
      <c r="O17" s="55" t="str">
        <f>IF(COUNT(Oct[[#This Row],[Date]])&gt;0,IF(Oct[[#This Row],[Date]]&gt;14,"Yes","No"),"N/A")</f>
        <v>N/A</v>
      </c>
      <c r="P17" s="55"/>
      <c r="Q17" s="5">
        <f>Relay!A16</f>
        <v>0</v>
      </c>
      <c r="R17" s="5">
        <f>Relay!B16</f>
        <v>15</v>
      </c>
      <c r="S17" s="8">
        <f>IF(Oct[After the 14th?]="No",SUMIF(Oct[SysID],R17,Oct[Pay Amount]),0)+IF(Sept[After the 14th?]="Yes",SUMIF(Sept[SysID],R17,Sept[Pay Amount]),0)</f>
        <v>0</v>
      </c>
      <c r="T17" s="8"/>
      <c r="U17" s="5" t="str">
        <f t="shared" si="2"/>
        <v>N</v>
      </c>
      <c r="X17" s="56"/>
      <c r="Y17" s="56"/>
      <c r="Z17" s="56"/>
      <c r="AA17" s="56"/>
      <c r="AC17" s="56"/>
    </row>
    <row r="18" spans="1:29" x14ac:dyDescent="0.25">
      <c r="A18" s="35"/>
      <c r="B18" s="5" t="e">
        <f>VLOOKUP(A18,Relay!$A$1:$B$50,2,FALSE)</f>
        <v>#N/A</v>
      </c>
      <c r="C18" s="5" t="e">
        <f>VLOOKUP(A18,Relay!$A$2:$C$51,3,FALSE)</f>
        <v>#N/A</v>
      </c>
      <c r="D18" s="39"/>
      <c r="E18" s="35"/>
      <c r="F18" s="35" t="str">
        <f t="shared" si="0"/>
        <v>INS</v>
      </c>
      <c r="G18" s="5" t="e">
        <f>IF(OR(E18="Jeopardy",E18="APP Moonlighting",E18="Differential Pay"),"",Oct[[#This Row],[SysID]])</f>
        <v>#N/A</v>
      </c>
      <c r="H18" s="5" t="e">
        <f>IF(E18="Jeopardy",IF(C18="MD",Relay!$E$7,Relay!$E$8),IF(C18="MD",IF(COUNTIF(G:G,B18)&gt;1,Relay!$E$2,Relay!$E$1),IF(AND(COUNTIF(G:G,B18)&gt;1,COUNTA(A18)&gt;0),Relay!$E$5,Relay!$E$4)))</f>
        <v>#N/A</v>
      </c>
      <c r="I18" s="8">
        <f t="shared" si="1"/>
        <v>0</v>
      </c>
      <c r="J18" s="35"/>
      <c r="K18" s="35"/>
      <c r="L18" s="35"/>
      <c r="M18" s="35"/>
      <c r="N18" s="10" t="e">
        <f>IF(H18=Oct!$E$2,"N",IF(AND(COUNTIF(B:B,B18)=1,D18&gt;14),"Y","N"))</f>
        <v>#N/A</v>
      </c>
      <c r="O18" s="55" t="str">
        <f>IF(COUNT(Oct[[#This Row],[Date]])&gt;0,IF(Oct[[#This Row],[Date]]&gt;14,"Yes","No"),"N/A")</f>
        <v>N/A</v>
      </c>
      <c r="P18" s="55"/>
      <c r="Q18" s="5">
        <f>Relay!A17</f>
        <v>0</v>
      </c>
      <c r="R18" s="5">
        <f>Relay!B17</f>
        <v>16</v>
      </c>
      <c r="S18" s="8">
        <f>IF(Oct[After the 14th?]="No",SUMIF(Oct[SysID],R18,Oct[Pay Amount]),0)+IF(Sept[After the 14th?]="Yes",SUMIF(Sept[SysID],R18,Sept[Pay Amount]),0)</f>
        <v>0</v>
      </c>
      <c r="T18" s="8"/>
      <c r="U18" s="5" t="str">
        <f t="shared" si="2"/>
        <v>N</v>
      </c>
      <c r="X18" s="56"/>
      <c r="Y18" s="56"/>
      <c r="Z18" s="56"/>
      <c r="AA18" s="56"/>
      <c r="AC18" s="56"/>
    </row>
    <row r="19" spans="1:29" x14ac:dyDescent="0.25">
      <c r="A19" s="35"/>
      <c r="B19" s="5" t="e">
        <f>VLOOKUP(A19,Relay!$A$1:$B$50,2,FALSE)</f>
        <v>#N/A</v>
      </c>
      <c r="C19" s="5" t="e">
        <f>VLOOKUP(A19,Relay!$A$2:$C$51,3,FALSE)</f>
        <v>#N/A</v>
      </c>
      <c r="D19" s="39"/>
      <c r="E19" s="35"/>
      <c r="F19" s="35" t="str">
        <f t="shared" si="0"/>
        <v>INS</v>
      </c>
      <c r="G19" s="5" t="e">
        <f>IF(OR(E19="Jeopardy",E19="APP Moonlighting",E19="Differential Pay"),"",Oct[[#This Row],[SysID]])</f>
        <v>#N/A</v>
      </c>
      <c r="H19" s="5" t="e">
        <f>IF(E19="Jeopardy",IF(C19="MD",Relay!$E$7,Relay!$E$8),IF(C19="MD",IF(COUNTIF(G:G,B19)&gt;1,Relay!$E$2,Relay!$E$1),IF(AND(COUNTIF(G:G,B19)&gt;1,COUNTA(A19)&gt;0),Relay!$E$5,Relay!$E$4)))</f>
        <v>#N/A</v>
      </c>
      <c r="I19" s="8">
        <f t="shared" si="1"/>
        <v>0</v>
      </c>
      <c r="J19" s="35"/>
      <c r="K19" s="35"/>
      <c r="L19" s="35"/>
      <c r="M19" s="35"/>
      <c r="N19" s="10" t="e">
        <f>IF(H19=Oct!$E$2,"N",IF(AND(COUNTIF(B:B,B19)=1,D19&gt;14),"Y","N"))</f>
        <v>#N/A</v>
      </c>
      <c r="O19" s="55" t="str">
        <f>IF(COUNT(Oct[[#This Row],[Date]])&gt;0,IF(Oct[[#This Row],[Date]]&gt;14,"Yes","No"),"N/A")</f>
        <v>N/A</v>
      </c>
      <c r="P19" s="55"/>
      <c r="Q19" s="5">
        <f>Relay!A18</f>
        <v>0</v>
      </c>
      <c r="R19" s="5">
        <f>Relay!B18</f>
        <v>17</v>
      </c>
      <c r="S19" s="8">
        <f>IF(Oct[After the 14th?]="No",SUMIF(Oct[SysID],R19,Oct[Pay Amount]),0)+IF(Sept[After the 14th?]="Yes",SUMIF(Sept[SysID],R19,Sept[Pay Amount]),0)</f>
        <v>0</v>
      </c>
      <c r="T19" s="8"/>
      <c r="U19" s="5" t="str">
        <f t="shared" si="2"/>
        <v>N</v>
      </c>
      <c r="X19" s="56"/>
      <c r="Y19" s="56"/>
      <c r="Z19" s="56"/>
      <c r="AA19" s="56"/>
      <c r="AC19" s="56"/>
    </row>
    <row r="20" spans="1:29" x14ac:dyDescent="0.25">
      <c r="A20" s="35"/>
      <c r="B20" s="5" t="e">
        <f>VLOOKUP(A20,Relay!$A$1:$B$50,2,FALSE)</f>
        <v>#N/A</v>
      </c>
      <c r="C20" s="5" t="e">
        <f>VLOOKUP(A20,Relay!$A$2:$C$51,3,FALSE)</f>
        <v>#N/A</v>
      </c>
      <c r="D20" s="39"/>
      <c r="E20" s="35"/>
      <c r="F20" s="35" t="str">
        <f t="shared" si="0"/>
        <v>INS</v>
      </c>
      <c r="G20" s="5" t="e">
        <f>IF(OR(E20="Jeopardy",E20="APP Moonlighting",E20="Differential Pay"),"",Oct[[#This Row],[SysID]])</f>
        <v>#N/A</v>
      </c>
      <c r="H20" s="5" t="e">
        <f>IF(E20="Jeopardy",IF(C20="MD",Relay!$E$7,Relay!$E$8),IF(C20="MD",IF(COUNTIF(G:G,B20)&gt;1,Relay!$E$2,Relay!$E$1),IF(AND(COUNTIF(G:G,B20)&gt;1,COUNTA(A20)&gt;0),Relay!$E$5,Relay!$E$4)))</f>
        <v>#N/A</v>
      </c>
      <c r="I20" s="8">
        <f t="shared" si="1"/>
        <v>0</v>
      </c>
      <c r="J20" s="35"/>
      <c r="K20" s="35"/>
      <c r="L20" s="35"/>
      <c r="M20" s="35"/>
      <c r="N20" s="10" t="e">
        <f>IF(H20=Oct!$E$2,"N",IF(AND(COUNTIF(B:B,B20)=1,D20&gt;14),"Y","N"))</f>
        <v>#N/A</v>
      </c>
      <c r="O20" s="55" t="str">
        <f>IF(COUNT(Oct[[#This Row],[Date]])&gt;0,IF(Oct[[#This Row],[Date]]&gt;14,"Yes","No"),"N/A")</f>
        <v>N/A</v>
      </c>
      <c r="P20" s="55"/>
      <c r="Q20" s="5">
        <f>Relay!A19</f>
        <v>0</v>
      </c>
      <c r="R20" s="5">
        <f>Relay!B19</f>
        <v>18</v>
      </c>
      <c r="S20" s="8">
        <f>IF(Oct[After the 14th?]="No",SUMIF(Oct[SysID],R20,Oct[Pay Amount]),0)+IF(Sept[After the 14th?]="Yes",SUMIF(Sept[SysID],R20,Sept[Pay Amount]),0)</f>
        <v>0</v>
      </c>
      <c r="T20" s="8"/>
      <c r="U20" s="5" t="str">
        <f t="shared" si="2"/>
        <v>N</v>
      </c>
      <c r="X20" s="56"/>
      <c r="Y20" s="56"/>
      <c r="Z20" s="56"/>
      <c r="AA20" s="56"/>
      <c r="AC20" s="56"/>
    </row>
    <row r="21" spans="1:29" x14ac:dyDescent="0.25">
      <c r="A21" s="35"/>
      <c r="B21" s="5" t="e">
        <f>VLOOKUP(A21,Relay!$A$1:$B$50,2,FALSE)</f>
        <v>#N/A</v>
      </c>
      <c r="C21" s="5" t="e">
        <f>VLOOKUP(A21,Relay!$A$2:$C$51,3,FALSE)</f>
        <v>#N/A</v>
      </c>
      <c r="D21" s="39"/>
      <c r="E21" s="35"/>
      <c r="F21" s="35" t="str">
        <f t="shared" si="0"/>
        <v>INS</v>
      </c>
      <c r="G21" s="5" t="e">
        <f>IF(OR(E21="Jeopardy",E21="APP Moonlighting",E21="Differential Pay"),"",Oct[[#This Row],[SysID]])</f>
        <v>#N/A</v>
      </c>
      <c r="H21" s="5" t="e">
        <f>IF(E21="Jeopardy",IF(C21="MD",Relay!$E$7,Relay!$E$8),IF(C21="MD",IF(COUNTIF(G:G,B21)&gt;1,Relay!$E$2,Relay!$E$1),IF(AND(COUNTIF(G:G,B21)&gt;1,COUNTA(A21)&gt;0),Relay!$E$5,Relay!$E$4)))</f>
        <v>#N/A</v>
      </c>
      <c r="I21" s="8">
        <f t="shared" si="1"/>
        <v>0</v>
      </c>
      <c r="J21" s="35"/>
      <c r="K21" s="35"/>
      <c r="L21" s="35"/>
      <c r="M21" s="35"/>
      <c r="N21" s="10" t="e">
        <f>IF(H21=Oct!$E$2,"N",IF(AND(COUNTIF(B:B,B21)=1,D21&gt;14),"Y","N"))</f>
        <v>#N/A</v>
      </c>
      <c r="O21" s="55" t="str">
        <f>IF(COUNT(Oct[[#This Row],[Date]])&gt;0,IF(Oct[[#This Row],[Date]]&gt;14,"Yes","No"),"N/A")</f>
        <v>N/A</v>
      </c>
      <c r="P21" s="55"/>
      <c r="Q21" s="5">
        <f>Relay!A20</f>
        <v>0</v>
      </c>
      <c r="R21" s="5">
        <f>Relay!B20</f>
        <v>19</v>
      </c>
      <c r="S21" s="8">
        <f>IF(Oct[After the 14th?]="No",SUMIF(Oct[SysID],R21,Oct[Pay Amount]),0)+IF(Sept[After the 14th?]="Yes",SUMIF(Sept[SysID],R21,Sept[Pay Amount]),0)</f>
        <v>0</v>
      </c>
      <c r="T21" s="8"/>
      <c r="U21" s="5" t="str">
        <f t="shared" si="2"/>
        <v>N</v>
      </c>
      <c r="X21" s="56"/>
      <c r="Y21" s="56"/>
      <c r="Z21" s="56"/>
      <c r="AA21" s="56"/>
      <c r="AC21" s="56"/>
    </row>
    <row r="22" spans="1:29" x14ac:dyDescent="0.25">
      <c r="A22" s="35"/>
      <c r="B22" s="5" t="e">
        <f>VLOOKUP(A22,Relay!$A$1:$B$50,2,FALSE)</f>
        <v>#N/A</v>
      </c>
      <c r="C22" s="5" t="e">
        <f>VLOOKUP(A22,Relay!$A$2:$C$51,3,FALSE)</f>
        <v>#N/A</v>
      </c>
      <c r="D22" s="39"/>
      <c r="E22" s="35"/>
      <c r="F22" s="35" t="str">
        <f t="shared" si="0"/>
        <v>INS</v>
      </c>
      <c r="G22" s="5" t="e">
        <f>IF(OR(E22="Jeopardy",E22="APP Moonlighting",E22="Differential Pay"),"",Oct[[#This Row],[SysID]])</f>
        <v>#N/A</v>
      </c>
      <c r="H22" s="5" t="e">
        <f>IF(E22="Jeopardy",IF(C22="MD",Relay!$E$7,Relay!$E$8),IF(C22="MD",IF(COUNTIF(G:G,B22)&gt;1,Relay!$E$2,Relay!$E$1),IF(AND(COUNTIF(G:G,B22)&gt;1,COUNTA(A22)&gt;0),Relay!$E$5,Relay!$E$4)))</f>
        <v>#N/A</v>
      </c>
      <c r="I22" s="8">
        <f t="shared" si="1"/>
        <v>0</v>
      </c>
      <c r="J22" s="35"/>
      <c r="K22" s="35"/>
      <c r="L22" s="35"/>
      <c r="M22" s="35"/>
      <c r="N22" s="10" t="e">
        <f>IF(H22=Oct!$E$2,"N",IF(AND(COUNTIF(B:B,B22)=1,D22&gt;14),"Y","N"))</f>
        <v>#N/A</v>
      </c>
      <c r="O22" s="55" t="str">
        <f>IF(COUNT(Oct[[#This Row],[Date]])&gt;0,IF(Oct[[#This Row],[Date]]&gt;14,"Yes","No"),"N/A")</f>
        <v>N/A</v>
      </c>
      <c r="P22" s="55"/>
      <c r="Q22" s="5">
        <f>Relay!A21</f>
        <v>0</v>
      </c>
      <c r="R22" s="5">
        <f>Relay!B21</f>
        <v>20</v>
      </c>
      <c r="S22" s="8">
        <f>IF(Oct[After the 14th?]="No",SUMIF(Oct[SysID],R22,Oct[Pay Amount]),0)+IF(Sept[After the 14th?]="Yes",SUMIF(Sept[SysID],R22,Sept[Pay Amount]),0)</f>
        <v>0</v>
      </c>
      <c r="T22" s="8"/>
      <c r="U22" s="5" t="str">
        <f t="shared" si="2"/>
        <v>N</v>
      </c>
      <c r="X22" s="56"/>
      <c r="Y22" s="56"/>
      <c r="Z22" s="56"/>
      <c r="AA22" s="56"/>
      <c r="AC22" s="56"/>
    </row>
    <row r="23" spans="1:29" x14ac:dyDescent="0.25">
      <c r="A23" s="35"/>
      <c r="B23" s="5" t="e">
        <f>VLOOKUP(A23,Relay!$A$1:$B$50,2,FALSE)</f>
        <v>#N/A</v>
      </c>
      <c r="C23" s="5" t="e">
        <f>VLOOKUP(A23,Relay!$A$2:$C$51,3,FALSE)</f>
        <v>#N/A</v>
      </c>
      <c r="D23" s="39"/>
      <c r="E23" s="35"/>
      <c r="F23" s="35" t="str">
        <f t="shared" si="0"/>
        <v>INS</v>
      </c>
      <c r="G23" s="5" t="e">
        <f>IF(OR(E23="Jeopardy",E23="APP Moonlighting",E23="Differential Pay"),"",Oct[[#This Row],[SysID]])</f>
        <v>#N/A</v>
      </c>
      <c r="H23" s="5" t="e">
        <f>IF(E23="Jeopardy",IF(C23="MD",Relay!$E$7,Relay!$E$8),IF(C23="MD",IF(COUNTIF(G:G,B23)&gt;1,Relay!$E$2,Relay!$E$1),IF(AND(COUNTIF(G:G,B23)&gt;1,COUNTA(A23)&gt;0),Relay!$E$5,Relay!$E$4)))</f>
        <v>#N/A</v>
      </c>
      <c r="I23" s="8">
        <f t="shared" si="1"/>
        <v>0</v>
      </c>
      <c r="J23" s="35"/>
      <c r="K23" s="35"/>
      <c r="L23" s="35"/>
      <c r="M23" s="35"/>
      <c r="N23" s="10" t="e">
        <f>IF(H23=Oct!$E$2,"N",IF(AND(COUNTIF(B:B,B23)=1,D23&gt;14),"Y","N"))</f>
        <v>#N/A</v>
      </c>
      <c r="O23" s="55" t="str">
        <f>IF(COUNT(Oct[[#This Row],[Date]])&gt;0,IF(Oct[[#This Row],[Date]]&gt;14,"Yes","No"),"N/A")</f>
        <v>N/A</v>
      </c>
      <c r="P23" s="55"/>
      <c r="Q23" s="5">
        <f>Relay!A22</f>
        <v>0</v>
      </c>
      <c r="R23" s="5">
        <f>Relay!B22</f>
        <v>21</v>
      </c>
      <c r="S23" s="8">
        <f>IF(Oct[After the 14th?]="No",SUMIF(Oct[SysID],R23,Oct[Pay Amount]),0)+IF(Sept[After the 14th?]="Yes",SUMIF(Sept[SysID],R23,Sept[Pay Amount]),0)</f>
        <v>0</v>
      </c>
      <c r="T23" s="8"/>
      <c r="U23" s="5" t="str">
        <f t="shared" si="2"/>
        <v>N</v>
      </c>
      <c r="X23" s="56"/>
      <c r="Y23" s="56"/>
      <c r="Z23" s="56"/>
      <c r="AA23" s="56"/>
      <c r="AC23" s="56"/>
    </row>
    <row r="24" spans="1:29" x14ac:dyDescent="0.25">
      <c r="A24" s="35"/>
      <c r="B24" s="5" t="e">
        <f>VLOOKUP(A24,Relay!$A$1:$B$50,2,FALSE)</f>
        <v>#N/A</v>
      </c>
      <c r="C24" s="5" t="e">
        <f>VLOOKUP(A24,Relay!$A$2:$C$51,3,FALSE)</f>
        <v>#N/A</v>
      </c>
      <c r="D24" s="39"/>
      <c r="E24" s="35"/>
      <c r="F24" s="35" t="str">
        <f t="shared" si="0"/>
        <v>INS</v>
      </c>
      <c r="G24" s="5" t="e">
        <f>IF(OR(E24="Jeopardy",E24="APP Moonlighting",E24="Differential Pay"),"",Oct[[#This Row],[SysID]])</f>
        <v>#N/A</v>
      </c>
      <c r="H24" s="5" t="e">
        <f>IF(E24="Jeopardy",IF(C24="MD",Relay!$E$7,Relay!$E$8),IF(C24="MD",IF(COUNTIF(G:G,B24)&gt;1,Relay!$E$2,Relay!$E$1),IF(AND(COUNTIF(G:G,B24)&gt;1,COUNTA(A24)&gt;0),Relay!$E$5,Relay!$E$4)))</f>
        <v>#N/A</v>
      </c>
      <c r="I24" s="8">
        <f t="shared" si="1"/>
        <v>0</v>
      </c>
      <c r="J24" s="35"/>
      <c r="K24" s="35"/>
      <c r="L24" s="35"/>
      <c r="M24" s="35"/>
      <c r="N24" s="10" t="e">
        <f>IF(H24=Oct!$E$2,"N",IF(AND(COUNTIF(B:B,B24)=1,D24&gt;14),"Y","N"))</f>
        <v>#N/A</v>
      </c>
      <c r="O24" s="55" t="str">
        <f>IF(COUNT(Oct[[#This Row],[Date]])&gt;0,IF(Oct[[#This Row],[Date]]&gt;14,"Yes","No"),"N/A")</f>
        <v>N/A</v>
      </c>
      <c r="P24" s="55"/>
      <c r="Q24" s="5">
        <f>Relay!A23</f>
        <v>0</v>
      </c>
      <c r="R24" s="5">
        <f>Relay!B23</f>
        <v>22</v>
      </c>
      <c r="S24" s="8">
        <f>IF(Oct[After the 14th?]="No",SUMIF(Oct[SysID],R24,Oct[Pay Amount]),0)+IF(Sept[After the 14th?]="Yes",SUMIF(Sept[SysID],R24,Sept[Pay Amount]),0)</f>
        <v>0</v>
      </c>
      <c r="T24" s="8"/>
      <c r="U24" s="5" t="str">
        <f t="shared" si="2"/>
        <v>N</v>
      </c>
      <c r="X24" s="56"/>
      <c r="Y24" s="56"/>
      <c r="Z24" s="56"/>
      <c r="AA24" s="56"/>
      <c r="AC24" s="56"/>
    </row>
    <row r="25" spans="1:29" x14ac:dyDescent="0.25">
      <c r="A25" s="35"/>
      <c r="B25" s="5" t="e">
        <f>VLOOKUP(A25,Relay!$A$1:$B$50,2,FALSE)</f>
        <v>#N/A</v>
      </c>
      <c r="C25" s="5" t="e">
        <f>VLOOKUP(A25,Relay!$A$2:$C$51,3,FALSE)</f>
        <v>#N/A</v>
      </c>
      <c r="D25" s="39"/>
      <c r="E25" s="35"/>
      <c r="F25" s="35" t="str">
        <f t="shared" si="0"/>
        <v>INS</v>
      </c>
      <c r="G25" s="5" t="e">
        <f>IF(OR(E25="Jeopardy",E25="APP Moonlighting",E25="Differential Pay"),"",Oct[[#This Row],[SysID]])</f>
        <v>#N/A</v>
      </c>
      <c r="H25" s="5" t="e">
        <f>IF(E25="Jeopardy",IF(C25="MD",Relay!$E$7,Relay!$E$8),IF(C25="MD",IF(COUNTIF(G:G,B25)&gt;1,Relay!$E$2,Relay!$E$1),IF(AND(COUNTIF(G:G,B25)&gt;1,COUNTA(A25)&gt;0),Relay!$E$5,Relay!$E$4)))</f>
        <v>#N/A</v>
      </c>
      <c r="I25" s="8">
        <f t="shared" si="1"/>
        <v>0</v>
      </c>
      <c r="J25" s="35"/>
      <c r="K25" s="35"/>
      <c r="L25" s="35"/>
      <c r="M25" s="35"/>
      <c r="N25" s="10" t="e">
        <f>IF(H25=Oct!$E$2,"N",IF(AND(COUNTIF(B:B,B25)=1,D25&gt;14),"Y","N"))</f>
        <v>#N/A</v>
      </c>
      <c r="O25" s="55" t="str">
        <f>IF(COUNT(Oct[[#This Row],[Date]])&gt;0,IF(Oct[[#This Row],[Date]]&gt;14,"Yes","No"),"N/A")</f>
        <v>N/A</v>
      </c>
      <c r="P25" s="55"/>
      <c r="Q25" s="5">
        <f>Relay!A24</f>
        <v>0</v>
      </c>
      <c r="R25" s="5">
        <f>Relay!B24</f>
        <v>23</v>
      </c>
      <c r="S25" s="8">
        <f>IF(Oct[After the 14th?]="No",SUMIF(Oct[SysID],R25,Oct[Pay Amount]),0)+IF(Sept[After the 14th?]="Yes",SUMIF(Sept[SysID],R25,Sept[Pay Amount]),0)</f>
        <v>0</v>
      </c>
      <c r="T25" s="8"/>
      <c r="U25" s="5" t="str">
        <f t="shared" si="2"/>
        <v>N</v>
      </c>
      <c r="X25" s="56"/>
      <c r="Y25" s="56"/>
      <c r="Z25" s="56"/>
      <c r="AA25" s="56"/>
      <c r="AC25" s="56"/>
    </row>
    <row r="26" spans="1:29" x14ac:dyDescent="0.25">
      <c r="A26" s="35"/>
      <c r="B26" s="5" t="e">
        <f>VLOOKUP(A26,Relay!$A$1:$B$50,2,FALSE)</f>
        <v>#N/A</v>
      </c>
      <c r="C26" s="5" t="e">
        <f>VLOOKUP(A26,Relay!$A$2:$C$51,3,FALSE)</f>
        <v>#N/A</v>
      </c>
      <c r="D26" s="39"/>
      <c r="E26" s="35"/>
      <c r="F26" s="35" t="str">
        <f t="shared" si="0"/>
        <v>INS</v>
      </c>
      <c r="G26" s="5" t="e">
        <f>IF(OR(E26="Jeopardy",E26="APP Moonlighting",E26="Differential Pay"),"",Oct[[#This Row],[SysID]])</f>
        <v>#N/A</v>
      </c>
      <c r="H26" s="5" t="e">
        <f>IF(E26="Jeopardy",IF(C26="MD",Relay!$E$7,Relay!$E$8),IF(C26="MD",IF(COUNTIF(G:G,B26)&gt;1,Relay!$E$2,Relay!$E$1),IF(AND(COUNTIF(G:G,B26)&gt;1,COUNTA(A26)&gt;0),Relay!$E$5,Relay!$E$4)))</f>
        <v>#N/A</v>
      </c>
      <c r="I26" s="8">
        <f t="shared" si="1"/>
        <v>0</v>
      </c>
      <c r="J26" s="35"/>
      <c r="K26" s="35"/>
      <c r="L26" s="35"/>
      <c r="M26" s="35"/>
      <c r="N26" s="10" t="e">
        <f>IF(H26=Oct!$E$2,"N",IF(AND(COUNTIF(B:B,B26)=1,D26&gt;14),"Y","N"))</f>
        <v>#N/A</v>
      </c>
      <c r="O26" s="55" t="str">
        <f>IF(COUNT(Oct[[#This Row],[Date]])&gt;0,IF(Oct[[#This Row],[Date]]&gt;14,"Yes","No"),"N/A")</f>
        <v>N/A</v>
      </c>
      <c r="P26" s="55"/>
      <c r="Q26" s="5">
        <f>Relay!A25</f>
        <v>0</v>
      </c>
      <c r="R26" s="5">
        <f>Relay!B25</f>
        <v>24</v>
      </c>
      <c r="S26" s="8">
        <f>IF(Oct[After the 14th?]="No",SUMIF(Oct[SysID],R26,Oct[Pay Amount]),0)+IF(Sept[After the 14th?]="Yes",SUMIF(Sept[SysID],R26,Sept[Pay Amount]),0)</f>
        <v>0</v>
      </c>
      <c r="T26" s="8"/>
      <c r="U26" s="5" t="str">
        <f t="shared" si="2"/>
        <v>N</v>
      </c>
      <c r="X26" s="56"/>
      <c r="Y26" s="56"/>
      <c r="Z26" s="56"/>
      <c r="AA26" s="56"/>
      <c r="AC26" s="56"/>
    </row>
    <row r="27" spans="1:29" x14ac:dyDescent="0.25">
      <c r="A27" s="35"/>
      <c r="B27" s="5" t="e">
        <f>VLOOKUP(A27,Relay!$A$1:$B$50,2,FALSE)</f>
        <v>#N/A</v>
      </c>
      <c r="C27" s="5" t="e">
        <f>VLOOKUP(A27,Relay!$A$2:$C$51,3,FALSE)</f>
        <v>#N/A</v>
      </c>
      <c r="D27" s="39"/>
      <c r="E27" s="35"/>
      <c r="F27" s="35" t="str">
        <f t="shared" si="0"/>
        <v>INS</v>
      </c>
      <c r="G27" s="5" t="e">
        <f>IF(OR(E27="Jeopardy",E27="APP Moonlighting",E27="Differential Pay"),"",Oct[[#This Row],[SysID]])</f>
        <v>#N/A</v>
      </c>
      <c r="H27" s="5" t="e">
        <f>IF(E27="Jeopardy",IF(C27="MD",Relay!$E$7,Relay!$E$8),IF(C27="MD",IF(COUNTIF(G:G,B27)&gt;1,Relay!$E$2,Relay!$E$1),IF(AND(COUNTIF(G:G,B27)&gt;1,COUNTA(A27)&gt;0),Relay!$E$5,Relay!$E$4)))</f>
        <v>#N/A</v>
      </c>
      <c r="I27" s="8">
        <f t="shared" si="1"/>
        <v>0</v>
      </c>
      <c r="J27" s="35"/>
      <c r="K27" s="35"/>
      <c r="L27" s="35"/>
      <c r="M27" s="35"/>
      <c r="N27" s="10" t="e">
        <f>IF(H27=Oct!$E$2,"N",IF(AND(COUNTIF(B:B,B27)=1,D27&gt;14),"Y","N"))</f>
        <v>#N/A</v>
      </c>
      <c r="O27" s="55" t="str">
        <f>IF(COUNT(Oct[[#This Row],[Date]])&gt;0,IF(Oct[[#This Row],[Date]]&gt;14,"Yes","No"),"N/A")</f>
        <v>N/A</v>
      </c>
      <c r="P27" s="55"/>
      <c r="Q27" s="5">
        <f>Relay!A26</f>
        <v>0</v>
      </c>
      <c r="R27" s="5">
        <f>Relay!B26</f>
        <v>25</v>
      </c>
      <c r="S27" s="8">
        <f>IF(Oct[After the 14th?]="No",SUMIF(Oct[SysID],R27,Oct[Pay Amount]),0)+IF(Sept[After the 14th?]="Yes",SUMIF(Sept[SysID],R27,Sept[Pay Amount]),0)</f>
        <v>0</v>
      </c>
      <c r="T27" s="8"/>
      <c r="U27" s="5" t="str">
        <f t="shared" si="2"/>
        <v>N</v>
      </c>
      <c r="X27" s="56"/>
      <c r="Y27" s="56"/>
      <c r="Z27" s="56"/>
      <c r="AA27" s="56"/>
      <c r="AC27" s="56"/>
    </row>
    <row r="28" spans="1:29" x14ac:dyDescent="0.25">
      <c r="A28" s="35"/>
      <c r="B28" s="5" t="e">
        <f>VLOOKUP(A28,Relay!$A$1:$B$50,2,FALSE)</f>
        <v>#N/A</v>
      </c>
      <c r="C28" s="5" t="e">
        <f>VLOOKUP(A28,Relay!$A$2:$C$51,3,FALSE)</f>
        <v>#N/A</v>
      </c>
      <c r="D28" s="39"/>
      <c r="E28" s="35"/>
      <c r="F28" s="35" t="str">
        <f t="shared" si="0"/>
        <v>INS</v>
      </c>
      <c r="G28" s="5" t="e">
        <f>IF(OR(E28="Jeopardy",E28="APP Moonlighting",E28="Differential Pay"),"",Oct[[#This Row],[SysID]])</f>
        <v>#N/A</v>
      </c>
      <c r="H28" s="5" t="e">
        <f>IF(E28="Jeopardy",IF(C28="MD",Relay!$E$7,Relay!$E$8),IF(C28="MD",IF(COUNTIF(G:G,B28)&gt;1,Relay!$E$2,Relay!$E$1),IF(AND(COUNTIF(G:G,B28)&gt;1,COUNTA(A28)&gt;0),Relay!$E$5,Relay!$E$4)))</f>
        <v>#N/A</v>
      </c>
      <c r="I28" s="8">
        <f t="shared" si="1"/>
        <v>0</v>
      </c>
      <c r="J28" s="35"/>
      <c r="K28" s="35"/>
      <c r="L28" s="35"/>
      <c r="M28" s="35"/>
      <c r="N28" s="10" t="e">
        <f>IF(H28=Oct!$E$2,"N",IF(AND(COUNTIF(B:B,B28)=1,D28&gt;14),"Y","N"))</f>
        <v>#N/A</v>
      </c>
      <c r="O28" s="55" t="str">
        <f>IF(COUNT(Oct[[#This Row],[Date]])&gt;0,IF(Oct[[#This Row],[Date]]&gt;14,"Yes","No"),"N/A")</f>
        <v>N/A</v>
      </c>
      <c r="P28" s="55"/>
      <c r="Q28" s="5">
        <f>Relay!A27</f>
        <v>0</v>
      </c>
      <c r="R28" s="5">
        <f>Relay!B27</f>
        <v>26</v>
      </c>
      <c r="S28" s="8">
        <f>IF(Oct[After the 14th?]="No",SUMIF(Oct[SysID],R28,Oct[Pay Amount]),0)+IF(Sept[After the 14th?]="Yes",SUMIF(Sept[SysID],R28,Sept[Pay Amount]),0)</f>
        <v>0</v>
      </c>
      <c r="T28" s="8"/>
      <c r="U28" s="5" t="str">
        <f t="shared" si="2"/>
        <v>N</v>
      </c>
      <c r="X28" s="56"/>
      <c r="Y28" s="56"/>
      <c r="Z28" s="56"/>
      <c r="AA28" s="56"/>
      <c r="AC28" s="56"/>
    </row>
    <row r="29" spans="1:29" x14ac:dyDescent="0.25">
      <c r="A29" s="35"/>
      <c r="B29" s="5" t="e">
        <f>VLOOKUP(A29,Relay!$A$1:$B$50,2,FALSE)</f>
        <v>#N/A</v>
      </c>
      <c r="C29" s="5" t="e">
        <f>VLOOKUP(A29,Relay!$A$2:$C$51,3,FALSE)</f>
        <v>#N/A</v>
      </c>
      <c r="D29" s="39"/>
      <c r="E29" s="35"/>
      <c r="F29" s="35" t="str">
        <f t="shared" si="0"/>
        <v>INS</v>
      </c>
      <c r="G29" s="5" t="e">
        <f>IF(OR(E29="Jeopardy",E29="APP Moonlighting",E29="Differential Pay"),"",Oct[[#This Row],[SysID]])</f>
        <v>#N/A</v>
      </c>
      <c r="H29" s="5" t="e">
        <f>IF(E29="Jeopardy",IF(C29="MD",Relay!$E$7,Relay!$E$8),IF(C29="MD",IF(COUNTIF(G:G,B29)&gt;1,Relay!$E$2,Relay!$E$1),IF(AND(COUNTIF(G:G,B29)&gt;1,COUNTA(A29)&gt;0),Relay!$E$5,Relay!$E$4)))</f>
        <v>#N/A</v>
      </c>
      <c r="I29" s="8">
        <f t="shared" si="1"/>
        <v>0</v>
      </c>
      <c r="J29" s="35"/>
      <c r="K29" s="35"/>
      <c r="L29" s="35"/>
      <c r="M29" s="35"/>
      <c r="N29" s="10" t="e">
        <f>IF(H29=Oct!$E$2,"N",IF(AND(COUNTIF(B:B,B29)=1,D29&gt;14),"Y","N"))</f>
        <v>#N/A</v>
      </c>
      <c r="O29" s="55" t="str">
        <f>IF(COUNT(Oct[[#This Row],[Date]])&gt;0,IF(Oct[[#This Row],[Date]]&gt;14,"Yes","No"),"N/A")</f>
        <v>N/A</v>
      </c>
      <c r="P29" s="55"/>
      <c r="Q29" s="5">
        <f>Relay!A28</f>
        <v>0</v>
      </c>
      <c r="R29" s="5">
        <f>Relay!B28</f>
        <v>27</v>
      </c>
      <c r="S29" s="8">
        <f>IF(Oct[After the 14th?]="No",SUMIF(Oct[SysID],R29,Oct[Pay Amount]),0)+IF(Sept[After the 14th?]="Yes",SUMIF(Sept[SysID],R29,Sept[Pay Amount]),0)</f>
        <v>0</v>
      </c>
      <c r="T29" s="8"/>
      <c r="U29" s="5" t="str">
        <f t="shared" si="2"/>
        <v>N</v>
      </c>
      <c r="X29" s="56"/>
      <c r="Y29" s="56"/>
      <c r="Z29" s="56"/>
      <c r="AA29" s="56"/>
      <c r="AC29" s="56"/>
    </row>
    <row r="30" spans="1:29" x14ac:dyDescent="0.25">
      <c r="A30" s="35"/>
      <c r="B30" s="5" t="e">
        <f>VLOOKUP(A30,Relay!$A$1:$B$50,2,FALSE)</f>
        <v>#N/A</v>
      </c>
      <c r="C30" s="5" t="e">
        <f>VLOOKUP(A30,Relay!$A$2:$C$51,3,FALSE)</f>
        <v>#N/A</v>
      </c>
      <c r="D30" s="39"/>
      <c r="E30" s="35"/>
      <c r="F30" s="35" t="str">
        <f t="shared" si="0"/>
        <v>INS</v>
      </c>
      <c r="G30" s="5" t="e">
        <f>IF(OR(E30="Jeopardy",E30="APP Moonlighting",E30="Differential Pay"),"",Oct[[#This Row],[SysID]])</f>
        <v>#N/A</v>
      </c>
      <c r="H30" s="5" t="e">
        <f>IF(E30="Jeopardy",IF(C30="MD",Relay!$E$7,Relay!$E$8),IF(C30="MD",IF(COUNTIF(G:G,B30)&gt;1,Relay!$E$2,Relay!$E$1),IF(AND(COUNTIF(G:G,B30)&gt;1,COUNTA(A30)&gt;0),Relay!$E$5,Relay!$E$4)))</f>
        <v>#N/A</v>
      </c>
      <c r="I30" s="8">
        <f t="shared" si="1"/>
        <v>0</v>
      </c>
      <c r="J30" s="35"/>
      <c r="K30" s="35"/>
      <c r="L30" s="35"/>
      <c r="M30" s="35"/>
      <c r="N30" s="10" t="e">
        <f>IF(H30=Oct!$E$2,"N",IF(AND(COUNTIF(B:B,B30)=1,D30&gt;14),"Y","N"))</f>
        <v>#N/A</v>
      </c>
      <c r="O30" s="55" t="str">
        <f>IF(COUNT(Oct[[#This Row],[Date]])&gt;0,IF(Oct[[#This Row],[Date]]&gt;14,"Yes","No"),"N/A")</f>
        <v>N/A</v>
      </c>
      <c r="P30" s="55"/>
      <c r="Q30" s="5">
        <f>Relay!A29</f>
        <v>0</v>
      </c>
      <c r="R30" s="5">
        <f>Relay!B29</f>
        <v>28</v>
      </c>
      <c r="S30" s="8">
        <f>IF(Oct[After the 14th?]="No",SUMIF(Oct[SysID],R30,Oct[Pay Amount]),0)+IF(Sept[After the 14th?]="Yes",SUMIF(Sept[SysID],R30,Sept[Pay Amount]),0)</f>
        <v>0</v>
      </c>
      <c r="T30" s="8"/>
      <c r="U30" s="5" t="str">
        <f t="shared" si="2"/>
        <v>N</v>
      </c>
      <c r="X30" s="56"/>
      <c r="Y30" s="56"/>
      <c r="Z30" s="56"/>
      <c r="AA30" s="56"/>
      <c r="AC30" s="56"/>
    </row>
    <row r="31" spans="1:29" x14ac:dyDescent="0.25">
      <c r="A31" s="35"/>
      <c r="B31" s="5" t="e">
        <f>VLOOKUP(A31,Relay!$A$1:$B$50,2,FALSE)</f>
        <v>#N/A</v>
      </c>
      <c r="C31" s="5" t="e">
        <f>VLOOKUP(A31,Relay!$A$2:$C$51,3,FALSE)</f>
        <v>#N/A</v>
      </c>
      <c r="D31" s="39"/>
      <c r="E31" s="35"/>
      <c r="F31" s="35" t="str">
        <f t="shared" si="0"/>
        <v>INS</v>
      </c>
      <c r="G31" s="5" t="e">
        <f>IF(OR(E31="Jeopardy",E31="APP Moonlighting",E31="Differential Pay"),"",Oct[[#This Row],[SysID]])</f>
        <v>#N/A</v>
      </c>
      <c r="H31" s="5" t="e">
        <f>IF(E31="Jeopardy",IF(C31="MD",Relay!$E$7,Relay!$E$8),IF(C31="MD",IF(COUNTIF(G:G,B31)&gt;1,Relay!$E$2,Relay!$E$1),IF(AND(COUNTIF(G:G,B31)&gt;1,COUNTA(A31)&gt;0),Relay!$E$5,Relay!$E$4)))</f>
        <v>#N/A</v>
      </c>
      <c r="I31" s="8">
        <f t="shared" si="1"/>
        <v>0</v>
      </c>
      <c r="J31" s="35"/>
      <c r="K31" s="35"/>
      <c r="L31" s="35"/>
      <c r="M31" s="35"/>
      <c r="N31" s="10" t="e">
        <f>IF(H31=Oct!$E$2,"N",IF(AND(COUNTIF(B:B,B31)=1,D31&gt;14),"Y","N"))</f>
        <v>#N/A</v>
      </c>
      <c r="O31" s="55" t="str">
        <f>IF(COUNT(Oct[[#This Row],[Date]])&gt;0,IF(Oct[[#This Row],[Date]]&gt;14,"Yes","No"),"N/A")</f>
        <v>N/A</v>
      </c>
      <c r="P31" s="55"/>
      <c r="Q31" s="5">
        <f>Relay!A30</f>
        <v>0</v>
      </c>
      <c r="R31" s="5">
        <f>Relay!B30</f>
        <v>29</v>
      </c>
      <c r="S31" s="8">
        <f>IF(Oct[After the 14th?]="No",SUMIF(Oct[SysID],R31,Oct[Pay Amount]),0)+IF(Sept[After the 14th?]="Yes",SUMIF(Sept[SysID],R31,Sept[Pay Amount]),0)</f>
        <v>0</v>
      </c>
      <c r="T31" s="8"/>
      <c r="U31" s="5" t="str">
        <f t="shared" si="2"/>
        <v>N</v>
      </c>
      <c r="X31" s="56"/>
      <c r="Y31" s="56"/>
      <c r="Z31" s="56"/>
      <c r="AA31" s="56"/>
      <c r="AC31" s="56"/>
    </row>
    <row r="32" spans="1:29" x14ac:dyDescent="0.25">
      <c r="A32" s="35"/>
      <c r="B32" s="5" t="e">
        <f>VLOOKUP(A32,Relay!$A$1:$B$50,2,FALSE)</f>
        <v>#N/A</v>
      </c>
      <c r="C32" s="5" t="e">
        <f>VLOOKUP(A32,Relay!$A$2:$C$51,3,FALSE)</f>
        <v>#N/A</v>
      </c>
      <c r="D32" s="39"/>
      <c r="E32" s="35"/>
      <c r="F32" s="35" t="str">
        <f t="shared" si="0"/>
        <v>INS</v>
      </c>
      <c r="G32" s="5" t="e">
        <f>IF(OR(E32="Jeopardy",E32="APP Moonlighting",E32="Differential Pay"),"",Oct[[#This Row],[SysID]])</f>
        <v>#N/A</v>
      </c>
      <c r="H32" s="5" t="e">
        <f>IF(E32="Jeopardy",IF(C32="MD",Relay!$E$7,Relay!$E$8),IF(C32="MD",IF(COUNTIF(G:G,B32)&gt;1,Relay!$E$2,Relay!$E$1),IF(AND(COUNTIF(G:G,B32)&gt;1,COUNTA(A32)&gt;0),Relay!$E$5,Relay!$E$4)))</f>
        <v>#N/A</v>
      </c>
      <c r="I32" s="8">
        <f t="shared" si="1"/>
        <v>0</v>
      </c>
      <c r="J32" s="35"/>
      <c r="K32" s="35"/>
      <c r="L32" s="35"/>
      <c r="M32" s="35"/>
      <c r="N32" s="10" t="e">
        <f>IF(H32=Oct!$E$2,"N",IF(AND(COUNTIF(B:B,B32)=1,D32&gt;14),"Y","N"))</f>
        <v>#N/A</v>
      </c>
      <c r="O32" s="55" t="str">
        <f>IF(COUNT(Oct[[#This Row],[Date]])&gt;0,IF(Oct[[#This Row],[Date]]&gt;14,"Yes","No"),"N/A")</f>
        <v>N/A</v>
      </c>
      <c r="P32" s="55"/>
      <c r="Q32" s="5">
        <f>Relay!A31</f>
        <v>0</v>
      </c>
      <c r="R32" s="5">
        <f>Relay!B31</f>
        <v>30</v>
      </c>
      <c r="S32" s="8">
        <f>IF(Oct[After the 14th?]="No",SUMIF(Oct[SysID],R32,Oct[Pay Amount]),0)+IF(Sept[After the 14th?]="Yes",SUMIF(Sept[SysID],R32,Sept[Pay Amount]),0)</f>
        <v>0</v>
      </c>
      <c r="T32" s="8"/>
      <c r="U32" s="5" t="str">
        <f t="shared" si="2"/>
        <v>N</v>
      </c>
      <c r="X32" s="56"/>
      <c r="Y32" s="56"/>
      <c r="Z32" s="56"/>
      <c r="AA32" s="56"/>
      <c r="AC32" s="56"/>
    </row>
    <row r="33" spans="1:29" x14ac:dyDescent="0.25">
      <c r="A33" s="35"/>
      <c r="B33" s="5" t="e">
        <f>VLOOKUP(A33,Relay!$A$1:$B$50,2,FALSE)</f>
        <v>#N/A</v>
      </c>
      <c r="C33" s="5" t="e">
        <f>VLOOKUP(A33,Relay!$A$2:$C$51,3,FALSE)</f>
        <v>#N/A</v>
      </c>
      <c r="D33" s="39"/>
      <c r="E33" s="35"/>
      <c r="F33" s="35" t="str">
        <f t="shared" si="0"/>
        <v>INS</v>
      </c>
      <c r="G33" s="5" t="e">
        <f>IF(OR(E33="Jeopardy",E33="APP Moonlighting",E33="Differential Pay"),"",Oct[[#This Row],[SysID]])</f>
        <v>#N/A</v>
      </c>
      <c r="H33" s="5" t="e">
        <f>IF(E33="Jeopardy",IF(C33="MD",Relay!$E$7,Relay!$E$8),IF(C33="MD",IF(COUNTIF(G:G,B33)&gt;1,Relay!$E$2,Relay!$E$1),IF(AND(COUNTIF(G:G,B33)&gt;1,COUNTA(A33)&gt;0),Relay!$E$5,Relay!$E$4)))</f>
        <v>#N/A</v>
      </c>
      <c r="I33" s="8">
        <f t="shared" si="1"/>
        <v>0</v>
      </c>
      <c r="J33" s="35"/>
      <c r="K33" s="35"/>
      <c r="L33" s="35"/>
      <c r="M33" s="35"/>
      <c r="N33" s="10" t="e">
        <f>IF(H33=Oct!$E$2,"N",IF(AND(COUNTIF(B:B,B33)=1,D33&gt;14),"Y","N"))</f>
        <v>#N/A</v>
      </c>
      <c r="O33" s="55" t="str">
        <f>IF(COUNT(Oct[[#This Row],[Date]])&gt;0,IF(Oct[[#This Row],[Date]]&gt;14,"Yes","No"),"N/A")</f>
        <v>N/A</v>
      </c>
      <c r="P33" s="55"/>
      <c r="Q33" s="5">
        <f>Relay!A32</f>
        <v>0</v>
      </c>
      <c r="R33" s="5">
        <f>Relay!B32</f>
        <v>31</v>
      </c>
      <c r="S33" s="8">
        <f>IF(Oct[After the 14th?]="No",SUMIF(Oct[SysID],R33,Oct[Pay Amount]),0)+IF(Sept[After the 14th?]="Yes",SUMIF(Sept[SysID],R33,Sept[Pay Amount]),0)</f>
        <v>0</v>
      </c>
      <c r="T33" s="8"/>
      <c r="U33" s="5" t="str">
        <f t="shared" si="2"/>
        <v>N</v>
      </c>
      <c r="X33" s="56"/>
      <c r="Y33" s="56"/>
      <c r="Z33" s="56"/>
      <c r="AA33" s="56"/>
      <c r="AC33" s="56"/>
    </row>
    <row r="34" spans="1:29" x14ac:dyDescent="0.25">
      <c r="A34" s="35"/>
      <c r="B34" s="5" t="e">
        <f>VLOOKUP(A34,Relay!$A$1:$B$50,2,FALSE)</f>
        <v>#N/A</v>
      </c>
      <c r="C34" s="5" t="e">
        <f>VLOOKUP(A34,Relay!$A$2:$C$51,3,FALSE)</f>
        <v>#N/A</v>
      </c>
      <c r="D34" s="39"/>
      <c r="E34" s="35"/>
      <c r="F34" s="35" t="str">
        <f t="shared" si="0"/>
        <v>INS</v>
      </c>
      <c r="G34" s="5" t="e">
        <f>IF(OR(E34="Jeopardy",E34="APP Moonlighting",E34="Differential Pay"),"",Oct[[#This Row],[SysID]])</f>
        <v>#N/A</v>
      </c>
      <c r="H34" s="5" t="e">
        <f>IF(E34="Jeopardy",IF(C34="MD",Relay!$E$7,Relay!$E$8),IF(C34="MD",IF(COUNTIF(G:G,B34)&gt;1,Relay!$E$2,Relay!$E$1),IF(AND(COUNTIF(G:G,B34)&gt;1,COUNTA(A34)&gt;0),Relay!$E$5,Relay!$E$4)))</f>
        <v>#N/A</v>
      </c>
      <c r="I34" s="8">
        <f t="shared" si="1"/>
        <v>0</v>
      </c>
      <c r="J34" s="35"/>
      <c r="K34" s="35"/>
      <c r="L34" s="35"/>
      <c r="M34" s="35"/>
      <c r="N34" s="10" t="e">
        <f>IF(H34=Oct!$E$2,"N",IF(AND(COUNTIF(B:B,B34)=1,D34&gt;14),"Y","N"))</f>
        <v>#N/A</v>
      </c>
      <c r="O34" s="55" t="str">
        <f>IF(COUNT(Oct[[#This Row],[Date]])&gt;0,IF(Oct[[#This Row],[Date]]&gt;14,"Yes","No"),"N/A")</f>
        <v>N/A</v>
      </c>
      <c r="P34" s="55"/>
      <c r="Q34" s="5">
        <f>Relay!A33</f>
        <v>0</v>
      </c>
      <c r="R34" s="5">
        <f>Relay!B33</f>
        <v>32</v>
      </c>
      <c r="S34" s="8">
        <f>IF(Oct[After the 14th?]="No",SUMIF(Oct[SysID],R34,Oct[Pay Amount]),0)+IF(Sept[After the 14th?]="Yes",SUMIF(Sept[SysID],R34,Sept[Pay Amount]),0)</f>
        <v>0</v>
      </c>
      <c r="T34" s="8"/>
      <c r="U34" s="5" t="str">
        <f t="shared" si="2"/>
        <v>N</v>
      </c>
      <c r="X34" s="56"/>
      <c r="Y34" s="56"/>
      <c r="Z34" s="56"/>
      <c r="AA34" s="56"/>
      <c r="AC34" s="56"/>
    </row>
    <row r="35" spans="1:29" x14ac:dyDescent="0.25">
      <c r="A35" s="35"/>
      <c r="B35" s="5" t="e">
        <f>VLOOKUP(A35,Relay!$A$1:$B$50,2,FALSE)</f>
        <v>#N/A</v>
      </c>
      <c r="C35" s="5" t="e">
        <f>VLOOKUP(A35,Relay!$A$2:$C$51,3,FALSE)</f>
        <v>#N/A</v>
      </c>
      <c r="D35" s="39"/>
      <c r="E35" s="35"/>
      <c r="F35" s="35" t="str">
        <f t="shared" si="0"/>
        <v>INS</v>
      </c>
      <c r="G35" s="5" t="e">
        <f>IF(OR(E35="Jeopardy",E35="APP Moonlighting",E35="Differential Pay"),"",Oct[[#This Row],[SysID]])</f>
        <v>#N/A</v>
      </c>
      <c r="H35" s="5" t="e">
        <f>IF(E35="Jeopardy",IF(C35="MD",Relay!$E$7,Relay!$E$8),IF(C35="MD",IF(COUNTIF(G:G,B35)&gt;1,Relay!$E$2,Relay!$E$1),IF(AND(COUNTIF(G:G,B35)&gt;1,COUNTA(A35)&gt;0),Relay!$E$5,Relay!$E$4)))</f>
        <v>#N/A</v>
      </c>
      <c r="I35" s="8">
        <f t="shared" si="1"/>
        <v>0</v>
      </c>
      <c r="J35" s="35"/>
      <c r="K35" s="35"/>
      <c r="L35" s="35"/>
      <c r="M35" s="35"/>
      <c r="N35" s="10" t="e">
        <f>IF(H35=Oct!$E$2,"N",IF(AND(COUNTIF(B:B,B35)=1,D35&gt;14),"Y","N"))</f>
        <v>#N/A</v>
      </c>
      <c r="O35" s="55" t="str">
        <f>IF(COUNT(Oct[[#This Row],[Date]])&gt;0,IF(Oct[[#This Row],[Date]]&gt;14,"Yes","No"),"N/A")</f>
        <v>N/A</v>
      </c>
      <c r="P35" s="55"/>
      <c r="Q35" s="5">
        <f>Relay!A34</f>
        <v>0</v>
      </c>
      <c r="R35" s="5">
        <f>Relay!B34</f>
        <v>33</v>
      </c>
      <c r="S35" s="8">
        <f>IF(Oct[After the 14th?]="No",SUMIF(Oct[SysID],R35,Oct[Pay Amount]),0)+IF(Sept[After the 14th?]="Yes",SUMIF(Sept[SysID],R35,Sept[Pay Amount]),0)</f>
        <v>0</v>
      </c>
      <c r="T35" s="8"/>
      <c r="U35" s="5" t="str">
        <f t="shared" si="2"/>
        <v>N</v>
      </c>
      <c r="X35" s="56"/>
      <c r="Y35" s="56"/>
      <c r="Z35" s="56"/>
      <c r="AA35" s="56"/>
      <c r="AC35" s="56"/>
    </row>
    <row r="36" spans="1:29" x14ac:dyDescent="0.25">
      <c r="A36" s="35"/>
      <c r="B36" s="5" t="e">
        <f>VLOOKUP(A36,Relay!$A$1:$B$50,2,FALSE)</f>
        <v>#N/A</v>
      </c>
      <c r="C36" s="5" t="e">
        <f>VLOOKUP(A36,Relay!$A$2:$C$51,3,FALSE)</f>
        <v>#N/A</v>
      </c>
      <c r="D36" s="39"/>
      <c r="E36" s="35"/>
      <c r="F36" s="35" t="str">
        <f t="shared" si="0"/>
        <v>INS</v>
      </c>
      <c r="G36" s="5" t="e">
        <f>IF(OR(E36="Jeopardy",E36="APP Moonlighting",E36="Differential Pay"),"",Oct[[#This Row],[SysID]])</f>
        <v>#N/A</v>
      </c>
      <c r="H36" s="5" t="e">
        <f>IF(E36="Jeopardy",IF(C36="MD",Relay!$E$7,Relay!$E$8),IF(C36="MD",IF(COUNTIF(G:G,B36)&gt;1,Relay!$E$2,Relay!$E$1),IF(AND(COUNTIF(G:G,B36)&gt;1,COUNTA(A36)&gt;0),Relay!$E$5,Relay!$E$4)))</f>
        <v>#N/A</v>
      </c>
      <c r="I36" s="8">
        <f t="shared" si="1"/>
        <v>0</v>
      </c>
      <c r="J36" s="35"/>
      <c r="K36" s="35"/>
      <c r="L36" s="35"/>
      <c r="M36" s="35"/>
      <c r="N36" s="10" t="e">
        <f>IF(H36=Oct!$E$2,"N",IF(AND(COUNTIF(B:B,B36)=1,D36&gt;14),"Y","N"))</f>
        <v>#N/A</v>
      </c>
      <c r="O36" s="55" t="str">
        <f>IF(COUNT(Oct[[#This Row],[Date]])&gt;0,IF(Oct[[#This Row],[Date]]&gt;14,"Yes","No"),"N/A")</f>
        <v>N/A</v>
      </c>
      <c r="P36" s="55"/>
      <c r="Q36" s="5">
        <f>Relay!A35</f>
        <v>0</v>
      </c>
      <c r="R36" s="5">
        <f>Relay!B35</f>
        <v>34</v>
      </c>
      <c r="S36" s="8">
        <f>IF(Oct[After the 14th?]="No",SUMIF(Oct[SysID],R36,Oct[Pay Amount]),0)+IF(Sept[After the 14th?]="Yes",SUMIF(Sept[SysID],R36,Sept[Pay Amount]),0)</f>
        <v>0</v>
      </c>
      <c r="T36" s="8"/>
      <c r="U36" s="5" t="str">
        <f t="shared" si="2"/>
        <v>N</v>
      </c>
      <c r="X36" s="56"/>
      <c r="Y36" s="56"/>
      <c r="Z36" s="56"/>
      <c r="AA36" s="56"/>
      <c r="AC36" s="56"/>
    </row>
    <row r="37" spans="1:29" x14ac:dyDescent="0.25">
      <c r="A37" s="35"/>
      <c r="B37" s="5" t="e">
        <f>VLOOKUP(A37,Relay!$A$1:$B$50,2,FALSE)</f>
        <v>#N/A</v>
      </c>
      <c r="C37" s="5" t="e">
        <f>VLOOKUP(A37,Relay!$A$2:$C$51,3,FALSE)</f>
        <v>#N/A</v>
      </c>
      <c r="D37" s="39"/>
      <c r="E37" s="35"/>
      <c r="F37" s="35" t="str">
        <f t="shared" si="0"/>
        <v>INS</v>
      </c>
      <c r="G37" s="5" t="e">
        <f>IF(OR(E37="Jeopardy",E37="APP Moonlighting",E37="Differential Pay"),"",Oct[[#This Row],[SysID]])</f>
        <v>#N/A</v>
      </c>
      <c r="H37" s="5" t="e">
        <f>IF(E37="Jeopardy",IF(C37="MD",Relay!$E$7,Relay!$E$8),IF(C37="MD",IF(COUNTIF(G:G,B37)&gt;1,Relay!$E$2,Relay!$E$1),IF(AND(COUNTIF(G:G,B37)&gt;1,COUNTA(A37)&gt;0),Relay!$E$5,Relay!$E$4)))</f>
        <v>#N/A</v>
      </c>
      <c r="I37" s="8">
        <f t="shared" si="1"/>
        <v>0</v>
      </c>
      <c r="J37" s="35"/>
      <c r="K37" s="35"/>
      <c r="L37" s="35"/>
      <c r="M37" s="35"/>
      <c r="N37" s="10" t="e">
        <f>IF(H37=Oct!$E$2,"N",IF(AND(COUNTIF(B:B,B37)=1,D37&gt;14),"Y","N"))</f>
        <v>#N/A</v>
      </c>
      <c r="O37" s="55" t="str">
        <f>IF(COUNT(Oct[[#This Row],[Date]])&gt;0,IF(Oct[[#This Row],[Date]]&gt;14,"Yes","No"),"N/A")</f>
        <v>N/A</v>
      </c>
      <c r="P37" s="55"/>
      <c r="Q37" s="5">
        <f>Relay!A36</f>
        <v>0</v>
      </c>
      <c r="R37" s="5">
        <f>Relay!B36</f>
        <v>35</v>
      </c>
      <c r="S37" s="8">
        <f>IF(Oct[After the 14th?]="No",SUMIF(Oct[SysID],R37,Oct[Pay Amount]),0)+IF(Sept[After the 14th?]="Yes",SUMIF(Sept[SysID],R37,Sept[Pay Amount]),0)</f>
        <v>0</v>
      </c>
      <c r="T37" s="8"/>
      <c r="U37" s="5" t="str">
        <f t="shared" si="2"/>
        <v>N</v>
      </c>
      <c r="X37" s="56"/>
      <c r="Y37" s="56"/>
      <c r="Z37" s="56"/>
      <c r="AA37" s="56"/>
      <c r="AC37" s="56"/>
    </row>
    <row r="38" spans="1:29" x14ac:dyDescent="0.25">
      <c r="A38" s="35"/>
      <c r="B38" s="5" t="e">
        <f>VLOOKUP(A38,Relay!$A$1:$B$50,2,FALSE)</f>
        <v>#N/A</v>
      </c>
      <c r="C38" s="5" t="e">
        <f>VLOOKUP(A38,Relay!$A$2:$C$51,3,FALSE)</f>
        <v>#N/A</v>
      </c>
      <c r="D38" s="39"/>
      <c r="E38" s="35"/>
      <c r="F38" s="35" t="str">
        <f t="shared" si="0"/>
        <v>INS</v>
      </c>
      <c r="G38" s="5" t="e">
        <f>IF(OR(E38="Jeopardy",E38="APP Moonlighting",E38="Differential Pay"),"",Oct[[#This Row],[SysID]])</f>
        <v>#N/A</v>
      </c>
      <c r="H38" s="5" t="e">
        <f>IF(E38="Jeopardy",IF(C38="MD",Relay!$E$7,Relay!$E$8),IF(C38="MD",IF(COUNTIF(G:G,B38)&gt;1,Relay!$E$2,Relay!$E$1),IF(AND(COUNTIF(G:G,B38)&gt;1,COUNTA(A38)&gt;0),Relay!$E$5,Relay!$E$4)))</f>
        <v>#N/A</v>
      </c>
      <c r="I38" s="8">
        <f t="shared" si="1"/>
        <v>0</v>
      </c>
      <c r="J38" s="35"/>
      <c r="K38" s="35"/>
      <c r="L38" s="35"/>
      <c r="M38" s="35"/>
      <c r="N38" s="10" t="e">
        <f>IF(H38=Oct!$E$2,"N",IF(AND(COUNTIF(B:B,B38)=1,D38&gt;14),"Y","N"))</f>
        <v>#N/A</v>
      </c>
      <c r="O38" s="55" t="str">
        <f>IF(COUNT(Oct[[#This Row],[Date]])&gt;0,IF(Oct[[#This Row],[Date]]&gt;14,"Yes","No"),"N/A")</f>
        <v>N/A</v>
      </c>
      <c r="P38" s="55"/>
      <c r="Q38" s="5">
        <f>Relay!A37</f>
        <v>0</v>
      </c>
      <c r="R38" s="5">
        <f>Relay!B37</f>
        <v>36</v>
      </c>
      <c r="S38" s="8">
        <f>IF(Oct[After the 14th?]="No",SUMIF(Oct[SysID],R38,Oct[Pay Amount]),0)+IF(Sept[After the 14th?]="Yes",SUMIF(Sept[SysID],R38,Sept[Pay Amount]),0)</f>
        <v>0</v>
      </c>
      <c r="T38" s="8"/>
      <c r="U38" s="5" t="str">
        <f t="shared" si="2"/>
        <v>N</v>
      </c>
      <c r="X38" s="56"/>
      <c r="Y38" s="56"/>
      <c r="Z38" s="56"/>
      <c r="AA38" s="56"/>
      <c r="AC38" s="56"/>
    </row>
    <row r="39" spans="1:29" x14ac:dyDescent="0.25">
      <c r="A39" s="35"/>
      <c r="B39" s="5" t="e">
        <f>VLOOKUP(A39,Relay!$A$1:$B$50,2,FALSE)</f>
        <v>#N/A</v>
      </c>
      <c r="C39" s="5" t="e">
        <f>VLOOKUP(A39,Relay!$A$2:$C$51,3,FALSE)</f>
        <v>#N/A</v>
      </c>
      <c r="D39" s="39"/>
      <c r="E39" s="35"/>
      <c r="F39" s="35" t="str">
        <f t="shared" si="0"/>
        <v>INS</v>
      </c>
      <c r="G39" s="5" t="e">
        <f>IF(OR(E39="Jeopardy",E39="APP Moonlighting",E39="Differential Pay"),"",Oct[[#This Row],[SysID]])</f>
        <v>#N/A</v>
      </c>
      <c r="H39" s="5" t="e">
        <f>IF(E39="Jeopardy",IF(C39="MD",Relay!$E$7,Relay!$E$8),IF(C39="MD",IF(COUNTIF(G:G,B39)&gt;1,Relay!$E$2,Relay!$E$1),IF(AND(COUNTIF(G:G,B39)&gt;1,COUNTA(A39)&gt;0),Relay!$E$5,Relay!$E$4)))</f>
        <v>#N/A</v>
      </c>
      <c r="I39" s="8">
        <f t="shared" si="1"/>
        <v>0</v>
      </c>
      <c r="J39" s="35"/>
      <c r="K39" s="35"/>
      <c r="L39" s="35"/>
      <c r="M39" s="35"/>
      <c r="N39" s="10" t="e">
        <f>IF(H39=Oct!$E$2,"N",IF(AND(COUNTIF(B:B,B39)=1,D39&gt;14),"Y","N"))</f>
        <v>#N/A</v>
      </c>
      <c r="O39" s="55" t="str">
        <f>IF(COUNT(Oct[[#This Row],[Date]])&gt;0,IF(Oct[[#This Row],[Date]]&gt;14,"Yes","No"),"N/A")</f>
        <v>N/A</v>
      </c>
      <c r="P39" s="55"/>
      <c r="Q39" s="5">
        <f>Relay!A38</f>
        <v>0</v>
      </c>
      <c r="R39" s="5">
        <f>Relay!B38</f>
        <v>37</v>
      </c>
      <c r="S39" s="8">
        <f>IF(Oct[After the 14th?]="No",SUMIF(Oct[SysID],R39,Oct[Pay Amount]),0)+IF(Sept[After the 14th?]="Yes",SUMIF(Sept[SysID],R39,Sept[Pay Amount]),0)</f>
        <v>0</v>
      </c>
      <c r="T39" s="8"/>
      <c r="U39" s="5" t="str">
        <f t="shared" si="2"/>
        <v>N</v>
      </c>
      <c r="X39" s="56"/>
      <c r="Y39" s="56"/>
      <c r="Z39" s="56"/>
      <c r="AA39" s="56"/>
      <c r="AC39" s="56"/>
    </row>
    <row r="40" spans="1:29" x14ac:dyDescent="0.25">
      <c r="A40" s="35"/>
      <c r="B40" s="5" t="e">
        <f>VLOOKUP(A40,Relay!$A$1:$B$50,2,FALSE)</f>
        <v>#N/A</v>
      </c>
      <c r="C40" s="5" t="e">
        <f>VLOOKUP(A40,Relay!$A$2:$C$51,3,FALSE)</f>
        <v>#N/A</v>
      </c>
      <c r="D40" s="39"/>
      <c r="E40" s="35"/>
      <c r="F40" s="35" t="str">
        <f t="shared" si="0"/>
        <v>INS</v>
      </c>
      <c r="G40" s="5" t="e">
        <f>IF(OR(E40="Jeopardy",E40="APP Moonlighting",E40="Differential Pay"),"",Oct[[#This Row],[SysID]])</f>
        <v>#N/A</v>
      </c>
      <c r="H40" s="5" t="e">
        <f>IF(E40="Jeopardy",IF(C40="MD",Relay!$E$7,Relay!$E$8),IF(C40="MD",IF(COUNTIF(G:G,B40)&gt;1,Relay!$E$2,Relay!$E$1),IF(AND(COUNTIF(G:G,B40)&gt;1,COUNTA(A40)&gt;0),Relay!$E$5,Relay!$E$4)))</f>
        <v>#N/A</v>
      </c>
      <c r="I40" s="8">
        <f t="shared" si="1"/>
        <v>0</v>
      </c>
      <c r="J40" s="35"/>
      <c r="K40" s="35"/>
      <c r="L40" s="35"/>
      <c r="M40" s="35"/>
      <c r="N40" s="10" t="e">
        <f>IF(H40=Oct!$E$2,"N",IF(AND(COUNTIF(B:B,B40)=1,D40&gt;14),"Y","N"))</f>
        <v>#N/A</v>
      </c>
      <c r="O40" s="55" t="str">
        <f>IF(COUNT(Oct[[#This Row],[Date]])&gt;0,IF(Oct[[#This Row],[Date]]&gt;14,"Yes","No"),"N/A")</f>
        <v>N/A</v>
      </c>
      <c r="P40" s="55"/>
      <c r="Q40" s="5">
        <f>Relay!A39</f>
        <v>0</v>
      </c>
      <c r="R40" s="5">
        <f>Relay!B39</f>
        <v>38</v>
      </c>
      <c r="S40" s="8">
        <f>IF(Oct[After the 14th?]="No",SUMIF(Oct[SysID],R40,Oct[Pay Amount]),0)+IF(Sept[After the 14th?]="Yes",SUMIF(Sept[SysID],R40,Sept[Pay Amount]),0)</f>
        <v>0</v>
      </c>
      <c r="T40" s="8"/>
      <c r="U40" s="5" t="str">
        <f t="shared" si="2"/>
        <v>N</v>
      </c>
      <c r="X40" s="56"/>
      <c r="Y40" s="56"/>
      <c r="Z40" s="56"/>
      <c r="AA40" s="56"/>
      <c r="AC40" s="56"/>
    </row>
    <row r="41" spans="1:29" x14ac:dyDescent="0.25">
      <c r="A41" s="35"/>
      <c r="B41" s="5" t="e">
        <f>VLOOKUP(A41,Relay!$A$1:$B$50,2,FALSE)</f>
        <v>#N/A</v>
      </c>
      <c r="C41" s="5" t="e">
        <f>VLOOKUP(A41,Relay!$A$2:$C$51,3,FALSE)</f>
        <v>#N/A</v>
      </c>
      <c r="D41" s="39"/>
      <c r="E41" s="35"/>
      <c r="F41" s="35" t="str">
        <f t="shared" si="0"/>
        <v>INS</v>
      </c>
      <c r="G41" s="5" t="e">
        <f>IF(OR(E41="Jeopardy",E41="APP Moonlighting",E41="Differential Pay"),"",Oct[[#This Row],[SysID]])</f>
        <v>#N/A</v>
      </c>
      <c r="H41" s="5" t="e">
        <f>IF(E41="Jeopardy",IF(C41="MD",Relay!$E$7,Relay!$E$8),IF(C41="MD",IF(COUNTIF(G:G,B41)&gt;1,Relay!$E$2,Relay!$E$1),IF(AND(COUNTIF(G:G,B41)&gt;1,COUNTA(A41)&gt;0),Relay!$E$5,Relay!$E$4)))</f>
        <v>#N/A</v>
      </c>
      <c r="I41" s="8">
        <f t="shared" si="1"/>
        <v>0</v>
      </c>
      <c r="J41" s="35"/>
      <c r="K41" s="35"/>
      <c r="L41" s="35"/>
      <c r="M41" s="35"/>
      <c r="N41" s="10" t="e">
        <f>IF(H41=Oct!$E$2,"N",IF(AND(COUNTIF(B:B,B41)=1,D41&gt;14),"Y","N"))</f>
        <v>#N/A</v>
      </c>
      <c r="O41" s="55" t="str">
        <f>IF(COUNT(Oct[[#This Row],[Date]])&gt;0,IF(Oct[[#This Row],[Date]]&gt;14,"Yes","No"),"N/A")</f>
        <v>N/A</v>
      </c>
      <c r="P41" s="55"/>
      <c r="Q41" s="5">
        <f>Relay!A40</f>
        <v>0</v>
      </c>
      <c r="R41" s="5">
        <f>Relay!B40</f>
        <v>39</v>
      </c>
      <c r="S41" s="8">
        <f>IF(Oct[After the 14th?]="No",SUMIF(Oct[SysID],R41,Oct[Pay Amount]),0)+IF(Sept[After the 14th?]="Yes",SUMIF(Sept[SysID],R41,Sept[Pay Amount]),0)</f>
        <v>0</v>
      </c>
      <c r="T41" s="8"/>
      <c r="U41" s="5" t="str">
        <f t="shared" si="2"/>
        <v>N</v>
      </c>
      <c r="X41" s="56"/>
      <c r="Y41" s="56"/>
      <c r="Z41" s="56"/>
      <c r="AA41" s="56"/>
      <c r="AC41" s="56"/>
    </row>
    <row r="42" spans="1:29" x14ac:dyDescent="0.25">
      <c r="A42" s="35"/>
      <c r="B42" s="5" t="e">
        <f>VLOOKUP(A42,Relay!$A$1:$B$50,2,FALSE)</f>
        <v>#N/A</v>
      </c>
      <c r="C42" s="5" t="e">
        <f>VLOOKUP(A42,Relay!$A$2:$C$51,3,FALSE)</f>
        <v>#N/A</v>
      </c>
      <c r="D42" s="39"/>
      <c r="E42" s="35"/>
      <c r="F42" s="35" t="str">
        <f t="shared" si="0"/>
        <v>INS</v>
      </c>
      <c r="G42" s="5" t="e">
        <f>IF(OR(E42="Jeopardy",E42="APP Moonlighting",E42="Differential Pay"),"",Oct[[#This Row],[SysID]])</f>
        <v>#N/A</v>
      </c>
      <c r="H42" s="5" t="e">
        <f>IF(E42="Jeopardy",IF(C42="MD",Relay!$E$7,Relay!$E$8),IF(C42="MD",IF(COUNTIF(G:G,B42)&gt;1,Relay!$E$2,Relay!$E$1),IF(AND(COUNTIF(G:G,B42)&gt;1,COUNTA(A42)&gt;0),Relay!$E$5,Relay!$E$4)))</f>
        <v>#N/A</v>
      </c>
      <c r="I42" s="8">
        <f t="shared" si="1"/>
        <v>0</v>
      </c>
      <c r="J42" s="35"/>
      <c r="K42" s="35"/>
      <c r="L42" s="35"/>
      <c r="M42" s="35"/>
      <c r="N42" s="10" t="e">
        <f>IF(H42=Oct!$E$2,"N",IF(AND(COUNTIF(B:B,B42)=1,D42&gt;14),"Y","N"))</f>
        <v>#N/A</v>
      </c>
      <c r="O42" s="55" t="str">
        <f>IF(COUNT(Oct[[#This Row],[Date]])&gt;0,IF(Oct[[#This Row],[Date]]&gt;14,"Yes","No"),"N/A")</f>
        <v>N/A</v>
      </c>
      <c r="P42" s="55"/>
      <c r="Q42" s="5">
        <f>Relay!A41</f>
        <v>0</v>
      </c>
      <c r="R42" s="5">
        <f>Relay!B41</f>
        <v>40</v>
      </c>
      <c r="S42" s="8">
        <f>IF(Oct[After the 14th?]="No",SUMIF(Oct[SysID],R42,Oct[Pay Amount]),0)+IF(Sept[After the 14th?]="Yes",SUMIF(Sept[SysID],R42,Sept[Pay Amount]),0)</f>
        <v>0</v>
      </c>
      <c r="T42" s="8"/>
      <c r="U42" s="5" t="str">
        <f t="shared" si="2"/>
        <v>N</v>
      </c>
      <c r="X42" s="56"/>
      <c r="Y42" s="56"/>
      <c r="Z42" s="56"/>
      <c r="AA42" s="56"/>
      <c r="AC42" s="56"/>
    </row>
    <row r="43" spans="1:29" x14ac:dyDescent="0.25">
      <c r="A43" s="35"/>
      <c r="B43" s="5" t="e">
        <f>VLOOKUP(A43,Relay!$A$1:$B$50,2,FALSE)</f>
        <v>#N/A</v>
      </c>
      <c r="C43" s="5" t="e">
        <f>VLOOKUP(A43,Relay!$A$2:$C$51,3,FALSE)</f>
        <v>#N/A</v>
      </c>
      <c r="D43" s="39"/>
      <c r="E43" s="35"/>
      <c r="F43" s="35" t="str">
        <f t="shared" si="0"/>
        <v>INS</v>
      </c>
      <c r="G43" s="5" t="e">
        <f>IF(OR(E43="Jeopardy",E43="APP Moonlighting",E43="Differential Pay"),"",Oct[[#This Row],[SysID]])</f>
        <v>#N/A</v>
      </c>
      <c r="H43" s="5" t="e">
        <f>IF(E43="Jeopardy",IF(C43="MD",Relay!$E$7,Relay!$E$8),IF(C43="MD",IF(COUNTIF(G:G,B43)&gt;1,Relay!$E$2,Relay!$E$1),IF(AND(COUNTIF(G:G,B43)&gt;1,COUNTA(A43)&gt;0),Relay!$E$5,Relay!$E$4)))</f>
        <v>#N/A</v>
      </c>
      <c r="I43" s="8">
        <f t="shared" si="1"/>
        <v>0</v>
      </c>
      <c r="J43" s="35"/>
      <c r="K43" s="35"/>
      <c r="L43" s="35"/>
      <c r="M43" s="35"/>
      <c r="N43" s="10" t="e">
        <f>IF(H43=Oct!$E$2,"N",IF(AND(COUNTIF(B:B,B43)=1,D43&gt;14),"Y","N"))</f>
        <v>#N/A</v>
      </c>
      <c r="O43" s="55" t="str">
        <f>IF(COUNT(Oct[[#This Row],[Date]])&gt;0,IF(Oct[[#This Row],[Date]]&gt;14,"Yes","No"),"N/A")</f>
        <v>N/A</v>
      </c>
      <c r="P43" s="55"/>
      <c r="Q43" s="5">
        <f>Relay!A42</f>
        <v>0</v>
      </c>
      <c r="R43" s="5">
        <f>Relay!B42</f>
        <v>41</v>
      </c>
      <c r="S43" s="8">
        <f>IF(Oct[After the 14th?]="No",SUMIF(Oct[SysID],R43,Oct[Pay Amount]),0)+IF(Sept[After the 14th?]="Yes",SUMIF(Sept[SysID],R43,Sept[Pay Amount]),0)</f>
        <v>0</v>
      </c>
      <c r="T43" s="8"/>
      <c r="U43" s="5" t="str">
        <f t="shared" si="2"/>
        <v>N</v>
      </c>
      <c r="X43" s="56"/>
      <c r="Y43" s="56"/>
      <c r="Z43" s="56"/>
      <c r="AA43" s="56"/>
      <c r="AC43" s="56"/>
    </row>
    <row r="44" spans="1:29" x14ac:dyDescent="0.25">
      <c r="A44" s="35"/>
      <c r="B44" s="5" t="e">
        <f>VLOOKUP(A44,Relay!$A$1:$B$50,2,FALSE)</f>
        <v>#N/A</v>
      </c>
      <c r="C44" s="5" t="e">
        <f>VLOOKUP(A44,Relay!$A$2:$C$51,3,FALSE)</f>
        <v>#N/A</v>
      </c>
      <c r="D44" s="39"/>
      <c r="E44" s="35"/>
      <c r="F44" s="35" t="str">
        <f t="shared" si="0"/>
        <v>INS</v>
      </c>
      <c r="G44" s="5" t="e">
        <f>IF(OR(E44="Jeopardy",E44="APP Moonlighting",E44="Differential Pay"),"",Oct[[#This Row],[SysID]])</f>
        <v>#N/A</v>
      </c>
      <c r="H44" s="5" t="e">
        <f>IF(E44="Jeopardy",IF(C44="MD",Relay!$E$7,Relay!$E$8),IF(C44="MD",IF(COUNTIF(G:G,B44)&gt;1,Relay!$E$2,Relay!$E$1),IF(AND(COUNTIF(G:G,B44)&gt;1,COUNTA(A44)&gt;0),Relay!$E$5,Relay!$E$4)))</f>
        <v>#N/A</v>
      </c>
      <c r="I44" s="8">
        <f t="shared" si="1"/>
        <v>0</v>
      </c>
      <c r="J44" s="35"/>
      <c r="K44" s="35"/>
      <c r="L44" s="35"/>
      <c r="M44" s="35"/>
      <c r="N44" s="10" t="e">
        <f>IF(H44=Oct!$E$2,"N",IF(AND(COUNTIF(B:B,B44)=1,D44&gt;14),"Y","N"))</f>
        <v>#N/A</v>
      </c>
      <c r="O44" s="55" t="str">
        <f>IF(COUNT(Oct[[#This Row],[Date]])&gt;0,IF(Oct[[#This Row],[Date]]&gt;14,"Yes","No"),"N/A")</f>
        <v>N/A</v>
      </c>
      <c r="P44" s="55"/>
      <c r="Q44" s="5">
        <f>Relay!A43</f>
        <v>0</v>
      </c>
      <c r="R44" s="5">
        <f>Relay!B43</f>
        <v>42</v>
      </c>
      <c r="S44" s="8">
        <f>IF(Oct[After the 14th?]="No",SUMIF(Oct[SysID],R44,Oct[Pay Amount]),0)+IF(Sept[After the 14th?]="Yes",SUMIF(Sept[SysID],R44,Sept[Pay Amount]),0)</f>
        <v>0</v>
      </c>
      <c r="T44" s="8"/>
      <c r="U44" s="5" t="str">
        <f t="shared" si="2"/>
        <v>N</v>
      </c>
      <c r="X44" s="56"/>
      <c r="Y44" s="56"/>
      <c r="Z44" s="56"/>
      <c r="AA44" s="56"/>
      <c r="AC44" s="56"/>
    </row>
    <row r="45" spans="1:29" x14ac:dyDescent="0.25">
      <c r="A45" s="35"/>
      <c r="B45" s="5" t="e">
        <f>VLOOKUP(A45,Relay!$A$1:$B$50,2,FALSE)</f>
        <v>#N/A</v>
      </c>
      <c r="C45" s="5" t="e">
        <f>VLOOKUP(A45,Relay!$A$2:$C$51,3,FALSE)</f>
        <v>#N/A</v>
      </c>
      <c r="D45" s="39"/>
      <c r="E45" s="35"/>
      <c r="F45" s="35" t="str">
        <f t="shared" si="0"/>
        <v>INS</v>
      </c>
      <c r="G45" s="5" t="e">
        <f>IF(OR(E45="Jeopardy",E45="APP Moonlighting",E45="Differential Pay"),"",Oct[[#This Row],[SysID]])</f>
        <v>#N/A</v>
      </c>
      <c r="H45" s="5" t="e">
        <f>IF(E45="Jeopardy",IF(C45="MD",Relay!$E$7,Relay!$E$8),IF(C45="MD",IF(COUNTIF(G:G,B45)&gt;1,Relay!$E$2,Relay!$E$1),IF(AND(COUNTIF(G:G,B45)&gt;1,COUNTA(A45)&gt;0),Relay!$E$5,Relay!$E$4)))</f>
        <v>#N/A</v>
      </c>
      <c r="I45" s="8">
        <f t="shared" si="1"/>
        <v>0</v>
      </c>
      <c r="J45" s="35"/>
      <c r="K45" s="35"/>
      <c r="L45" s="35"/>
      <c r="M45" s="35"/>
      <c r="N45" s="10" t="e">
        <f>IF(H45=Oct!$E$2,"N",IF(AND(COUNTIF(B:B,B45)=1,D45&gt;14),"Y","N"))</f>
        <v>#N/A</v>
      </c>
      <c r="O45" s="55" t="str">
        <f>IF(COUNT(Oct[[#This Row],[Date]])&gt;0,IF(Oct[[#This Row],[Date]]&gt;14,"Yes","No"),"N/A")</f>
        <v>N/A</v>
      </c>
      <c r="P45" s="55"/>
      <c r="Q45" s="5">
        <f>Relay!A44</f>
        <v>0</v>
      </c>
      <c r="R45" s="5">
        <f>Relay!B44</f>
        <v>43</v>
      </c>
      <c r="S45" s="8">
        <f>IF(Oct[After the 14th?]="No",SUMIF(Oct[SysID],R45,Oct[Pay Amount]),0)+IF(Sept[After the 14th?]="Yes",SUMIF(Sept[SysID],R45,Sept[Pay Amount]),0)</f>
        <v>0</v>
      </c>
      <c r="T45" s="8"/>
      <c r="U45" s="5" t="str">
        <f t="shared" si="2"/>
        <v>N</v>
      </c>
      <c r="X45" s="56"/>
      <c r="Y45" s="56"/>
      <c r="Z45" s="56"/>
      <c r="AA45" s="56"/>
      <c r="AC45" s="56"/>
    </row>
    <row r="46" spans="1:29" x14ac:dyDescent="0.25">
      <c r="A46" s="35"/>
      <c r="B46" s="5" t="e">
        <f>VLOOKUP(A46,Relay!$A$1:$B$50,2,FALSE)</f>
        <v>#N/A</v>
      </c>
      <c r="C46" s="5" t="e">
        <f>VLOOKUP(A46,Relay!$A$2:$C$51,3,FALSE)</f>
        <v>#N/A</v>
      </c>
      <c r="D46" s="39"/>
      <c r="E46" s="35"/>
      <c r="F46" s="35" t="str">
        <f t="shared" si="0"/>
        <v>INS</v>
      </c>
      <c r="G46" s="5" t="e">
        <f>IF(OR(E46="Jeopardy",E46="APP Moonlighting",E46="Differential Pay"),"",Oct[[#This Row],[SysID]])</f>
        <v>#N/A</v>
      </c>
      <c r="H46" s="5" t="e">
        <f>IF(E46="Jeopardy",IF(C46="MD",Relay!$E$7,Relay!$E$8),IF(C46="MD",IF(COUNTIF(G:G,B46)&gt;1,Relay!$E$2,Relay!$E$1),IF(AND(COUNTIF(G:G,B46)&gt;1,COUNTA(A46)&gt;0),Relay!$E$5,Relay!$E$4)))</f>
        <v>#N/A</v>
      </c>
      <c r="I46" s="8">
        <f t="shared" si="1"/>
        <v>0</v>
      </c>
      <c r="J46" s="35"/>
      <c r="K46" s="35"/>
      <c r="L46" s="35"/>
      <c r="M46" s="35"/>
      <c r="N46" s="10" t="e">
        <f>IF(H46=Oct!$E$2,"N",IF(AND(COUNTIF(B:B,B46)=1,D46&gt;14),"Y","N"))</f>
        <v>#N/A</v>
      </c>
      <c r="O46" s="55" t="str">
        <f>IF(COUNT(Oct[[#This Row],[Date]])&gt;0,IF(Oct[[#This Row],[Date]]&gt;14,"Yes","No"),"N/A")</f>
        <v>N/A</v>
      </c>
      <c r="P46" s="55"/>
      <c r="Q46" s="5">
        <f>Relay!A45</f>
        <v>0</v>
      </c>
      <c r="R46" s="5">
        <f>Relay!B45</f>
        <v>44</v>
      </c>
      <c r="S46" s="8">
        <f>IF(Oct[After the 14th?]="No",SUMIF(Oct[SysID],R46,Oct[Pay Amount]),0)+IF(Sept[After the 14th?]="Yes",SUMIF(Sept[SysID],R46,Sept[Pay Amount]),0)</f>
        <v>0</v>
      </c>
      <c r="T46" s="8"/>
      <c r="U46" s="5" t="str">
        <f t="shared" si="2"/>
        <v>N</v>
      </c>
      <c r="X46" s="56"/>
      <c r="Y46" s="56"/>
      <c r="Z46" s="56"/>
      <c r="AA46" s="56"/>
      <c r="AC46" s="56"/>
    </row>
    <row r="47" spans="1:29" x14ac:dyDescent="0.25">
      <c r="A47" s="35"/>
      <c r="B47" s="5" t="e">
        <f>VLOOKUP(A47,Relay!$A$1:$B$50,2,FALSE)</f>
        <v>#N/A</v>
      </c>
      <c r="C47" s="5" t="e">
        <f>VLOOKUP(A47,Relay!$A$2:$C$51,3,FALSE)</f>
        <v>#N/A</v>
      </c>
      <c r="D47" s="39"/>
      <c r="E47" s="35"/>
      <c r="F47" s="35" t="str">
        <f t="shared" si="0"/>
        <v>INS</v>
      </c>
      <c r="G47" s="5" t="e">
        <f>IF(OR(E47="Jeopardy",E47="APP Moonlighting",E47="Differential Pay"),"",Oct[[#This Row],[SysID]])</f>
        <v>#N/A</v>
      </c>
      <c r="H47" s="5" t="e">
        <f>IF(E47="Jeopardy",IF(C47="MD",Relay!$E$7,Relay!$E$8),IF(C47="MD",IF(COUNTIF(G:G,B47)&gt;1,Relay!$E$2,Relay!$E$1),IF(AND(COUNTIF(G:G,B47)&gt;1,COUNTA(A47)&gt;0),Relay!$E$5,Relay!$E$4)))</f>
        <v>#N/A</v>
      </c>
      <c r="I47" s="8">
        <f t="shared" si="1"/>
        <v>0</v>
      </c>
      <c r="J47" s="35"/>
      <c r="K47" s="35"/>
      <c r="L47" s="35"/>
      <c r="M47" s="35"/>
      <c r="N47" s="10" t="e">
        <f>IF(H47=Oct!$E$2,"N",IF(AND(COUNTIF(B:B,B47)=1,D47&gt;14),"Y","N"))</f>
        <v>#N/A</v>
      </c>
      <c r="O47" s="55" t="str">
        <f>IF(COUNT(Oct[[#This Row],[Date]])&gt;0,IF(Oct[[#This Row],[Date]]&gt;14,"Yes","No"),"N/A")</f>
        <v>N/A</v>
      </c>
      <c r="P47" s="55"/>
      <c r="Q47" s="5">
        <f>Relay!A46</f>
        <v>0</v>
      </c>
      <c r="R47" s="5">
        <f>Relay!B46</f>
        <v>45</v>
      </c>
      <c r="S47" s="8">
        <f>IF(Oct[After the 14th?]="No",SUMIF(Oct[SysID],R47,Oct[Pay Amount]),0)+IF(Sept[After the 14th?]="Yes",SUMIF(Sept[SysID],R47,Sept[Pay Amount]),0)</f>
        <v>0</v>
      </c>
      <c r="T47" s="8"/>
      <c r="U47" s="5" t="str">
        <f t="shared" si="2"/>
        <v>N</v>
      </c>
      <c r="X47" s="56"/>
      <c r="Y47" s="56"/>
      <c r="Z47" s="56"/>
      <c r="AA47" s="56"/>
      <c r="AC47" s="56"/>
    </row>
    <row r="48" spans="1:29" x14ac:dyDescent="0.25">
      <c r="A48" s="35"/>
      <c r="B48" s="5" t="e">
        <f>VLOOKUP(A48,Relay!$A$1:$B$50,2,FALSE)</f>
        <v>#N/A</v>
      </c>
      <c r="C48" s="5" t="e">
        <f>VLOOKUP(A48,Relay!$A$2:$C$51,3,FALSE)</f>
        <v>#N/A</v>
      </c>
      <c r="D48" s="39"/>
      <c r="E48" s="35"/>
      <c r="F48" s="35" t="str">
        <f t="shared" si="0"/>
        <v>INS</v>
      </c>
      <c r="G48" s="5" t="e">
        <f>IF(OR(E48="Jeopardy",E48="APP Moonlighting",E48="Differential Pay"),"",Oct[[#This Row],[SysID]])</f>
        <v>#N/A</v>
      </c>
      <c r="H48" s="5" t="e">
        <f>IF(E48="Jeopardy",IF(C48="MD",Relay!$E$7,Relay!$E$8),IF(C48="MD",IF(COUNTIF(G:G,B48)&gt;1,Relay!$E$2,Relay!$E$1),IF(AND(COUNTIF(G:G,B48)&gt;1,COUNTA(A48)&gt;0),Relay!$E$5,Relay!$E$4)))</f>
        <v>#N/A</v>
      </c>
      <c r="I48" s="8">
        <f t="shared" si="1"/>
        <v>0</v>
      </c>
      <c r="J48" s="35"/>
      <c r="K48" s="35"/>
      <c r="L48" s="35"/>
      <c r="M48" s="35"/>
      <c r="N48" s="10" t="e">
        <f>IF(H48=Oct!$E$2,"N",IF(AND(COUNTIF(B:B,B48)=1,D48&gt;14),"Y","N"))</f>
        <v>#N/A</v>
      </c>
      <c r="O48" s="55" t="str">
        <f>IF(COUNT(Oct[[#This Row],[Date]])&gt;0,IF(Oct[[#This Row],[Date]]&gt;14,"Yes","No"),"N/A")</f>
        <v>N/A</v>
      </c>
      <c r="P48" s="55"/>
      <c r="Q48" s="5">
        <f>Relay!A47</f>
        <v>0</v>
      </c>
      <c r="R48" s="5">
        <f>Relay!B47</f>
        <v>46</v>
      </c>
      <c r="S48" s="8">
        <f>IF(Oct[After the 14th?]="No",SUMIF(Oct[SysID],R48,Oct[Pay Amount]),0)+IF(Sept[After the 14th?]="Yes",SUMIF(Sept[SysID],R48,Sept[Pay Amount]),0)</f>
        <v>0</v>
      </c>
      <c r="T48" s="8"/>
      <c r="U48" s="5" t="str">
        <f t="shared" si="2"/>
        <v>N</v>
      </c>
      <c r="X48" s="56"/>
      <c r="Y48" s="56"/>
      <c r="Z48" s="56"/>
      <c r="AA48" s="56"/>
      <c r="AC48" s="56"/>
    </row>
    <row r="49" spans="1:29" x14ac:dyDescent="0.25">
      <c r="A49" s="35"/>
      <c r="B49" s="5" t="e">
        <f>VLOOKUP(A49,Relay!$A$1:$B$50,2,FALSE)</f>
        <v>#N/A</v>
      </c>
      <c r="C49" s="5" t="e">
        <f>VLOOKUP(A49,Relay!$A$2:$C$51,3,FALSE)</f>
        <v>#N/A</v>
      </c>
      <c r="D49" s="39"/>
      <c r="E49" s="35"/>
      <c r="F49" s="35" t="str">
        <f t="shared" si="0"/>
        <v>INS</v>
      </c>
      <c r="G49" s="5" t="e">
        <f>IF(OR(E49="Jeopardy",E49="APP Moonlighting",E49="Differential Pay"),"",Oct[[#This Row],[SysID]])</f>
        <v>#N/A</v>
      </c>
      <c r="H49" s="5" t="e">
        <f>IF(E49="Jeopardy",IF(C49="MD",Relay!$E$7,Relay!$E$8),IF(C49="MD",IF(COUNTIF(G:G,B49)&gt;1,Relay!$E$2,Relay!$E$1),IF(AND(COUNTIF(G:G,B49)&gt;1,COUNTA(A49)&gt;0),Relay!$E$5,Relay!$E$4)))</f>
        <v>#N/A</v>
      </c>
      <c r="I49" s="8">
        <f t="shared" si="1"/>
        <v>0</v>
      </c>
      <c r="J49" s="35"/>
      <c r="K49" s="35"/>
      <c r="L49" s="35"/>
      <c r="M49" s="35"/>
      <c r="N49" s="10" t="e">
        <f>IF(H49=Oct!$E$2,"N",IF(AND(COUNTIF(B:B,B49)=1,D49&gt;14),"Y","N"))</f>
        <v>#N/A</v>
      </c>
      <c r="O49" s="55" t="str">
        <f>IF(COUNT(Oct[[#This Row],[Date]])&gt;0,IF(Oct[[#This Row],[Date]]&gt;14,"Yes","No"),"N/A")</f>
        <v>N/A</v>
      </c>
      <c r="P49" s="55"/>
      <c r="Q49" s="5">
        <f>Relay!A48</f>
        <v>0</v>
      </c>
      <c r="R49" s="5">
        <f>Relay!B48</f>
        <v>47</v>
      </c>
      <c r="S49" s="8">
        <f>IF(Oct[After the 14th?]="No",SUMIF(Oct[SysID],R49,Oct[Pay Amount]),0)+IF(Sept[After the 14th?]="Yes",SUMIF(Sept[SysID],R49,Sept[Pay Amount]),0)</f>
        <v>0</v>
      </c>
      <c r="T49" s="8"/>
      <c r="U49" s="5" t="str">
        <f t="shared" si="2"/>
        <v>N</v>
      </c>
      <c r="X49" s="56"/>
      <c r="Y49" s="56"/>
      <c r="Z49" s="56"/>
      <c r="AA49" s="56"/>
      <c r="AC49" s="56"/>
    </row>
    <row r="50" spans="1:29" x14ac:dyDescent="0.25">
      <c r="A50" s="35"/>
      <c r="B50" s="5" t="e">
        <f>VLOOKUP(A50,Relay!$A$1:$B$50,2,FALSE)</f>
        <v>#N/A</v>
      </c>
      <c r="C50" s="5" t="e">
        <f>VLOOKUP(A50,Relay!$A$2:$C$51,3,FALSE)</f>
        <v>#N/A</v>
      </c>
      <c r="D50" s="39"/>
      <c r="E50" s="35"/>
      <c r="F50" s="35" t="str">
        <f t="shared" si="0"/>
        <v>INS</v>
      </c>
      <c r="G50" s="5" t="e">
        <f>IF(OR(E50="Jeopardy",E50="APP Moonlighting",E50="Differential Pay"),"",Oct[[#This Row],[SysID]])</f>
        <v>#N/A</v>
      </c>
      <c r="H50" s="5" t="e">
        <f>IF(E50="Jeopardy",IF(C50="MD",Relay!$E$7,Relay!$E$8),IF(C50="MD",IF(COUNTIF(G:G,B50)&gt;1,Relay!$E$2,Relay!$E$1),IF(AND(COUNTIF(G:G,B50)&gt;1,COUNTA(A50)&gt;0),Relay!$E$5,Relay!$E$4)))</f>
        <v>#N/A</v>
      </c>
      <c r="I50" s="8">
        <f t="shared" si="1"/>
        <v>0</v>
      </c>
      <c r="J50" s="35"/>
      <c r="K50" s="35"/>
      <c r="L50" s="35"/>
      <c r="M50" s="35"/>
      <c r="N50" s="10" t="e">
        <f>IF(H50=Oct!$E$2,"N",IF(AND(COUNTIF(B:B,B50)=1,D50&gt;14),"Y","N"))</f>
        <v>#N/A</v>
      </c>
      <c r="O50" s="55" t="str">
        <f>IF(COUNT(Oct[[#This Row],[Date]])&gt;0,IF(Oct[[#This Row],[Date]]&gt;14,"Yes","No"),"N/A")</f>
        <v>N/A</v>
      </c>
      <c r="P50" s="55"/>
      <c r="Q50" s="5">
        <f>Relay!A49</f>
        <v>0</v>
      </c>
      <c r="R50" s="5">
        <f>Relay!B49</f>
        <v>48</v>
      </c>
      <c r="S50" s="8">
        <f>IF(Oct[After the 14th?]="No",SUMIF(Oct[SysID],R50,Oct[Pay Amount]),0)+IF(Sept[After the 14th?]="Yes",SUMIF(Sept[SysID],R50,Sept[Pay Amount]),0)</f>
        <v>0</v>
      </c>
      <c r="T50" s="8"/>
      <c r="U50" s="5" t="str">
        <f t="shared" si="2"/>
        <v>N</v>
      </c>
      <c r="X50" s="56"/>
      <c r="Y50" s="56"/>
      <c r="Z50" s="56"/>
      <c r="AA50" s="56"/>
      <c r="AC50" s="56"/>
    </row>
    <row r="51" spans="1:29" x14ac:dyDescent="0.25">
      <c r="A51" s="35"/>
      <c r="B51" s="32" t="e">
        <f>VLOOKUP(A51,Relay!$A$1:$B$50,2,FALSE)</f>
        <v>#N/A</v>
      </c>
      <c r="C51" s="32" t="e">
        <f>VLOOKUP(A51,Relay!$A$2:$C$101,3,FALSE)</f>
        <v>#N/A</v>
      </c>
      <c r="D51" s="39"/>
      <c r="E51" s="35"/>
      <c r="F51" s="58" t="str">
        <f t="shared" si="0"/>
        <v>INS</v>
      </c>
      <c r="G51" s="32" t="e">
        <f>IF(OR(E51="Jeopardy",E51="APP Moonlighting",E51="Differential Pay"),"",Oct[[#This Row],[SysID]])</f>
        <v>#N/A</v>
      </c>
      <c r="H51" s="32" t="e">
        <f>IF(E51="Jeopardy",IF(C51="MD",Relay!$E$7,Relay!$E$8),IF(C51="MD",IF(COUNTIF(G:G,B51)&gt;1,Relay!$E$2,Relay!$E$1),IF(AND(COUNTIF(G:G,B51)&gt;1,COUNTA(A51)&gt;0),Relay!$E$5,Relay!$E$4)))</f>
        <v>#N/A</v>
      </c>
      <c r="I51" s="8">
        <f t="shared" si="1"/>
        <v>0</v>
      </c>
      <c r="J51" s="35"/>
      <c r="K51" s="35"/>
      <c r="L51" s="35"/>
      <c r="M51" s="35"/>
      <c r="N51" s="32" t="e">
        <f>IF(H51=Oct!$E$2,"N",IF(AND(COUNTIF(B:B,B51)=1,D51&gt;14),"Y","N"))</f>
        <v>#N/A</v>
      </c>
      <c r="O51" s="55" t="str">
        <f>IF(COUNT(Oct[[#This Row],[Date]])&gt;0,IF(Oct[[#This Row],[Date]]&gt;14,"Yes","No"),"N/A")</f>
        <v>N/A</v>
      </c>
      <c r="P51" s="55"/>
      <c r="Q51" s="5">
        <f>Relay!A50</f>
        <v>0</v>
      </c>
      <c r="R51" s="5">
        <f>Relay!B50</f>
        <v>49</v>
      </c>
      <c r="S51" s="8">
        <f>IF(Oct[After the 14th?]="No",SUMIF(Oct[SysID],R51,Oct[Pay Amount]),0)+IF(Sept[After the 14th?]="Yes",SUMIF(Sept[SysID],R51,Sept[Pay Amount]),0)</f>
        <v>0</v>
      </c>
      <c r="T51" s="8"/>
      <c r="U51" s="5" t="str">
        <f t="shared" si="2"/>
        <v>N</v>
      </c>
      <c r="X51" s="56"/>
      <c r="Y51" s="56"/>
      <c r="Z51" s="56"/>
      <c r="AA51" s="56"/>
      <c r="AC51" s="56"/>
    </row>
    <row r="52" spans="1:29" x14ac:dyDescent="0.25">
      <c r="A52" s="35"/>
      <c r="B52" s="32" t="e">
        <f>VLOOKUP(A52,Relay!$A$1:$B$50,2,FALSE)</f>
        <v>#N/A</v>
      </c>
      <c r="C52" s="32" t="e">
        <f>VLOOKUP(A52,Relay!$A$2:$C$101,3,FALSE)</f>
        <v>#N/A</v>
      </c>
      <c r="D52" s="39"/>
      <c r="E52" s="35"/>
      <c r="F52" s="58" t="str">
        <f t="shared" si="0"/>
        <v>INS</v>
      </c>
      <c r="G52" s="32" t="e">
        <f>IF(OR(E52="Jeopardy",E52="APP Moonlighting",E52="Differential Pay"),"",Oct[[#This Row],[SysID]])</f>
        <v>#N/A</v>
      </c>
      <c r="H52" s="32" t="e">
        <f>IF(E52="Jeopardy",IF(C52="MD",Relay!$E$7,Relay!$E$8),IF(C52="MD",IF(COUNTIF(G:G,B52)&gt;1,Relay!$E$2,Relay!$E$1),IF(AND(COUNTIF(G:G,B52)&gt;1,COUNTA(A52)&gt;0),Relay!$E$5,Relay!$E$4)))</f>
        <v>#N/A</v>
      </c>
      <c r="I52" s="8">
        <f t="shared" si="1"/>
        <v>0</v>
      </c>
      <c r="J52" s="35"/>
      <c r="K52" s="35"/>
      <c r="L52" s="35"/>
      <c r="M52" s="35"/>
      <c r="N52" s="32" t="e">
        <f>IF(H52=Oct!$E$2,"N",IF(AND(COUNTIF(B:B,B52)=1,D52&gt;14),"Y","N"))</f>
        <v>#N/A</v>
      </c>
      <c r="O52" s="55" t="str">
        <f>IF(COUNT(Oct[[#This Row],[Date]])&gt;0,IF(Oct[[#This Row],[Date]]&gt;14,"Yes","No"),"N/A")</f>
        <v>N/A</v>
      </c>
      <c r="P52" s="55"/>
      <c r="Q52" s="5">
        <f>Relay!A51</f>
        <v>0</v>
      </c>
      <c r="R52" s="5">
        <f>Relay!B51</f>
        <v>50</v>
      </c>
      <c r="S52" s="8">
        <f>IF(Oct[After the 14th?]="No",SUMIF(Oct[SysID],R52,Oct[Pay Amount]),0)+IF(Sept[After the 14th?]="Yes",SUMIF(Sept[SysID],R52,Sept[Pay Amount]),0)</f>
        <v>0</v>
      </c>
      <c r="T52" s="8"/>
      <c r="U52" s="5" t="str">
        <f t="shared" si="2"/>
        <v>N</v>
      </c>
      <c r="X52" s="56"/>
      <c r="Y52" s="56"/>
      <c r="Z52" s="56"/>
      <c r="AA52" s="56"/>
      <c r="AC52" s="56"/>
    </row>
    <row r="53" spans="1:29" x14ac:dyDescent="0.25">
      <c r="A53" s="35"/>
      <c r="B53" s="32" t="e">
        <f>VLOOKUP(A53,Relay!$A$1:$B$50,2,FALSE)</f>
        <v>#N/A</v>
      </c>
      <c r="C53" s="32" t="e">
        <f>VLOOKUP(A53,Relay!$A$2:$C$101,3,FALSE)</f>
        <v>#N/A</v>
      </c>
      <c r="D53" s="39"/>
      <c r="E53" s="35"/>
      <c r="F53" s="58" t="str">
        <f t="shared" si="0"/>
        <v>INS</v>
      </c>
      <c r="G53" s="32" t="e">
        <f>IF(OR(E53="Jeopardy",E53="APP Moonlighting",E53="Differential Pay"),"",Oct[[#This Row],[SysID]])</f>
        <v>#N/A</v>
      </c>
      <c r="H53" s="32" t="e">
        <f>IF(E53="Jeopardy",IF(C53="MD",Relay!$E$7,Relay!$E$8),IF(C53="MD",IF(COUNTIF(G:G,B53)&gt;1,Relay!$E$2,Relay!$E$1),IF(AND(COUNTIF(G:G,B53)&gt;1,COUNTA(A53)&gt;0),Relay!$E$5,Relay!$E$4)))</f>
        <v>#N/A</v>
      </c>
      <c r="I53" s="8">
        <f t="shared" si="1"/>
        <v>0</v>
      </c>
      <c r="J53" s="35"/>
      <c r="K53" s="35"/>
      <c r="L53" s="35"/>
      <c r="M53" s="35"/>
      <c r="N53" s="32" t="e">
        <f>IF(H53=Oct!$E$2,"N",IF(AND(COUNTIF(B:B,B53)=1,D53&gt;14),"Y","N"))</f>
        <v>#N/A</v>
      </c>
      <c r="O53" s="55" t="str">
        <f>IF(COUNT(Oct[[#This Row],[Date]])&gt;0,IF(Oct[[#This Row],[Date]]&gt;14,"Yes","No"),"N/A")</f>
        <v>N/A</v>
      </c>
      <c r="P53" s="55"/>
      <c r="Q53" s="5">
        <f>Relay!A52</f>
        <v>0</v>
      </c>
      <c r="R53" s="5">
        <f>Relay!B52</f>
        <v>51</v>
      </c>
      <c r="S53" s="8">
        <f>IF(Oct[After the 14th?]="No",SUMIF(Oct[SysID],R53,Oct[Pay Amount]),0)+IF(Sept[After the 14th?]="Yes",SUMIF(Sept[SysID],R53,Sept[Pay Amount]),0)</f>
        <v>0</v>
      </c>
      <c r="T53" s="8"/>
      <c r="U53" s="5" t="str">
        <f t="shared" si="2"/>
        <v>N</v>
      </c>
      <c r="X53" s="56"/>
      <c r="Y53" s="56"/>
      <c r="Z53" s="56"/>
      <c r="AA53" s="56"/>
      <c r="AC53" s="56"/>
    </row>
    <row r="54" spans="1:29" x14ac:dyDescent="0.25">
      <c r="A54" s="35"/>
      <c r="B54" s="32" t="e">
        <f>VLOOKUP(A54,Relay!$A$1:$B$50,2,FALSE)</f>
        <v>#N/A</v>
      </c>
      <c r="C54" s="32" t="e">
        <f>VLOOKUP(A54,Relay!$A$2:$C$101,3,FALSE)</f>
        <v>#N/A</v>
      </c>
      <c r="D54" s="39"/>
      <c r="E54" s="35"/>
      <c r="F54" s="58" t="str">
        <f t="shared" si="0"/>
        <v>INS</v>
      </c>
      <c r="G54" s="32" t="e">
        <f>IF(OR(E54="Jeopardy",E54="APP Moonlighting",E54="Differential Pay"),"",Oct[[#This Row],[SysID]])</f>
        <v>#N/A</v>
      </c>
      <c r="H54" s="32" t="e">
        <f>IF(E54="Jeopardy",IF(C54="MD",Relay!$E$7,Relay!$E$8),IF(C54="MD",IF(COUNTIF(G:G,B54)&gt;1,Relay!$E$2,Relay!$E$1),IF(AND(COUNTIF(G:G,B54)&gt;1,COUNTA(A54)&gt;0),Relay!$E$5,Relay!$E$4)))</f>
        <v>#N/A</v>
      </c>
      <c r="I54" s="8">
        <f t="shared" si="1"/>
        <v>0</v>
      </c>
      <c r="J54" s="35"/>
      <c r="K54" s="35"/>
      <c r="L54" s="35"/>
      <c r="M54" s="35"/>
      <c r="N54" s="32" t="e">
        <f>IF(H54=Oct!$E$2,"N",IF(AND(COUNTIF(B:B,B54)=1,D54&gt;14),"Y","N"))</f>
        <v>#N/A</v>
      </c>
      <c r="O54" s="55" t="str">
        <f>IF(COUNT(Oct[[#This Row],[Date]])&gt;0,IF(Oct[[#This Row],[Date]]&gt;14,"Yes","No"),"N/A")</f>
        <v>N/A</v>
      </c>
      <c r="P54" s="55"/>
      <c r="Q54" s="5">
        <f>Relay!A53</f>
        <v>0</v>
      </c>
      <c r="R54" s="5">
        <f>Relay!B53</f>
        <v>52</v>
      </c>
      <c r="S54" s="8">
        <f>IF(Oct[After the 14th?]="No",SUMIF(Oct[SysID],R54,Oct[Pay Amount]),0)+IF(Sept[After the 14th?]="Yes",SUMIF(Sept[SysID],R54,Sept[Pay Amount]),0)</f>
        <v>0</v>
      </c>
      <c r="T54" s="8"/>
      <c r="U54" s="5" t="str">
        <f t="shared" si="2"/>
        <v>N</v>
      </c>
      <c r="X54" s="56"/>
      <c r="Y54" s="56"/>
      <c r="Z54" s="56"/>
      <c r="AA54" s="56"/>
      <c r="AC54" s="56"/>
    </row>
    <row r="55" spans="1:29" x14ac:dyDescent="0.25">
      <c r="A55" s="35"/>
      <c r="B55" s="32" t="e">
        <f>VLOOKUP(A55,Relay!$A$1:$B$50,2,FALSE)</f>
        <v>#N/A</v>
      </c>
      <c r="C55" s="32" t="e">
        <f>VLOOKUP(A55,Relay!$A$2:$C$101,3,FALSE)</f>
        <v>#N/A</v>
      </c>
      <c r="D55" s="39"/>
      <c r="E55" s="35"/>
      <c r="F55" s="58" t="str">
        <f t="shared" si="0"/>
        <v>INS</v>
      </c>
      <c r="G55" s="32" t="e">
        <f>IF(OR(E55="Jeopardy",E55="APP Moonlighting",E55="Differential Pay"),"",Oct[[#This Row],[SysID]])</f>
        <v>#N/A</v>
      </c>
      <c r="H55" s="32" t="e">
        <f>IF(E55="Jeopardy",IF(C55="MD",Relay!$E$7,Relay!$E$8),IF(C55="MD",IF(COUNTIF(G:G,B55)&gt;1,Relay!$E$2,Relay!$E$1),IF(AND(COUNTIF(G:G,B55)&gt;1,COUNTA(A55)&gt;0),Relay!$E$5,Relay!$E$4)))</f>
        <v>#N/A</v>
      </c>
      <c r="I55" s="8">
        <f t="shared" si="1"/>
        <v>0</v>
      </c>
      <c r="J55" s="35"/>
      <c r="K55" s="35"/>
      <c r="L55" s="35"/>
      <c r="M55" s="35"/>
      <c r="N55" s="32" t="e">
        <f>IF(H55=Oct!$E$2,"N",IF(AND(COUNTIF(B:B,B55)=1,D55&gt;14),"Y","N"))</f>
        <v>#N/A</v>
      </c>
      <c r="O55" s="55" t="str">
        <f>IF(COUNT(Oct[[#This Row],[Date]])&gt;0,IF(Oct[[#This Row],[Date]]&gt;14,"Yes","No"),"N/A")</f>
        <v>N/A</v>
      </c>
      <c r="P55" s="55"/>
      <c r="Q55" s="5">
        <f>Relay!A54</f>
        <v>0</v>
      </c>
      <c r="R55" s="5">
        <f>Relay!B54</f>
        <v>53</v>
      </c>
      <c r="S55" s="8">
        <f>IF(Oct[After the 14th?]="No",SUMIF(Oct[SysID],R55,Oct[Pay Amount]),0)+IF(Sept[After the 14th?]="Yes",SUMIF(Sept[SysID],R55,Sept[Pay Amount]),0)</f>
        <v>0</v>
      </c>
      <c r="T55" s="8"/>
      <c r="U55" s="5" t="str">
        <f t="shared" si="2"/>
        <v>N</v>
      </c>
      <c r="X55" s="56"/>
      <c r="Y55" s="56"/>
      <c r="Z55" s="56"/>
      <c r="AA55" s="56"/>
      <c r="AC55" s="56"/>
    </row>
    <row r="56" spans="1:29" x14ac:dyDescent="0.25">
      <c r="A56" s="35"/>
      <c r="B56" s="32" t="e">
        <f>VLOOKUP(A56,Relay!$A$1:$B$50,2,FALSE)</f>
        <v>#N/A</v>
      </c>
      <c r="C56" s="32" t="e">
        <f>VLOOKUP(A56,Relay!$A$2:$C$101,3,FALSE)</f>
        <v>#N/A</v>
      </c>
      <c r="D56" s="39"/>
      <c r="E56" s="35"/>
      <c r="F56" s="58" t="str">
        <f t="shared" si="0"/>
        <v>INS</v>
      </c>
      <c r="G56" s="32" t="e">
        <f>IF(OR(E56="Jeopardy",E56="APP Moonlighting",E56="Differential Pay"),"",Oct[[#This Row],[SysID]])</f>
        <v>#N/A</v>
      </c>
      <c r="H56" s="32" t="e">
        <f>IF(E56="Jeopardy",IF(C56="MD",Relay!$E$7,Relay!$E$8),IF(C56="MD",IF(COUNTIF(G:G,B56)&gt;1,Relay!$E$2,Relay!$E$1),IF(AND(COUNTIF(G:G,B56)&gt;1,COUNTA(A56)&gt;0),Relay!$E$5,Relay!$E$4)))</f>
        <v>#N/A</v>
      </c>
      <c r="I56" s="8">
        <f t="shared" si="1"/>
        <v>0</v>
      </c>
      <c r="J56" s="35"/>
      <c r="K56" s="35"/>
      <c r="L56" s="35"/>
      <c r="M56" s="35"/>
      <c r="N56" s="32" t="e">
        <f>IF(H56=Oct!$E$2,"N",IF(AND(COUNTIF(B:B,B56)=1,D56&gt;14),"Y","N"))</f>
        <v>#N/A</v>
      </c>
      <c r="O56" s="55" t="str">
        <f>IF(COUNT(Oct[[#This Row],[Date]])&gt;0,IF(Oct[[#This Row],[Date]]&gt;14,"Yes","No"),"N/A")</f>
        <v>N/A</v>
      </c>
      <c r="P56" s="55"/>
      <c r="Q56" s="5">
        <f>Relay!A55</f>
        <v>0</v>
      </c>
      <c r="R56" s="5">
        <f>Relay!B55</f>
        <v>54</v>
      </c>
      <c r="S56" s="8">
        <f>IF(Oct[After the 14th?]="No",SUMIF(Oct[SysID],R56,Oct[Pay Amount]),0)+IF(Sept[After the 14th?]="Yes",SUMIF(Sept[SysID],R56,Sept[Pay Amount]),0)</f>
        <v>0</v>
      </c>
      <c r="T56" s="8"/>
      <c r="U56" s="5" t="str">
        <f t="shared" si="2"/>
        <v>N</v>
      </c>
      <c r="X56" s="56"/>
      <c r="Y56" s="56"/>
      <c r="Z56" s="56"/>
      <c r="AA56" s="56"/>
      <c r="AC56" s="56"/>
    </row>
    <row r="57" spans="1:29" x14ac:dyDescent="0.25">
      <c r="A57" s="35"/>
      <c r="B57" s="32" t="e">
        <f>VLOOKUP(A57,Relay!$A$1:$B$50,2,FALSE)</f>
        <v>#N/A</v>
      </c>
      <c r="C57" s="32" t="e">
        <f>VLOOKUP(A57,Relay!$A$2:$C$101,3,FALSE)</f>
        <v>#N/A</v>
      </c>
      <c r="D57" s="39"/>
      <c r="E57" s="35"/>
      <c r="F57" s="58" t="str">
        <f t="shared" si="0"/>
        <v>INS</v>
      </c>
      <c r="G57" s="32" t="e">
        <f>IF(OR(E57="Jeopardy",E57="APP Moonlighting",E57="Differential Pay"),"",Oct[[#This Row],[SysID]])</f>
        <v>#N/A</v>
      </c>
      <c r="H57" s="32" t="e">
        <f>IF(E57="Jeopardy",IF(C57="MD",Relay!$E$7,Relay!$E$8),IF(C57="MD",IF(COUNTIF(G:G,B57)&gt;1,Relay!$E$2,Relay!$E$1),IF(AND(COUNTIF(G:G,B57)&gt;1,COUNTA(A57)&gt;0),Relay!$E$5,Relay!$E$4)))</f>
        <v>#N/A</v>
      </c>
      <c r="I57" s="8">
        <f t="shared" si="1"/>
        <v>0</v>
      </c>
      <c r="J57" s="35"/>
      <c r="K57" s="35"/>
      <c r="L57" s="35"/>
      <c r="M57" s="35"/>
      <c r="N57" s="32" t="e">
        <f>IF(H57=Oct!$E$2,"N",IF(AND(COUNTIF(B:B,B57)=1,D57&gt;14),"Y","N"))</f>
        <v>#N/A</v>
      </c>
      <c r="O57" s="55" t="str">
        <f>IF(COUNT(Oct[[#This Row],[Date]])&gt;0,IF(Oct[[#This Row],[Date]]&gt;14,"Yes","No"),"N/A")</f>
        <v>N/A</v>
      </c>
      <c r="P57" s="55"/>
      <c r="Q57" s="5">
        <f>Relay!A56</f>
        <v>0</v>
      </c>
      <c r="R57" s="5">
        <f>Relay!B56</f>
        <v>55</v>
      </c>
      <c r="S57" s="8">
        <f>IF(Oct[After the 14th?]="No",SUMIF(Oct[SysID],R57,Oct[Pay Amount]),0)+IF(Sept[After the 14th?]="Yes",SUMIF(Sept[SysID],R57,Sept[Pay Amount]),0)</f>
        <v>0</v>
      </c>
      <c r="T57" s="8"/>
      <c r="U57" s="5" t="str">
        <f t="shared" si="2"/>
        <v>N</v>
      </c>
      <c r="X57" s="56"/>
      <c r="Y57" s="56"/>
      <c r="Z57" s="56"/>
      <c r="AA57" s="56"/>
      <c r="AC57" s="56"/>
    </row>
    <row r="58" spans="1:29" x14ac:dyDescent="0.25">
      <c r="A58" s="35"/>
      <c r="B58" s="32" t="e">
        <f>VLOOKUP(A58,Relay!$A$1:$B$50,2,FALSE)</f>
        <v>#N/A</v>
      </c>
      <c r="C58" s="32" t="e">
        <f>VLOOKUP(A58,Relay!$A$2:$C$101,3,FALSE)</f>
        <v>#N/A</v>
      </c>
      <c r="D58" s="39"/>
      <c r="E58" s="35"/>
      <c r="F58" s="58" t="str">
        <f t="shared" si="0"/>
        <v>INS</v>
      </c>
      <c r="G58" s="32" t="e">
        <f>IF(OR(E58="Jeopardy",E58="APP Moonlighting",E58="Differential Pay"),"",Oct[[#This Row],[SysID]])</f>
        <v>#N/A</v>
      </c>
      <c r="H58" s="32" t="e">
        <f>IF(E58="Jeopardy",IF(C58="MD",Relay!$E$7,Relay!$E$8),IF(C58="MD",IF(COUNTIF(G:G,B58)&gt;1,Relay!$E$2,Relay!$E$1),IF(AND(COUNTIF(G:G,B58)&gt;1,COUNTA(A58)&gt;0),Relay!$E$5,Relay!$E$4)))</f>
        <v>#N/A</v>
      </c>
      <c r="I58" s="8">
        <f t="shared" si="1"/>
        <v>0</v>
      </c>
      <c r="J58" s="35"/>
      <c r="K58" s="35"/>
      <c r="L58" s="35"/>
      <c r="M58" s="35"/>
      <c r="N58" s="32" t="e">
        <f>IF(H58=Oct!$E$2,"N",IF(AND(COUNTIF(B:B,B58)=1,D58&gt;14),"Y","N"))</f>
        <v>#N/A</v>
      </c>
      <c r="O58" s="55" t="str">
        <f>IF(COUNT(Oct[[#This Row],[Date]])&gt;0,IF(Oct[[#This Row],[Date]]&gt;14,"Yes","No"),"N/A")</f>
        <v>N/A</v>
      </c>
      <c r="P58" s="55"/>
      <c r="Q58" s="5">
        <f>Relay!A57</f>
        <v>0</v>
      </c>
      <c r="R58" s="5">
        <f>Relay!B57</f>
        <v>56</v>
      </c>
      <c r="S58" s="8">
        <f>IF(Oct[After the 14th?]="No",SUMIF(Oct[SysID],R58,Oct[Pay Amount]),0)+IF(Sept[After the 14th?]="Yes",SUMIF(Sept[SysID],R58,Sept[Pay Amount]),0)</f>
        <v>0</v>
      </c>
      <c r="T58" s="8"/>
      <c r="U58" s="5" t="str">
        <f t="shared" si="2"/>
        <v>N</v>
      </c>
      <c r="X58" s="56"/>
      <c r="Y58" s="56"/>
      <c r="Z58" s="56"/>
      <c r="AA58" s="56"/>
      <c r="AC58" s="56"/>
    </row>
    <row r="59" spans="1:29" x14ac:dyDescent="0.25">
      <c r="A59" s="35"/>
      <c r="B59" s="32" t="e">
        <f>VLOOKUP(A59,Relay!$A$1:$B$50,2,FALSE)</f>
        <v>#N/A</v>
      </c>
      <c r="C59" s="32" t="e">
        <f>VLOOKUP(A59,Relay!$A$2:$C$101,3,FALSE)</f>
        <v>#N/A</v>
      </c>
      <c r="D59" s="39"/>
      <c r="E59" s="35"/>
      <c r="F59" s="58" t="str">
        <f t="shared" si="0"/>
        <v>INS</v>
      </c>
      <c r="G59" s="32" t="e">
        <f>IF(OR(E59="Jeopardy",E59="APP Moonlighting",E59="Differential Pay"),"",Oct[[#This Row],[SysID]])</f>
        <v>#N/A</v>
      </c>
      <c r="H59" s="32" t="e">
        <f>IF(E59="Jeopardy",IF(C59="MD",Relay!$E$7,Relay!$E$8),IF(C59="MD",IF(COUNTIF(G:G,B59)&gt;1,Relay!$E$2,Relay!$E$1),IF(AND(COUNTIF(G:G,B59)&gt;1,COUNTA(A59)&gt;0),Relay!$E$5,Relay!$E$4)))</f>
        <v>#N/A</v>
      </c>
      <c r="I59" s="8">
        <f t="shared" si="1"/>
        <v>0</v>
      </c>
      <c r="J59" s="35"/>
      <c r="K59" s="35"/>
      <c r="L59" s="35"/>
      <c r="M59" s="35"/>
      <c r="N59" s="32" t="e">
        <f>IF(H59=Oct!$E$2,"N",IF(AND(COUNTIF(B:B,B59)=1,D59&gt;14),"Y","N"))</f>
        <v>#N/A</v>
      </c>
      <c r="O59" s="55" t="str">
        <f>IF(COUNT(Oct[[#This Row],[Date]])&gt;0,IF(Oct[[#This Row],[Date]]&gt;14,"Yes","No"),"N/A")</f>
        <v>N/A</v>
      </c>
      <c r="P59" s="55"/>
      <c r="Q59" s="5">
        <f>Relay!A58</f>
        <v>0</v>
      </c>
      <c r="R59" s="5">
        <f>Relay!B58</f>
        <v>57</v>
      </c>
      <c r="S59" s="8">
        <f>IF(Oct[After the 14th?]="No",SUMIF(Oct[SysID],R59,Oct[Pay Amount]),0)+IF(Sept[After the 14th?]="Yes",SUMIF(Sept[SysID],R59,Sept[Pay Amount]),0)</f>
        <v>0</v>
      </c>
      <c r="T59" s="8"/>
      <c r="U59" s="5" t="str">
        <f t="shared" si="2"/>
        <v>N</v>
      </c>
      <c r="X59" s="56"/>
      <c r="Y59" s="56"/>
      <c r="Z59" s="56"/>
      <c r="AA59" s="56"/>
      <c r="AC59" s="56"/>
    </row>
    <row r="60" spans="1:29" x14ac:dyDescent="0.25">
      <c r="A60" s="35"/>
      <c r="B60" s="32" t="e">
        <f>VLOOKUP(A60,Relay!$A$1:$B$50,2,FALSE)</f>
        <v>#N/A</v>
      </c>
      <c r="C60" s="32" t="e">
        <f>VLOOKUP(A60,Relay!$A$2:$C$101,3,FALSE)</f>
        <v>#N/A</v>
      </c>
      <c r="D60" s="39"/>
      <c r="E60" s="35"/>
      <c r="F60" s="58" t="str">
        <f t="shared" si="0"/>
        <v>INS</v>
      </c>
      <c r="G60" s="32" t="e">
        <f>IF(OR(E60="Jeopardy",E60="APP Moonlighting",E60="Differential Pay"),"",Oct[[#This Row],[SysID]])</f>
        <v>#N/A</v>
      </c>
      <c r="H60" s="32" t="e">
        <f>IF(E60="Jeopardy",IF(C60="MD",Relay!$E$7,Relay!$E$8),IF(C60="MD",IF(COUNTIF(G:G,B60)&gt;1,Relay!$E$2,Relay!$E$1),IF(AND(COUNTIF(G:G,B60)&gt;1,COUNTA(A60)&gt;0),Relay!$E$5,Relay!$E$4)))</f>
        <v>#N/A</v>
      </c>
      <c r="I60" s="8">
        <f t="shared" si="1"/>
        <v>0</v>
      </c>
      <c r="J60" s="35"/>
      <c r="K60" s="35"/>
      <c r="L60" s="35"/>
      <c r="M60" s="35"/>
      <c r="N60" s="32" t="e">
        <f>IF(H60=Oct!$E$2,"N",IF(AND(COUNTIF(B:B,B60)=1,D60&gt;14),"Y","N"))</f>
        <v>#N/A</v>
      </c>
      <c r="O60" s="55" t="str">
        <f>IF(COUNT(Oct[[#This Row],[Date]])&gt;0,IF(Oct[[#This Row],[Date]]&gt;14,"Yes","No"),"N/A")</f>
        <v>N/A</v>
      </c>
      <c r="P60" s="55"/>
      <c r="Q60" s="5">
        <f>Relay!A59</f>
        <v>0</v>
      </c>
      <c r="R60" s="5">
        <f>Relay!B59</f>
        <v>58</v>
      </c>
      <c r="S60" s="8">
        <f>IF(Oct[After the 14th?]="No",SUMIF(Oct[SysID],R60,Oct[Pay Amount]),0)+IF(Sept[After the 14th?]="Yes",SUMIF(Sept[SysID],R60,Sept[Pay Amount]),0)</f>
        <v>0</v>
      </c>
      <c r="T60" s="8"/>
      <c r="U60" s="5" t="str">
        <f t="shared" si="2"/>
        <v>N</v>
      </c>
      <c r="X60" s="56"/>
      <c r="Y60" s="56"/>
      <c r="Z60" s="56"/>
      <c r="AA60" s="56"/>
      <c r="AC60" s="56"/>
    </row>
    <row r="61" spans="1:29" x14ac:dyDescent="0.25">
      <c r="A61" s="35"/>
      <c r="B61" s="32" t="e">
        <f>VLOOKUP(A61,Relay!$A$1:$B$50,2,FALSE)</f>
        <v>#N/A</v>
      </c>
      <c r="C61" s="32" t="e">
        <f>VLOOKUP(A61,Relay!$A$2:$C$101,3,FALSE)</f>
        <v>#N/A</v>
      </c>
      <c r="D61" s="39"/>
      <c r="E61" s="35"/>
      <c r="F61" s="58" t="str">
        <f t="shared" si="0"/>
        <v>INS</v>
      </c>
      <c r="G61" s="32" t="e">
        <f>IF(OR(E61="Jeopardy",E61="APP Moonlighting",E61="Differential Pay"),"",Oct[[#This Row],[SysID]])</f>
        <v>#N/A</v>
      </c>
      <c r="H61" s="32" t="e">
        <f>IF(E61="Jeopardy",IF(C61="MD",Relay!$E$7,Relay!$E$8),IF(C61="MD",IF(COUNTIF(G:G,B61)&gt;1,Relay!$E$2,Relay!$E$1),IF(AND(COUNTIF(G:G,B61)&gt;1,COUNTA(A61)&gt;0),Relay!$E$5,Relay!$E$4)))</f>
        <v>#N/A</v>
      </c>
      <c r="I61" s="8">
        <f t="shared" si="1"/>
        <v>0</v>
      </c>
      <c r="J61" s="35"/>
      <c r="K61" s="35"/>
      <c r="L61" s="35"/>
      <c r="M61" s="35"/>
      <c r="N61" s="32" t="e">
        <f>IF(H61=Oct!$E$2,"N",IF(AND(COUNTIF(B:B,B61)=1,D61&gt;14),"Y","N"))</f>
        <v>#N/A</v>
      </c>
      <c r="O61" s="55" t="str">
        <f>IF(COUNT(Oct[[#This Row],[Date]])&gt;0,IF(Oct[[#This Row],[Date]]&gt;14,"Yes","No"),"N/A")</f>
        <v>N/A</v>
      </c>
      <c r="P61" s="55"/>
      <c r="Q61" s="5">
        <f>Relay!A60</f>
        <v>0</v>
      </c>
      <c r="R61" s="5">
        <f>Relay!B60</f>
        <v>59</v>
      </c>
      <c r="S61" s="8">
        <f>IF(Oct[After the 14th?]="No",SUMIF(Oct[SysID],R61,Oct[Pay Amount]),0)+IF(Sept[After the 14th?]="Yes",SUMIF(Sept[SysID],R61,Sept[Pay Amount]),0)</f>
        <v>0</v>
      </c>
      <c r="T61" s="8"/>
      <c r="U61" s="5" t="str">
        <f t="shared" si="2"/>
        <v>N</v>
      </c>
      <c r="X61" s="56"/>
      <c r="Y61" s="56"/>
      <c r="Z61" s="56"/>
      <c r="AA61" s="56"/>
      <c r="AC61" s="56"/>
    </row>
    <row r="62" spans="1:29" x14ac:dyDescent="0.25">
      <c r="A62" s="35"/>
      <c r="B62" s="32" t="e">
        <f>VLOOKUP(A62,Relay!$A$1:$B$50,2,FALSE)</f>
        <v>#N/A</v>
      </c>
      <c r="C62" s="32" t="e">
        <f>VLOOKUP(A62,Relay!$A$2:$C$101,3,FALSE)</f>
        <v>#N/A</v>
      </c>
      <c r="D62" s="39"/>
      <c r="E62" s="35"/>
      <c r="F62" s="58" t="str">
        <f t="shared" si="0"/>
        <v>INS</v>
      </c>
      <c r="G62" s="32" t="e">
        <f>IF(OR(E62="Jeopardy",E62="APP Moonlighting",E62="Differential Pay"),"",Oct[[#This Row],[SysID]])</f>
        <v>#N/A</v>
      </c>
      <c r="H62" s="32" t="e">
        <f>IF(E62="Jeopardy",IF(C62="MD",Relay!$E$7,Relay!$E$8),IF(C62="MD",IF(COUNTIF(G:G,B62)&gt;1,Relay!$E$2,Relay!$E$1),IF(AND(COUNTIF(G:G,B62)&gt;1,COUNTA(A62)&gt;0),Relay!$E$5,Relay!$E$4)))</f>
        <v>#N/A</v>
      </c>
      <c r="I62" s="8">
        <f t="shared" si="1"/>
        <v>0</v>
      </c>
      <c r="J62" s="35"/>
      <c r="K62" s="35"/>
      <c r="L62" s="35"/>
      <c r="M62" s="35"/>
      <c r="N62" s="32" t="e">
        <f>IF(H62=Oct!$E$2,"N",IF(AND(COUNTIF(B:B,B62)=1,D62&gt;14),"Y","N"))</f>
        <v>#N/A</v>
      </c>
      <c r="O62" s="55" t="str">
        <f>IF(COUNT(Oct[[#This Row],[Date]])&gt;0,IF(Oct[[#This Row],[Date]]&gt;14,"Yes","No"),"N/A")</f>
        <v>N/A</v>
      </c>
      <c r="P62" s="55"/>
      <c r="Q62" s="5">
        <f>Relay!A61</f>
        <v>0</v>
      </c>
      <c r="R62" s="5">
        <f>Relay!B61</f>
        <v>60</v>
      </c>
      <c r="S62" s="8">
        <f>IF(Oct[After the 14th?]="No",SUMIF(Oct[SysID],R62,Oct[Pay Amount]),0)+IF(Sept[After the 14th?]="Yes",SUMIF(Sept[SysID],R62,Sept[Pay Amount]),0)</f>
        <v>0</v>
      </c>
      <c r="T62" s="8"/>
      <c r="U62" s="5" t="str">
        <f t="shared" si="2"/>
        <v>N</v>
      </c>
      <c r="X62" s="56"/>
      <c r="Y62" s="56"/>
      <c r="Z62" s="56"/>
      <c r="AA62" s="56"/>
      <c r="AC62" s="56"/>
    </row>
    <row r="63" spans="1:29" x14ac:dyDescent="0.25">
      <c r="A63" s="35"/>
      <c r="B63" s="32" t="e">
        <f>VLOOKUP(A63,Relay!$A$1:$B$50,2,FALSE)</f>
        <v>#N/A</v>
      </c>
      <c r="C63" s="32" t="e">
        <f>VLOOKUP(A63,Relay!$A$2:$C$101,3,FALSE)</f>
        <v>#N/A</v>
      </c>
      <c r="D63" s="39"/>
      <c r="E63" s="35"/>
      <c r="F63" s="58" t="str">
        <f t="shared" si="0"/>
        <v>INS</v>
      </c>
      <c r="G63" s="32" t="e">
        <f>IF(OR(E63="Jeopardy",E63="APP Moonlighting",E63="Differential Pay"),"",Oct[[#This Row],[SysID]])</f>
        <v>#N/A</v>
      </c>
      <c r="H63" s="32" t="e">
        <f>IF(E63="Jeopardy",IF(C63="MD",Relay!$E$7,Relay!$E$8),IF(C63="MD",IF(COUNTIF(G:G,B63)&gt;1,Relay!$E$2,Relay!$E$1),IF(AND(COUNTIF(G:G,B63)&gt;1,COUNTA(A63)&gt;0),Relay!$E$5,Relay!$E$4)))</f>
        <v>#N/A</v>
      </c>
      <c r="I63" s="8">
        <f t="shared" si="1"/>
        <v>0</v>
      </c>
      <c r="J63" s="35"/>
      <c r="K63" s="35"/>
      <c r="L63" s="35"/>
      <c r="M63" s="35"/>
      <c r="N63" s="32" t="e">
        <f>IF(H63=Oct!$E$2,"N",IF(AND(COUNTIF(B:B,B63)=1,D63&gt;14),"Y","N"))</f>
        <v>#N/A</v>
      </c>
      <c r="O63" s="55" t="str">
        <f>IF(COUNT(Oct[[#This Row],[Date]])&gt;0,IF(Oct[[#This Row],[Date]]&gt;14,"Yes","No"),"N/A")</f>
        <v>N/A</v>
      </c>
      <c r="P63" s="55"/>
      <c r="Q63" s="5">
        <f>Relay!A62</f>
        <v>0</v>
      </c>
      <c r="R63" s="5">
        <f>Relay!B62</f>
        <v>61</v>
      </c>
      <c r="S63" s="8">
        <f>IF(Oct[After the 14th?]="No",SUMIF(Oct[SysID],R63,Oct[Pay Amount]),0)+IF(Sept[After the 14th?]="Yes",SUMIF(Sept[SysID],R63,Sept[Pay Amount]),0)</f>
        <v>0</v>
      </c>
      <c r="T63" s="8"/>
      <c r="U63" s="5" t="str">
        <f t="shared" si="2"/>
        <v>N</v>
      </c>
      <c r="X63" s="56"/>
      <c r="Y63" s="56"/>
      <c r="Z63" s="56"/>
      <c r="AA63" s="56"/>
      <c r="AC63" s="56"/>
    </row>
    <row r="64" spans="1:29" x14ac:dyDescent="0.25">
      <c r="A64" s="35"/>
      <c r="B64" s="32" t="e">
        <f>VLOOKUP(A64,Relay!$A$1:$B$50,2,FALSE)</f>
        <v>#N/A</v>
      </c>
      <c r="C64" s="32" t="e">
        <f>VLOOKUP(A64,Relay!$A$2:$C$101,3,FALSE)</f>
        <v>#N/A</v>
      </c>
      <c r="D64" s="39"/>
      <c r="E64" s="35"/>
      <c r="F64" s="58" t="str">
        <f t="shared" si="0"/>
        <v>INS</v>
      </c>
      <c r="G64" s="32" t="e">
        <f>IF(OR(E64="Jeopardy",E64="APP Moonlighting",E64="Differential Pay"),"",Oct[[#This Row],[SysID]])</f>
        <v>#N/A</v>
      </c>
      <c r="H64" s="32" t="e">
        <f>IF(E64="Jeopardy",IF(C64="MD",Relay!$E$7,Relay!$E$8),IF(C64="MD",IF(COUNTIF(G:G,B64)&gt;1,Relay!$E$2,Relay!$E$1),IF(AND(COUNTIF(G:G,B64)&gt;1,COUNTA(A64)&gt;0),Relay!$E$5,Relay!$E$4)))</f>
        <v>#N/A</v>
      </c>
      <c r="I64" s="8">
        <f t="shared" si="1"/>
        <v>0</v>
      </c>
      <c r="J64" s="35"/>
      <c r="K64" s="35"/>
      <c r="L64" s="35"/>
      <c r="M64" s="35"/>
      <c r="N64" s="32" t="e">
        <f>IF(H64=Oct!$E$2,"N",IF(AND(COUNTIF(B:B,B64)=1,D64&gt;14),"Y","N"))</f>
        <v>#N/A</v>
      </c>
      <c r="O64" s="55" t="str">
        <f>IF(COUNT(Oct[[#This Row],[Date]])&gt;0,IF(Oct[[#This Row],[Date]]&gt;14,"Yes","No"),"N/A")</f>
        <v>N/A</v>
      </c>
      <c r="P64" s="55"/>
      <c r="Q64" s="5">
        <f>Relay!A63</f>
        <v>0</v>
      </c>
      <c r="R64" s="5">
        <f>Relay!B63</f>
        <v>62</v>
      </c>
      <c r="S64" s="8">
        <f>IF(Oct[After the 14th?]="No",SUMIF(Oct[SysID],R64,Oct[Pay Amount]),0)+IF(Sept[After the 14th?]="Yes",SUMIF(Sept[SysID],R64,Sept[Pay Amount]),0)</f>
        <v>0</v>
      </c>
      <c r="T64" s="8"/>
      <c r="U64" s="5" t="str">
        <f t="shared" si="2"/>
        <v>N</v>
      </c>
      <c r="X64" s="56"/>
      <c r="Y64" s="56"/>
      <c r="Z64" s="56"/>
      <c r="AA64" s="56"/>
      <c r="AC64" s="56"/>
    </row>
    <row r="65" spans="1:29" x14ac:dyDescent="0.25">
      <c r="A65" s="35"/>
      <c r="B65" s="32" t="e">
        <f>VLOOKUP(A65,Relay!$A$1:$B$50,2,FALSE)</f>
        <v>#N/A</v>
      </c>
      <c r="C65" s="32" t="e">
        <f>VLOOKUP(A65,Relay!$A$2:$C$101,3,FALSE)</f>
        <v>#N/A</v>
      </c>
      <c r="D65" s="39"/>
      <c r="E65" s="35"/>
      <c r="F65" s="58" t="str">
        <f t="shared" si="0"/>
        <v>INS</v>
      </c>
      <c r="G65" s="32" t="e">
        <f>IF(OR(E65="Jeopardy",E65="APP Moonlighting",E65="Differential Pay"),"",Oct[[#This Row],[SysID]])</f>
        <v>#N/A</v>
      </c>
      <c r="H65" s="32" t="e">
        <f>IF(E65="Jeopardy",IF(C65="MD",Relay!$E$7,Relay!$E$8),IF(C65="MD",IF(COUNTIF(G:G,B65)&gt;1,Relay!$E$2,Relay!$E$1),IF(AND(COUNTIF(G:G,B65)&gt;1,COUNTA(A65)&gt;0),Relay!$E$5,Relay!$E$4)))</f>
        <v>#N/A</v>
      </c>
      <c r="I65" s="8">
        <f t="shared" si="1"/>
        <v>0</v>
      </c>
      <c r="J65" s="35"/>
      <c r="K65" s="35"/>
      <c r="L65" s="35"/>
      <c r="M65" s="35"/>
      <c r="N65" s="32" t="e">
        <f>IF(H65=Oct!$E$2,"N",IF(AND(COUNTIF(B:B,B65)=1,D65&gt;14),"Y","N"))</f>
        <v>#N/A</v>
      </c>
      <c r="O65" s="55" t="str">
        <f>IF(COUNT(Oct[[#This Row],[Date]])&gt;0,IF(Oct[[#This Row],[Date]]&gt;14,"Yes","No"),"N/A")</f>
        <v>N/A</v>
      </c>
      <c r="P65" s="55"/>
      <c r="Q65" s="5">
        <f>Relay!A64</f>
        <v>0</v>
      </c>
      <c r="R65" s="5">
        <f>Relay!B64</f>
        <v>63</v>
      </c>
      <c r="S65" s="8">
        <f>IF(Oct[After the 14th?]="No",SUMIF(Oct[SysID],R65,Oct[Pay Amount]),0)+IF(Sept[After the 14th?]="Yes",SUMIF(Sept[SysID],R65,Sept[Pay Amount]),0)</f>
        <v>0</v>
      </c>
      <c r="T65" s="8"/>
      <c r="U65" s="5" t="str">
        <f t="shared" si="2"/>
        <v>N</v>
      </c>
      <c r="X65" s="56"/>
      <c r="Y65" s="56"/>
      <c r="Z65" s="56"/>
      <c r="AA65" s="56"/>
      <c r="AC65" s="56"/>
    </row>
    <row r="66" spans="1:29" x14ac:dyDescent="0.25">
      <c r="A66" s="35"/>
      <c r="B66" s="32" t="e">
        <f>VLOOKUP(A66,Relay!$A$1:$B$50,2,FALSE)</f>
        <v>#N/A</v>
      </c>
      <c r="C66" s="32" t="e">
        <f>VLOOKUP(A66,Relay!$A$2:$C$101,3,FALSE)</f>
        <v>#N/A</v>
      </c>
      <c r="D66" s="39"/>
      <c r="E66" s="35"/>
      <c r="F66" s="58" t="str">
        <f t="shared" si="0"/>
        <v>INS</v>
      </c>
      <c r="G66" s="32" t="e">
        <f>IF(OR(E66="Jeopardy",E66="APP Moonlighting",E66="Differential Pay"),"",Oct[[#This Row],[SysID]])</f>
        <v>#N/A</v>
      </c>
      <c r="H66" s="32" t="e">
        <f>IF(E66="Jeopardy",IF(C66="MD",Relay!$E$7,Relay!$E$8),IF(C66="MD",IF(COUNTIF(G:G,B66)&gt;1,Relay!$E$2,Relay!$E$1),IF(AND(COUNTIF(G:G,B66)&gt;1,COUNTA(A66)&gt;0),Relay!$E$5,Relay!$E$4)))</f>
        <v>#N/A</v>
      </c>
      <c r="I66" s="8">
        <f t="shared" si="1"/>
        <v>0</v>
      </c>
      <c r="J66" s="35"/>
      <c r="K66" s="35"/>
      <c r="L66" s="35"/>
      <c r="M66" s="35"/>
      <c r="N66" s="32" t="e">
        <f>IF(H66=Oct!$E$2,"N",IF(AND(COUNTIF(B:B,B66)=1,D66&gt;14),"Y","N"))</f>
        <v>#N/A</v>
      </c>
      <c r="O66" s="55" t="str">
        <f>IF(COUNT(Oct[[#This Row],[Date]])&gt;0,IF(Oct[[#This Row],[Date]]&gt;14,"Yes","No"),"N/A")</f>
        <v>N/A</v>
      </c>
      <c r="P66" s="55"/>
      <c r="Q66" s="5">
        <f>Relay!A65</f>
        <v>0</v>
      </c>
      <c r="R66" s="5">
        <f>Relay!B65</f>
        <v>64</v>
      </c>
      <c r="S66" s="8">
        <f>IF(Oct[After the 14th?]="No",SUMIF(Oct[SysID],R66,Oct[Pay Amount]),0)+IF(Sept[After the 14th?]="Yes",SUMIF(Sept[SysID],R66,Sept[Pay Amount]),0)</f>
        <v>0</v>
      </c>
      <c r="T66" s="8"/>
      <c r="U66" s="5" t="str">
        <f t="shared" si="2"/>
        <v>N</v>
      </c>
      <c r="X66" s="56"/>
      <c r="Y66" s="56"/>
      <c r="Z66" s="56"/>
      <c r="AA66" s="56"/>
      <c r="AC66" s="56"/>
    </row>
    <row r="67" spans="1:29" x14ac:dyDescent="0.25">
      <c r="A67" s="35"/>
      <c r="B67" s="32" t="e">
        <f>VLOOKUP(A67,Relay!$A$1:$B$50,2,FALSE)</f>
        <v>#N/A</v>
      </c>
      <c r="C67" s="32" t="e">
        <f>VLOOKUP(A67,Relay!$A$2:$C$101,3,FALSE)</f>
        <v>#N/A</v>
      </c>
      <c r="D67" s="39"/>
      <c r="E67" s="35"/>
      <c r="F67" s="58" t="str">
        <f t="shared" ref="F67:F103" si="3">IF(E67="Moonlighting", 12, "INS")</f>
        <v>INS</v>
      </c>
      <c r="G67" s="32" t="e">
        <f>IF(OR(E67="Jeopardy",E67="APP Moonlighting",E67="Differential Pay"),"",Oct[[#This Row],[SysID]])</f>
        <v>#N/A</v>
      </c>
      <c r="H67" s="32" t="e">
        <f>IF(E67="Jeopardy",IF(C67="MD",Relay!$E$7,Relay!$E$8),IF(C67="MD",IF(COUNTIF(G:G,B67)&gt;1,Relay!$E$2,Relay!$E$1),IF(AND(COUNTIF(G:G,B67)&gt;1,COUNTA(A67)&gt;0),Relay!$E$5,Relay!$E$4)))</f>
        <v>#N/A</v>
      </c>
      <c r="I67" s="8">
        <f t="shared" ref="I67:I103" si="4">IF(COUNTA(A67)&gt;0,H67*F67,0)</f>
        <v>0</v>
      </c>
      <c r="J67" s="35"/>
      <c r="K67" s="35"/>
      <c r="L67" s="35"/>
      <c r="M67" s="35"/>
      <c r="N67" s="32" t="e">
        <f>IF(H67=Oct!$E$2,"N",IF(AND(COUNTIF(B:B,B67)=1,D67&gt;14),"Y","N"))</f>
        <v>#N/A</v>
      </c>
      <c r="O67" s="55" t="str">
        <f>IF(COUNT(Oct[[#This Row],[Date]])&gt;0,IF(Oct[[#This Row],[Date]]&gt;14,"Yes","No"),"N/A")</f>
        <v>N/A</v>
      </c>
      <c r="P67" s="55"/>
      <c r="Q67" s="5">
        <f>Relay!A66</f>
        <v>0</v>
      </c>
      <c r="R67" s="5">
        <f>Relay!B66</f>
        <v>65</v>
      </c>
      <c r="S67" s="8">
        <f>IF(Oct[After the 14th?]="No",SUMIF(Oct[SysID],R67,Oct[Pay Amount]),0)+IF(Sept[After the 14th?]="Yes",SUMIF(Sept[SysID],R67,Sept[Pay Amount]),0)</f>
        <v>0</v>
      </c>
      <c r="T67" s="8"/>
      <c r="U67" s="5" t="str">
        <f t="shared" ref="U67:U103" si="5">IF(S67=T67,"N","Y")</f>
        <v>N</v>
      </c>
      <c r="X67" s="56"/>
      <c r="Y67" s="56"/>
      <c r="Z67" s="56"/>
      <c r="AA67" s="56"/>
      <c r="AC67" s="56"/>
    </row>
    <row r="68" spans="1:29" x14ac:dyDescent="0.25">
      <c r="A68" s="35"/>
      <c r="B68" s="32" t="e">
        <f>VLOOKUP(A68,Relay!$A$1:$B$50,2,FALSE)</f>
        <v>#N/A</v>
      </c>
      <c r="C68" s="32" t="e">
        <f>VLOOKUP(A68,Relay!$A$2:$C$101,3,FALSE)</f>
        <v>#N/A</v>
      </c>
      <c r="D68" s="39"/>
      <c r="E68" s="35"/>
      <c r="F68" s="58" t="str">
        <f t="shared" si="3"/>
        <v>INS</v>
      </c>
      <c r="G68" s="32" t="e">
        <f>IF(OR(E68="Jeopardy",E68="APP Moonlighting",E68="Differential Pay"),"",Oct[[#This Row],[SysID]])</f>
        <v>#N/A</v>
      </c>
      <c r="H68" s="32" t="e">
        <f>IF(E68="Jeopardy",IF(C68="MD",Relay!$E$7,Relay!$E$8),IF(C68="MD",IF(COUNTIF(G:G,B68)&gt;1,Relay!$E$2,Relay!$E$1),IF(AND(COUNTIF(G:G,B68)&gt;1,COUNTA(A68)&gt;0),Relay!$E$5,Relay!$E$4)))</f>
        <v>#N/A</v>
      </c>
      <c r="I68" s="8">
        <f t="shared" si="4"/>
        <v>0</v>
      </c>
      <c r="J68" s="35"/>
      <c r="K68" s="35"/>
      <c r="L68" s="35"/>
      <c r="M68" s="35"/>
      <c r="N68" s="32" t="e">
        <f>IF(H68=Oct!$E$2,"N",IF(AND(COUNTIF(B:B,B68)=1,D68&gt;14),"Y","N"))</f>
        <v>#N/A</v>
      </c>
      <c r="O68" s="55" t="str">
        <f>IF(COUNT(Oct[[#This Row],[Date]])&gt;0,IF(Oct[[#This Row],[Date]]&gt;14,"Yes","No"),"N/A")</f>
        <v>N/A</v>
      </c>
      <c r="P68" s="55"/>
      <c r="Q68" s="5">
        <f>Relay!A67</f>
        <v>0</v>
      </c>
      <c r="R68" s="5">
        <f>Relay!B67</f>
        <v>66</v>
      </c>
      <c r="S68" s="8">
        <f>IF(Oct[After the 14th?]="No",SUMIF(Oct[SysID],R68,Oct[Pay Amount]),0)+IF(Sept[After the 14th?]="Yes",SUMIF(Sept[SysID],R68,Sept[Pay Amount]),0)</f>
        <v>0</v>
      </c>
      <c r="T68" s="8"/>
      <c r="U68" s="5" t="str">
        <f t="shared" si="5"/>
        <v>N</v>
      </c>
      <c r="X68" s="56"/>
      <c r="Y68" s="56"/>
      <c r="Z68" s="56"/>
      <c r="AA68" s="56"/>
      <c r="AC68" s="56"/>
    </row>
    <row r="69" spans="1:29" x14ac:dyDescent="0.25">
      <c r="A69" s="35"/>
      <c r="B69" s="32" t="e">
        <f>VLOOKUP(A69,Relay!$A$1:$B$50,2,FALSE)</f>
        <v>#N/A</v>
      </c>
      <c r="C69" s="32" t="e">
        <f>VLOOKUP(A69,Relay!$A$2:$C$101,3,FALSE)</f>
        <v>#N/A</v>
      </c>
      <c r="D69" s="39"/>
      <c r="E69" s="35"/>
      <c r="F69" s="58" t="str">
        <f t="shared" si="3"/>
        <v>INS</v>
      </c>
      <c r="G69" s="32" t="e">
        <f>IF(OR(E69="Jeopardy",E69="APP Moonlighting",E69="Differential Pay"),"",Oct[[#This Row],[SysID]])</f>
        <v>#N/A</v>
      </c>
      <c r="H69" s="32" t="e">
        <f>IF(E69="Jeopardy",IF(C69="MD",Relay!$E$7,Relay!$E$8),IF(C69="MD",IF(COUNTIF(G:G,B69)&gt;1,Relay!$E$2,Relay!$E$1),IF(AND(COUNTIF(G:G,B69)&gt;1,COUNTA(A69)&gt;0),Relay!$E$5,Relay!$E$4)))</f>
        <v>#N/A</v>
      </c>
      <c r="I69" s="8">
        <f t="shared" si="4"/>
        <v>0</v>
      </c>
      <c r="J69" s="35"/>
      <c r="K69" s="35"/>
      <c r="L69" s="35"/>
      <c r="M69" s="35"/>
      <c r="N69" s="32" t="e">
        <f>IF(H69=Oct!$E$2,"N",IF(AND(COUNTIF(B:B,B69)=1,D69&gt;14),"Y","N"))</f>
        <v>#N/A</v>
      </c>
      <c r="O69" s="55" t="str">
        <f>IF(COUNT(Oct[[#This Row],[Date]])&gt;0,IF(Oct[[#This Row],[Date]]&gt;14,"Yes","No"),"N/A")</f>
        <v>N/A</v>
      </c>
      <c r="P69" s="55"/>
      <c r="Q69" s="5">
        <f>Relay!A68</f>
        <v>0</v>
      </c>
      <c r="R69" s="5">
        <f>Relay!B68</f>
        <v>67</v>
      </c>
      <c r="S69" s="8">
        <f>IF(Oct[After the 14th?]="No",SUMIF(Oct[SysID],R69,Oct[Pay Amount]),0)+IF(Sept[After the 14th?]="Yes",SUMIF(Sept[SysID],R69,Sept[Pay Amount]),0)</f>
        <v>0</v>
      </c>
      <c r="T69" s="8"/>
      <c r="U69" s="5" t="str">
        <f t="shared" si="5"/>
        <v>N</v>
      </c>
      <c r="X69" s="56"/>
      <c r="Y69" s="56"/>
      <c r="Z69" s="56"/>
      <c r="AA69" s="56"/>
      <c r="AC69" s="56"/>
    </row>
    <row r="70" spans="1:29" x14ac:dyDescent="0.25">
      <c r="A70" s="35"/>
      <c r="B70" s="32" t="e">
        <f>VLOOKUP(A70,Relay!$A$1:$B$50,2,FALSE)</f>
        <v>#N/A</v>
      </c>
      <c r="C70" s="32" t="e">
        <f>VLOOKUP(A70,Relay!$A$2:$C$101,3,FALSE)</f>
        <v>#N/A</v>
      </c>
      <c r="D70" s="39"/>
      <c r="E70" s="35"/>
      <c r="F70" s="58" t="str">
        <f t="shared" si="3"/>
        <v>INS</v>
      </c>
      <c r="G70" s="32" t="e">
        <f>IF(OR(E70="Jeopardy",E70="APP Moonlighting",E70="Differential Pay"),"",Oct[[#This Row],[SysID]])</f>
        <v>#N/A</v>
      </c>
      <c r="H70" s="32" t="e">
        <f>IF(E70="Jeopardy",IF(C70="MD",Relay!$E$7,Relay!$E$8),IF(C70="MD",IF(COUNTIF(G:G,B70)&gt;1,Relay!$E$2,Relay!$E$1),IF(AND(COUNTIF(G:G,B70)&gt;1,COUNTA(A70)&gt;0),Relay!$E$5,Relay!$E$4)))</f>
        <v>#N/A</v>
      </c>
      <c r="I70" s="8">
        <f t="shared" si="4"/>
        <v>0</v>
      </c>
      <c r="J70" s="35"/>
      <c r="K70" s="35"/>
      <c r="L70" s="35"/>
      <c r="M70" s="35"/>
      <c r="N70" s="32" t="e">
        <f>IF(H70=Oct!$E$2,"N",IF(AND(COUNTIF(B:B,B70)=1,D70&gt;14),"Y","N"))</f>
        <v>#N/A</v>
      </c>
      <c r="O70" s="55" t="str">
        <f>IF(COUNT(Oct[[#This Row],[Date]])&gt;0,IF(Oct[[#This Row],[Date]]&gt;14,"Yes","No"),"N/A")</f>
        <v>N/A</v>
      </c>
      <c r="P70" s="55"/>
      <c r="Q70" s="5">
        <f>Relay!A69</f>
        <v>0</v>
      </c>
      <c r="R70" s="5">
        <f>Relay!B69</f>
        <v>68</v>
      </c>
      <c r="S70" s="8">
        <f>IF(Oct[After the 14th?]="No",SUMIF(Oct[SysID],R70,Oct[Pay Amount]),0)+IF(Sept[After the 14th?]="Yes",SUMIF(Sept[SysID],R70,Sept[Pay Amount]),0)</f>
        <v>0</v>
      </c>
      <c r="T70" s="8"/>
      <c r="U70" s="5" t="str">
        <f t="shared" si="5"/>
        <v>N</v>
      </c>
      <c r="X70" s="56"/>
      <c r="Y70" s="56"/>
      <c r="Z70" s="56"/>
      <c r="AA70" s="56"/>
      <c r="AC70" s="56"/>
    </row>
    <row r="71" spans="1:29" x14ac:dyDescent="0.25">
      <c r="A71" s="35"/>
      <c r="B71" s="32" t="e">
        <f>VLOOKUP(A71,Relay!$A$1:$B$50,2,FALSE)</f>
        <v>#N/A</v>
      </c>
      <c r="C71" s="32" t="e">
        <f>VLOOKUP(A71,Relay!$A$2:$C$101,3,FALSE)</f>
        <v>#N/A</v>
      </c>
      <c r="D71" s="39"/>
      <c r="E71" s="35"/>
      <c r="F71" s="58" t="str">
        <f t="shared" si="3"/>
        <v>INS</v>
      </c>
      <c r="G71" s="32" t="e">
        <f>IF(OR(E71="Jeopardy",E71="APP Moonlighting",E71="Differential Pay"),"",Oct[[#This Row],[SysID]])</f>
        <v>#N/A</v>
      </c>
      <c r="H71" s="32" t="e">
        <f>IF(E71="Jeopardy",IF(C71="MD",Relay!$E$7,Relay!$E$8),IF(C71="MD",IF(COUNTIF(G:G,B71)&gt;1,Relay!$E$2,Relay!$E$1),IF(AND(COUNTIF(G:G,B71)&gt;1,COUNTA(A71)&gt;0),Relay!$E$5,Relay!$E$4)))</f>
        <v>#N/A</v>
      </c>
      <c r="I71" s="8">
        <f t="shared" si="4"/>
        <v>0</v>
      </c>
      <c r="J71" s="35"/>
      <c r="K71" s="35"/>
      <c r="L71" s="35"/>
      <c r="M71" s="35"/>
      <c r="N71" s="32" t="e">
        <f>IF(H71=Oct!$E$2,"N",IF(AND(COUNTIF(B:B,B71)=1,D71&gt;14),"Y","N"))</f>
        <v>#N/A</v>
      </c>
      <c r="O71" s="55" t="str">
        <f>IF(COUNT(Oct[[#This Row],[Date]])&gt;0,IF(Oct[[#This Row],[Date]]&gt;14,"Yes","No"),"N/A")</f>
        <v>N/A</v>
      </c>
      <c r="P71" s="55"/>
      <c r="Q71" s="5">
        <f>Relay!A70</f>
        <v>0</v>
      </c>
      <c r="R71" s="5">
        <f>Relay!B70</f>
        <v>69</v>
      </c>
      <c r="S71" s="8">
        <f>IF(Oct[After the 14th?]="No",SUMIF(Oct[SysID],R71,Oct[Pay Amount]),0)+IF(Sept[After the 14th?]="Yes",SUMIF(Sept[SysID],R71,Sept[Pay Amount]),0)</f>
        <v>0</v>
      </c>
      <c r="T71" s="8"/>
      <c r="U71" s="5" t="str">
        <f t="shared" si="5"/>
        <v>N</v>
      </c>
      <c r="X71" s="56"/>
      <c r="Y71" s="56"/>
      <c r="Z71" s="56"/>
      <c r="AA71" s="56"/>
      <c r="AC71" s="56"/>
    </row>
    <row r="72" spans="1:29" x14ac:dyDescent="0.25">
      <c r="A72" s="35"/>
      <c r="B72" s="32" t="e">
        <f>VLOOKUP(A72,Relay!$A$1:$B$50,2,FALSE)</f>
        <v>#N/A</v>
      </c>
      <c r="C72" s="32" t="e">
        <f>VLOOKUP(A72,Relay!$A$2:$C$101,3,FALSE)</f>
        <v>#N/A</v>
      </c>
      <c r="D72" s="39"/>
      <c r="E72" s="35"/>
      <c r="F72" s="58" t="str">
        <f t="shared" si="3"/>
        <v>INS</v>
      </c>
      <c r="G72" s="32" t="e">
        <f>IF(OR(E72="Jeopardy",E72="APP Moonlighting",E72="Differential Pay"),"",Oct[[#This Row],[SysID]])</f>
        <v>#N/A</v>
      </c>
      <c r="H72" s="32" t="e">
        <f>IF(E72="Jeopardy",IF(C72="MD",Relay!$E$7,Relay!$E$8),IF(C72="MD",IF(COUNTIF(G:G,B72)&gt;1,Relay!$E$2,Relay!$E$1),IF(AND(COUNTIF(G:G,B72)&gt;1,COUNTA(A72)&gt;0),Relay!$E$5,Relay!$E$4)))</f>
        <v>#N/A</v>
      </c>
      <c r="I72" s="8">
        <f t="shared" si="4"/>
        <v>0</v>
      </c>
      <c r="J72" s="35"/>
      <c r="K72" s="35"/>
      <c r="L72" s="35"/>
      <c r="M72" s="35"/>
      <c r="N72" s="32" t="e">
        <f>IF(H72=Oct!$E$2,"N",IF(AND(COUNTIF(B:B,B72)=1,D72&gt;14),"Y","N"))</f>
        <v>#N/A</v>
      </c>
      <c r="O72" s="55" t="str">
        <f>IF(COUNT(Oct[[#This Row],[Date]])&gt;0,IF(Oct[[#This Row],[Date]]&gt;14,"Yes","No"),"N/A")</f>
        <v>N/A</v>
      </c>
      <c r="P72" s="55"/>
      <c r="Q72" s="5">
        <f>Relay!A71</f>
        <v>0</v>
      </c>
      <c r="R72" s="5">
        <f>Relay!B71</f>
        <v>70</v>
      </c>
      <c r="S72" s="8">
        <f>IF(Oct[After the 14th?]="No",SUMIF(Oct[SysID],R72,Oct[Pay Amount]),0)+IF(Sept[After the 14th?]="Yes",SUMIF(Sept[SysID],R72,Sept[Pay Amount]),0)</f>
        <v>0</v>
      </c>
      <c r="T72" s="8"/>
      <c r="U72" s="5" t="str">
        <f t="shared" si="5"/>
        <v>N</v>
      </c>
      <c r="X72" s="56"/>
      <c r="Y72" s="56"/>
      <c r="Z72" s="56"/>
      <c r="AA72" s="56"/>
      <c r="AC72" s="56"/>
    </row>
    <row r="73" spans="1:29" x14ac:dyDescent="0.25">
      <c r="A73" s="35"/>
      <c r="B73" s="32" t="e">
        <f>VLOOKUP(A73,Relay!$A$1:$B$50,2,FALSE)</f>
        <v>#N/A</v>
      </c>
      <c r="C73" s="32" t="e">
        <f>VLOOKUP(A73,Relay!$A$2:$C$101,3,FALSE)</f>
        <v>#N/A</v>
      </c>
      <c r="D73" s="39"/>
      <c r="E73" s="35"/>
      <c r="F73" s="58" t="str">
        <f t="shared" si="3"/>
        <v>INS</v>
      </c>
      <c r="G73" s="32" t="e">
        <f>IF(OR(E73="Jeopardy",E73="APP Moonlighting",E73="Differential Pay"),"",Oct[[#This Row],[SysID]])</f>
        <v>#N/A</v>
      </c>
      <c r="H73" s="32" t="e">
        <f>IF(E73="Jeopardy",IF(C73="MD",Relay!$E$7,Relay!$E$8),IF(C73="MD",IF(COUNTIF(G:G,B73)&gt;1,Relay!$E$2,Relay!$E$1),IF(AND(COUNTIF(G:G,B73)&gt;1,COUNTA(A73)&gt;0),Relay!$E$5,Relay!$E$4)))</f>
        <v>#N/A</v>
      </c>
      <c r="I73" s="8">
        <f t="shared" si="4"/>
        <v>0</v>
      </c>
      <c r="J73" s="35"/>
      <c r="K73" s="35"/>
      <c r="L73" s="35"/>
      <c r="M73" s="35"/>
      <c r="N73" s="32" t="e">
        <f>IF(H73=Oct!$E$2,"N",IF(AND(COUNTIF(B:B,B73)=1,D73&gt;14),"Y","N"))</f>
        <v>#N/A</v>
      </c>
      <c r="O73" s="55" t="str">
        <f>IF(COUNT(Oct[[#This Row],[Date]])&gt;0,IF(Oct[[#This Row],[Date]]&gt;14,"Yes","No"),"N/A")</f>
        <v>N/A</v>
      </c>
      <c r="P73" s="55"/>
      <c r="Q73" s="5">
        <f>Relay!A72</f>
        <v>0</v>
      </c>
      <c r="R73" s="5">
        <f>Relay!B72</f>
        <v>71</v>
      </c>
      <c r="S73" s="8">
        <f>IF(Oct[After the 14th?]="No",SUMIF(Oct[SysID],R73,Oct[Pay Amount]),0)+IF(Sept[After the 14th?]="Yes",SUMIF(Sept[SysID],R73,Sept[Pay Amount]),0)</f>
        <v>0</v>
      </c>
      <c r="T73" s="8"/>
      <c r="U73" s="5" t="str">
        <f t="shared" si="5"/>
        <v>N</v>
      </c>
      <c r="X73" s="56"/>
      <c r="Y73" s="56"/>
      <c r="Z73" s="56"/>
      <c r="AA73" s="56"/>
      <c r="AC73" s="56"/>
    </row>
    <row r="74" spans="1:29" x14ac:dyDescent="0.25">
      <c r="A74" s="35"/>
      <c r="B74" s="32" t="e">
        <f>VLOOKUP(A74,Relay!$A$1:$B$50,2,FALSE)</f>
        <v>#N/A</v>
      </c>
      <c r="C74" s="32" t="e">
        <f>VLOOKUP(A74,Relay!$A$2:$C$101,3,FALSE)</f>
        <v>#N/A</v>
      </c>
      <c r="D74" s="39"/>
      <c r="E74" s="35"/>
      <c r="F74" s="58" t="str">
        <f t="shared" si="3"/>
        <v>INS</v>
      </c>
      <c r="G74" s="32" t="e">
        <f>IF(OR(E74="Jeopardy",E74="APP Moonlighting",E74="Differential Pay"),"",Oct[[#This Row],[SysID]])</f>
        <v>#N/A</v>
      </c>
      <c r="H74" s="32" t="e">
        <f>IF(E74="Jeopardy",IF(C74="MD",Relay!$E$7,Relay!$E$8),IF(C74="MD",IF(COUNTIF(G:G,B74)&gt;1,Relay!$E$2,Relay!$E$1),IF(AND(COUNTIF(G:G,B74)&gt;1,COUNTA(A74)&gt;0),Relay!$E$5,Relay!$E$4)))</f>
        <v>#N/A</v>
      </c>
      <c r="I74" s="8">
        <f t="shared" si="4"/>
        <v>0</v>
      </c>
      <c r="J74" s="35"/>
      <c r="K74" s="35"/>
      <c r="L74" s="35"/>
      <c r="M74" s="35"/>
      <c r="N74" s="32" t="e">
        <f>IF(H74=Oct!$E$2,"N",IF(AND(COUNTIF(B:B,B74)=1,D74&gt;14),"Y","N"))</f>
        <v>#N/A</v>
      </c>
      <c r="O74" s="55" t="str">
        <f>IF(COUNT(Oct[[#This Row],[Date]])&gt;0,IF(Oct[[#This Row],[Date]]&gt;14,"Yes","No"),"N/A")</f>
        <v>N/A</v>
      </c>
      <c r="P74" s="55"/>
      <c r="Q74" s="5">
        <f>Relay!A73</f>
        <v>0</v>
      </c>
      <c r="R74" s="5">
        <f>Relay!B73</f>
        <v>72</v>
      </c>
      <c r="S74" s="8">
        <f>IF(Oct[After the 14th?]="No",SUMIF(Oct[SysID],R74,Oct[Pay Amount]),0)+IF(Sept[After the 14th?]="Yes",SUMIF(Sept[SysID],R74,Sept[Pay Amount]),0)</f>
        <v>0</v>
      </c>
      <c r="T74" s="8"/>
      <c r="U74" s="5" t="str">
        <f t="shared" si="5"/>
        <v>N</v>
      </c>
      <c r="X74" s="56"/>
      <c r="Y74" s="56"/>
      <c r="Z74" s="56"/>
      <c r="AA74" s="56"/>
      <c r="AC74" s="56"/>
    </row>
    <row r="75" spans="1:29" x14ac:dyDescent="0.25">
      <c r="A75" s="35"/>
      <c r="B75" s="32" t="e">
        <f>VLOOKUP(A75,Relay!$A$1:$B$50,2,FALSE)</f>
        <v>#N/A</v>
      </c>
      <c r="C75" s="32" t="e">
        <f>VLOOKUP(A75,Relay!$A$2:$C$101,3,FALSE)</f>
        <v>#N/A</v>
      </c>
      <c r="D75" s="39"/>
      <c r="E75" s="35"/>
      <c r="F75" s="58" t="str">
        <f t="shared" si="3"/>
        <v>INS</v>
      </c>
      <c r="G75" s="32" t="e">
        <f>IF(OR(E75="Jeopardy",E75="APP Moonlighting",E75="Differential Pay"),"",Oct[[#This Row],[SysID]])</f>
        <v>#N/A</v>
      </c>
      <c r="H75" s="32" t="e">
        <f>IF(E75="Jeopardy",IF(C75="MD",Relay!$E$7,Relay!$E$8),IF(C75="MD",IF(COUNTIF(G:G,B75)&gt;1,Relay!$E$2,Relay!$E$1),IF(AND(COUNTIF(G:G,B75)&gt;1,COUNTA(A75)&gt;0),Relay!$E$5,Relay!$E$4)))</f>
        <v>#N/A</v>
      </c>
      <c r="I75" s="8">
        <f t="shared" si="4"/>
        <v>0</v>
      </c>
      <c r="J75" s="35"/>
      <c r="K75" s="35"/>
      <c r="L75" s="35"/>
      <c r="M75" s="35"/>
      <c r="N75" s="32" t="e">
        <f>IF(H75=Oct!$E$2,"N",IF(AND(COUNTIF(B:B,B75)=1,D75&gt;14),"Y","N"))</f>
        <v>#N/A</v>
      </c>
      <c r="O75" s="55" t="str">
        <f>IF(COUNT(Oct[[#This Row],[Date]])&gt;0,IF(Oct[[#This Row],[Date]]&gt;14,"Yes","No"),"N/A")</f>
        <v>N/A</v>
      </c>
      <c r="P75" s="55"/>
      <c r="Q75" s="5">
        <f>Relay!A74</f>
        <v>0</v>
      </c>
      <c r="R75" s="5">
        <f>Relay!B74</f>
        <v>73</v>
      </c>
      <c r="S75" s="8">
        <f>IF(Oct[After the 14th?]="No",SUMIF(Oct[SysID],R75,Oct[Pay Amount]),0)+IF(Sept[After the 14th?]="Yes",SUMIF(Sept[SysID],R75,Sept[Pay Amount]),0)</f>
        <v>0</v>
      </c>
      <c r="T75" s="8"/>
      <c r="U75" s="5" t="str">
        <f t="shared" si="5"/>
        <v>N</v>
      </c>
      <c r="X75" s="56"/>
      <c r="Y75" s="56"/>
      <c r="Z75" s="56"/>
      <c r="AA75" s="56"/>
      <c r="AC75" s="56"/>
    </row>
    <row r="76" spans="1:29" x14ac:dyDescent="0.25">
      <c r="A76" s="35"/>
      <c r="B76" s="32" t="e">
        <f>VLOOKUP(A76,Relay!$A$1:$B$50,2,FALSE)</f>
        <v>#N/A</v>
      </c>
      <c r="C76" s="32" t="e">
        <f>VLOOKUP(A76,Relay!$A$2:$C$101,3,FALSE)</f>
        <v>#N/A</v>
      </c>
      <c r="D76" s="39"/>
      <c r="E76" s="35"/>
      <c r="F76" s="58" t="str">
        <f t="shared" si="3"/>
        <v>INS</v>
      </c>
      <c r="G76" s="32" t="e">
        <f>IF(OR(E76="Jeopardy",E76="APP Moonlighting",E76="Differential Pay"),"",Oct[[#This Row],[SysID]])</f>
        <v>#N/A</v>
      </c>
      <c r="H76" s="32" t="e">
        <f>IF(E76="Jeopardy",IF(C76="MD",Relay!$E$7,Relay!$E$8),IF(C76="MD",IF(COUNTIF(G:G,B76)&gt;1,Relay!$E$2,Relay!$E$1),IF(AND(COUNTIF(G:G,B76)&gt;1,COUNTA(A76)&gt;0),Relay!$E$5,Relay!$E$4)))</f>
        <v>#N/A</v>
      </c>
      <c r="I76" s="8">
        <f t="shared" si="4"/>
        <v>0</v>
      </c>
      <c r="J76" s="35"/>
      <c r="K76" s="35"/>
      <c r="L76" s="35"/>
      <c r="M76" s="35"/>
      <c r="N76" s="32" t="e">
        <f>IF(H76=Oct!$E$2,"N",IF(AND(COUNTIF(B:B,B76)=1,D76&gt;14),"Y","N"))</f>
        <v>#N/A</v>
      </c>
      <c r="O76" s="55" t="str">
        <f>IF(COUNT(Oct[[#This Row],[Date]])&gt;0,IF(Oct[[#This Row],[Date]]&gt;14,"Yes","No"),"N/A")</f>
        <v>N/A</v>
      </c>
      <c r="P76" s="55"/>
      <c r="Q76" s="5">
        <f>Relay!A75</f>
        <v>0</v>
      </c>
      <c r="R76" s="5">
        <f>Relay!B75</f>
        <v>74</v>
      </c>
      <c r="S76" s="8">
        <f>IF(Oct[After the 14th?]="No",SUMIF(Oct[SysID],R76,Oct[Pay Amount]),0)+IF(Sept[After the 14th?]="Yes",SUMIF(Sept[SysID],R76,Sept[Pay Amount]),0)</f>
        <v>0</v>
      </c>
      <c r="T76" s="8"/>
      <c r="U76" s="5" t="str">
        <f t="shared" si="5"/>
        <v>N</v>
      </c>
      <c r="X76" s="56"/>
      <c r="Y76" s="56"/>
      <c r="Z76" s="56"/>
      <c r="AA76" s="56"/>
      <c r="AC76" s="56"/>
    </row>
    <row r="77" spans="1:29" x14ac:dyDescent="0.25">
      <c r="A77" s="35"/>
      <c r="B77" s="32" t="e">
        <f>VLOOKUP(A77,Relay!$A$1:$B$50,2,FALSE)</f>
        <v>#N/A</v>
      </c>
      <c r="C77" s="32" t="e">
        <f>VLOOKUP(A77,Relay!$A$2:$C$101,3,FALSE)</f>
        <v>#N/A</v>
      </c>
      <c r="D77" s="39"/>
      <c r="E77" s="35"/>
      <c r="F77" s="58" t="str">
        <f t="shared" si="3"/>
        <v>INS</v>
      </c>
      <c r="G77" s="32" t="e">
        <f>IF(OR(E77="Jeopardy",E77="APP Moonlighting",E77="Differential Pay"),"",Oct[[#This Row],[SysID]])</f>
        <v>#N/A</v>
      </c>
      <c r="H77" s="32" t="e">
        <f>IF(E77="Jeopardy",IF(C77="MD",Relay!$E$7,Relay!$E$8),IF(C77="MD",IF(COUNTIF(G:G,B77)&gt;1,Relay!$E$2,Relay!$E$1),IF(AND(COUNTIF(G:G,B77)&gt;1,COUNTA(A77)&gt;0),Relay!$E$5,Relay!$E$4)))</f>
        <v>#N/A</v>
      </c>
      <c r="I77" s="8">
        <f t="shared" si="4"/>
        <v>0</v>
      </c>
      <c r="J77" s="35"/>
      <c r="K77" s="35"/>
      <c r="L77" s="35"/>
      <c r="M77" s="35"/>
      <c r="N77" s="32" t="e">
        <f>IF(H77=Oct!$E$2,"N",IF(AND(COUNTIF(B:B,B77)=1,D77&gt;14),"Y","N"))</f>
        <v>#N/A</v>
      </c>
      <c r="O77" s="55" t="str">
        <f>IF(COUNT(Oct[[#This Row],[Date]])&gt;0,IF(Oct[[#This Row],[Date]]&gt;14,"Yes","No"),"N/A")</f>
        <v>N/A</v>
      </c>
      <c r="P77" s="55"/>
      <c r="Q77" s="5">
        <f>Relay!A76</f>
        <v>0</v>
      </c>
      <c r="R77" s="5">
        <f>Relay!B76</f>
        <v>75</v>
      </c>
      <c r="S77" s="8">
        <f>IF(Oct[After the 14th?]="No",SUMIF(Oct[SysID],R77,Oct[Pay Amount]),0)+IF(Sept[After the 14th?]="Yes",SUMIF(Sept[SysID],R77,Sept[Pay Amount]),0)</f>
        <v>0</v>
      </c>
      <c r="T77" s="8"/>
      <c r="U77" s="5" t="str">
        <f t="shared" si="5"/>
        <v>N</v>
      </c>
      <c r="X77" s="56"/>
      <c r="Y77" s="56"/>
      <c r="Z77" s="56"/>
      <c r="AA77" s="56"/>
      <c r="AC77" s="56"/>
    </row>
    <row r="78" spans="1:29" x14ac:dyDescent="0.25">
      <c r="A78" s="35"/>
      <c r="B78" s="32" t="e">
        <f>VLOOKUP(A78,Relay!$A$1:$B$50,2,FALSE)</f>
        <v>#N/A</v>
      </c>
      <c r="C78" s="32" t="e">
        <f>VLOOKUP(A78,Relay!$A$2:$C$101,3,FALSE)</f>
        <v>#N/A</v>
      </c>
      <c r="D78" s="39"/>
      <c r="E78" s="35"/>
      <c r="F78" s="58" t="str">
        <f t="shared" si="3"/>
        <v>INS</v>
      </c>
      <c r="G78" s="32" t="e">
        <f>IF(OR(E78="Jeopardy",E78="APP Moonlighting",E78="Differential Pay"),"",Oct[[#This Row],[SysID]])</f>
        <v>#N/A</v>
      </c>
      <c r="H78" s="32" t="e">
        <f>IF(E78="Jeopardy",IF(C78="MD",Relay!$E$7,Relay!$E$8),IF(C78="MD",IF(COUNTIF(G:G,B78)&gt;1,Relay!$E$2,Relay!$E$1),IF(AND(COUNTIF(G:G,B78)&gt;1,COUNTA(A78)&gt;0),Relay!$E$5,Relay!$E$4)))</f>
        <v>#N/A</v>
      </c>
      <c r="I78" s="8">
        <f t="shared" si="4"/>
        <v>0</v>
      </c>
      <c r="J78" s="35"/>
      <c r="K78" s="35"/>
      <c r="L78" s="35"/>
      <c r="M78" s="35"/>
      <c r="N78" s="32" t="e">
        <f>IF(H78=Oct!$E$2,"N",IF(AND(COUNTIF(B:B,B78)=1,D78&gt;14),"Y","N"))</f>
        <v>#N/A</v>
      </c>
      <c r="O78" s="55" t="str">
        <f>IF(COUNT(Oct[[#This Row],[Date]])&gt;0,IF(Oct[[#This Row],[Date]]&gt;14,"Yes","No"),"N/A")</f>
        <v>N/A</v>
      </c>
      <c r="P78" s="55"/>
      <c r="Q78" s="5">
        <f>Relay!A77</f>
        <v>0</v>
      </c>
      <c r="R78" s="5">
        <f>Relay!B77</f>
        <v>76</v>
      </c>
      <c r="S78" s="8">
        <f>IF(Oct[After the 14th?]="No",SUMIF(Oct[SysID],R78,Oct[Pay Amount]),0)+IF(Sept[After the 14th?]="Yes",SUMIF(Sept[SysID],R78,Sept[Pay Amount]),0)</f>
        <v>0</v>
      </c>
      <c r="T78" s="8"/>
      <c r="U78" s="5" t="str">
        <f t="shared" si="5"/>
        <v>N</v>
      </c>
      <c r="X78" s="56"/>
      <c r="Y78" s="56"/>
      <c r="Z78" s="56"/>
      <c r="AA78" s="56"/>
      <c r="AC78" s="56"/>
    </row>
    <row r="79" spans="1:29" x14ac:dyDescent="0.25">
      <c r="A79" s="35"/>
      <c r="B79" s="32" t="e">
        <f>VLOOKUP(A79,Relay!$A$1:$B$50,2,FALSE)</f>
        <v>#N/A</v>
      </c>
      <c r="C79" s="32" t="e">
        <f>VLOOKUP(A79,Relay!$A$2:$C$101,3,FALSE)</f>
        <v>#N/A</v>
      </c>
      <c r="D79" s="39"/>
      <c r="E79" s="35"/>
      <c r="F79" s="58" t="str">
        <f t="shared" si="3"/>
        <v>INS</v>
      </c>
      <c r="G79" s="32" t="e">
        <f>IF(OR(E79="Jeopardy",E79="APP Moonlighting",E79="Differential Pay"),"",Oct[[#This Row],[SysID]])</f>
        <v>#N/A</v>
      </c>
      <c r="H79" s="32" t="e">
        <f>IF(E79="Jeopardy",IF(C79="MD",Relay!$E$7,Relay!$E$8),IF(C79="MD",IF(COUNTIF(G:G,B79)&gt;1,Relay!$E$2,Relay!$E$1),IF(AND(COUNTIF(G:G,B79)&gt;1,COUNTA(A79)&gt;0),Relay!$E$5,Relay!$E$4)))</f>
        <v>#N/A</v>
      </c>
      <c r="I79" s="8">
        <f t="shared" si="4"/>
        <v>0</v>
      </c>
      <c r="J79" s="35"/>
      <c r="K79" s="35"/>
      <c r="L79" s="35"/>
      <c r="M79" s="35"/>
      <c r="N79" s="32" t="e">
        <f>IF(H79=Oct!$E$2,"N",IF(AND(COUNTIF(B:B,B79)=1,D79&gt;14),"Y","N"))</f>
        <v>#N/A</v>
      </c>
      <c r="O79" s="55" t="str">
        <f>IF(COUNT(Oct[[#This Row],[Date]])&gt;0,IF(Oct[[#This Row],[Date]]&gt;14,"Yes","No"),"N/A")</f>
        <v>N/A</v>
      </c>
      <c r="P79" s="55"/>
      <c r="Q79" s="5">
        <f>Relay!A78</f>
        <v>0</v>
      </c>
      <c r="R79" s="5">
        <f>Relay!B78</f>
        <v>77</v>
      </c>
      <c r="S79" s="8">
        <f>IF(Oct[After the 14th?]="No",SUMIF(Oct[SysID],R79,Oct[Pay Amount]),0)+IF(Sept[After the 14th?]="Yes",SUMIF(Sept[SysID],R79,Sept[Pay Amount]),0)</f>
        <v>0</v>
      </c>
      <c r="T79" s="8"/>
      <c r="U79" s="5" t="str">
        <f t="shared" si="5"/>
        <v>N</v>
      </c>
      <c r="X79" s="56"/>
      <c r="Y79" s="56"/>
      <c r="Z79" s="56"/>
      <c r="AA79" s="56"/>
      <c r="AC79" s="56"/>
    </row>
    <row r="80" spans="1:29" x14ac:dyDescent="0.25">
      <c r="A80" s="35"/>
      <c r="B80" s="32" t="e">
        <f>VLOOKUP(A80,Relay!$A$1:$B$50,2,FALSE)</f>
        <v>#N/A</v>
      </c>
      <c r="C80" s="32" t="e">
        <f>VLOOKUP(A80,Relay!$A$2:$C$101,3,FALSE)</f>
        <v>#N/A</v>
      </c>
      <c r="D80" s="39"/>
      <c r="E80" s="35"/>
      <c r="F80" s="58" t="str">
        <f t="shared" si="3"/>
        <v>INS</v>
      </c>
      <c r="G80" s="32" t="e">
        <f>IF(OR(E80="Jeopardy",E80="APP Moonlighting",E80="Differential Pay"),"",Oct[[#This Row],[SysID]])</f>
        <v>#N/A</v>
      </c>
      <c r="H80" s="32" t="e">
        <f>IF(E80="Jeopardy",IF(C80="MD",Relay!$E$7,Relay!$E$8),IF(C80="MD",IF(COUNTIF(G:G,B80)&gt;1,Relay!$E$2,Relay!$E$1),IF(AND(COUNTIF(G:G,B80)&gt;1,COUNTA(A80)&gt;0),Relay!$E$5,Relay!$E$4)))</f>
        <v>#N/A</v>
      </c>
      <c r="I80" s="8">
        <f t="shared" si="4"/>
        <v>0</v>
      </c>
      <c r="J80" s="35"/>
      <c r="K80" s="35"/>
      <c r="L80" s="35"/>
      <c r="M80" s="35"/>
      <c r="N80" s="32" t="e">
        <f>IF(H80=Oct!$E$2,"N",IF(AND(COUNTIF(B:B,B80)=1,D80&gt;14),"Y","N"))</f>
        <v>#N/A</v>
      </c>
      <c r="O80" s="55" t="str">
        <f>IF(COUNT(Oct[[#This Row],[Date]])&gt;0,IF(Oct[[#This Row],[Date]]&gt;14,"Yes","No"),"N/A")</f>
        <v>N/A</v>
      </c>
      <c r="P80" s="55"/>
      <c r="Q80" s="5">
        <f>Relay!A79</f>
        <v>0</v>
      </c>
      <c r="R80" s="5">
        <f>Relay!B79</f>
        <v>78</v>
      </c>
      <c r="S80" s="8">
        <f>IF(Oct[After the 14th?]="No",SUMIF(Oct[SysID],R80,Oct[Pay Amount]),0)+IF(Sept[After the 14th?]="Yes",SUMIF(Sept[SysID],R80,Sept[Pay Amount]),0)</f>
        <v>0</v>
      </c>
      <c r="T80" s="8"/>
      <c r="U80" s="5" t="str">
        <f t="shared" si="5"/>
        <v>N</v>
      </c>
      <c r="X80" s="56"/>
      <c r="Y80" s="56"/>
      <c r="Z80" s="56"/>
      <c r="AA80" s="56"/>
      <c r="AC80" s="56"/>
    </row>
    <row r="81" spans="1:29" x14ac:dyDescent="0.25">
      <c r="A81" s="35"/>
      <c r="B81" s="32" t="e">
        <f>VLOOKUP(A81,Relay!$A$1:$B$50,2,FALSE)</f>
        <v>#N/A</v>
      </c>
      <c r="C81" s="32" t="e">
        <f>VLOOKUP(A81,Relay!$A$2:$C$101,3,FALSE)</f>
        <v>#N/A</v>
      </c>
      <c r="D81" s="39"/>
      <c r="E81" s="35"/>
      <c r="F81" s="58" t="str">
        <f t="shared" si="3"/>
        <v>INS</v>
      </c>
      <c r="G81" s="32" t="e">
        <f>IF(OR(E81="Jeopardy",E81="APP Moonlighting",E81="Differential Pay"),"",Oct[[#This Row],[SysID]])</f>
        <v>#N/A</v>
      </c>
      <c r="H81" s="32" t="e">
        <f>IF(E81="Jeopardy",IF(C81="MD",Relay!$E$7,Relay!$E$8),IF(C81="MD",IF(COUNTIF(G:G,B81)&gt;1,Relay!$E$2,Relay!$E$1),IF(AND(COUNTIF(G:G,B81)&gt;1,COUNTA(A81)&gt;0),Relay!$E$5,Relay!$E$4)))</f>
        <v>#N/A</v>
      </c>
      <c r="I81" s="8">
        <f t="shared" si="4"/>
        <v>0</v>
      </c>
      <c r="J81" s="35"/>
      <c r="K81" s="35"/>
      <c r="L81" s="35"/>
      <c r="M81" s="35"/>
      <c r="N81" s="32" t="e">
        <f>IF(H81=Oct!$E$2,"N",IF(AND(COUNTIF(B:B,B81)=1,D81&gt;14),"Y","N"))</f>
        <v>#N/A</v>
      </c>
      <c r="O81" s="55" t="str">
        <f>IF(COUNT(Oct[[#This Row],[Date]])&gt;0,IF(Oct[[#This Row],[Date]]&gt;14,"Yes","No"),"N/A")</f>
        <v>N/A</v>
      </c>
      <c r="P81" s="55"/>
      <c r="Q81" s="5">
        <f>Relay!A80</f>
        <v>0</v>
      </c>
      <c r="R81" s="5">
        <f>Relay!B80</f>
        <v>79</v>
      </c>
      <c r="S81" s="8">
        <f>IF(Oct[After the 14th?]="No",SUMIF(Oct[SysID],R81,Oct[Pay Amount]),0)+IF(Sept[After the 14th?]="Yes",SUMIF(Sept[SysID],R81,Sept[Pay Amount]),0)</f>
        <v>0</v>
      </c>
      <c r="T81" s="8"/>
      <c r="U81" s="5" t="str">
        <f t="shared" si="5"/>
        <v>N</v>
      </c>
      <c r="X81" s="56"/>
      <c r="Y81" s="56"/>
      <c r="Z81" s="56"/>
      <c r="AA81" s="56"/>
      <c r="AC81" s="56"/>
    </row>
    <row r="82" spans="1:29" x14ac:dyDescent="0.25">
      <c r="A82" s="35"/>
      <c r="B82" s="32" t="e">
        <f>VLOOKUP(A82,Relay!$A$1:$B$50,2,FALSE)</f>
        <v>#N/A</v>
      </c>
      <c r="C82" s="32" t="e">
        <f>VLOOKUP(A82,Relay!$A$2:$C$101,3,FALSE)</f>
        <v>#N/A</v>
      </c>
      <c r="D82" s="39"/>
      <c r="E82" s="35"/>
      <c r="F82" s="58" t="str">
        <f t="shared" si="3"/>
        <v>INS</v>
      </c>
      <c r="G82" s="32" t="e">
        <f>IF(OR(E82="Jeopardy",E82="APP Moonlighting",E82="Differential Pay"),"",Oct[[#This Row],[SysID]])</f>
        <v>#N/A</v>
      </c>
      <c r="H82" s="32" t="e">
        <f>IF(E82="Jeopardy",IF(C82="MD",Relay!$E$7,Relay!$E$8),IF(C82="MD",IF(COUNTIF(G:G,B82)&gt;1,Relay!$E$2,Relay!$E$1),IF(AND(COUNTIF(G:G,B82)&gt;1,COUNTA(A82)&gt;0),Relay!$E$5,Relay!$E$4)))</f>
        <v>#N/A</v>
      </c>
      <c r="I82" s="8">
        <f t="shared" si="4"/>
        <v>0</v>
      </c>
      <c r="J82" s="35"/>
      <c r="K82" s="35"/>
      <c r="L82" s="35"/>
      <c r="M82" s="35"/>
      <c r="N82" s="32" t="e">
        <f>IF(H82=Oct!$E$2,"N",IF(AND(COUNTIF(B:B,B82)=1,D82&gt;14),"Y","N"))</f>
        <v>#N/A</v>
      </c>
      <c r="O82" s="55" t="str">
        <f>IF(COUNT(Oct[[#This Row],[Date]])&gt;0,IF(Oct[[#This Row],[Date]]&gt;14,"Yes","No"),"N/A")</f>
        <v>N/A</v>
      </c>
      <c r="P82" s="55"/>
      <c r="Q82" s="5">
        <f>Relay!A81</f>
        <v>0</v>
      </c>
      <c r="R82" s="5">
        <f>Relay!B81</f>
        <v>80</v>
      </c>
      <c r="S82" s="8">
        <f>IF(Oct[After the 14th?]="No",SUMIF(Oct[SysID],R82,Oct[Pay Amount]),0)+IF(Sept[After the 14th?]="Yes",SUMIF(Sept[SysID],R82,Sept[Pay Amount]),0)</f>
        <v>0</v>
      </c>
      <c r="T82" s="8"/>
      <c r="U82" s="5" t="str">
        <f t="shared" si="5"/>
        <v>N</v>
      </c>
      <c r="X82" s="56"/>
      <c r="Y82" s="56"/>
      <c r="Z82" s="56"/>
      <c r="AA82" s="56"/>
      <c r="AC82" s="56"/>
    </row>
    <row r="83" spans="1:29" x14ac:dyDescent="0.25">
      <c r="A83" s="35"/>
      <c r="B83" s="32" t="e">
        <f>VLOOKUP(A83,Relay!$A$1:$B$50,2,FALSE)</f>
        <v>#N/A</v>
      </c>
      <c r="C83" s="32" t="e">
        <f>VLOOKUP(A83,Relay!$A$2:$C$101,3,FALSE)</f>
        <v>#N/A</v>
      </c>
      <c r="D83" s="39"/>
      <c r="E83" s="35"/>
      <c r="F83" s="58" t="str">
        <f t="shared" si="3"/>
        <v>INS</v>
      </c>
      <c r="G83" s="32" t="e">
        <f>IF(OR(E83="Jeopardy",E83="APP Moonlighting",E83="Differential Pay"),"",Oct[[#This Row],[SysID]])</f>
        <v>#N/A</v>
      </c>
      <c r="H83" s="32" t="e">
        <f>IF(E83="Jeopardy",IF(C83="MD",Relay!$E$7,Relay!$E$8),IF(C83="MD",IF(COUNTIF(G:G,B83)&gt;1,Relay!$E$2,Relay!$E$1),IF(AND(COUNTIF(G:G,B83)&gt;1,COUNTA(A83)&gt;0),Relay!$E$5,Relay!$E$4)))</f>
        <v>#N/A</v>
      </c>
      <c r="I83" s="8">
        <f t="shared" si="4"/>
        <v>0</v>
      </c>
      <c r="J83" s="35"/>
      <c r="K83" s="35"/>
      <c r="L83" s="35"/>
      <c r="M83" s="35"/>
      <c r="N83" s="32" t="e">
        <f>IF(H83=Oct!$E$2,"N",IF(AND(COUNTIF(B:B,B83)=1,D83&gt;14),"Y","N"))</f>
        <v>#N/A</v>
      </c>
      <c r="O83" s="55" t="str">
        <f>IF(COUNT(Oct[[#This Row],[Date]])&gt;0,IF(Oct[[#This Row],[Date]]&gt;14,"Yes","No"),"N/A")</f>
        <v>N/A</v>
      </c>
      <c r="P83" s="55"/>
      <c r="Q83" s="5">
        <f>Relay!A82</f>
        <v>0</v>
      </c>
      <c r="R83" s="5">
        <f>Relay!B82</f>
        <v>81</v>
      </c>
      <c r="S83" s="8">
        <f>IF(Oct[After the 14th?]="No",SUMIF(Oct[SysID],R83,Oct[Pay Amount]),0)+IF(Sept[After the 14th?]="Yes",SUMIF(Sept[SysID],R83,Sept[Pay Amount]),0)</f>
        <v>0</v>
      </c>
      <c r="T83" s="8"/>
      <c r="U83" s="5" t="str">
        <f t="shared" si="5"/>
        <v>N</v>
      </c>
      <c r="X83" s="56"/>
      <c r="Y83" s="56"/>
      <c r="Z83" s="56"/>
      <c r="AA83" s="56"/>
      <c r="AC83" s="56"/>
    </row>
    <row r="84" spans="1:29" x14ac:dyDescent="0.25">
      <c r="A84" s="35"/>
      <c r="B84" s="32" t="e">
        <f>VLOOKUP(A84,Relay!$A$1:$B$50,2,FALSE)</f>
        <v>#N/A</v>
      </c>
      <c r="C84" s="32" t="e">
        <f>VLOOKUP(A84,Relay!$A$2:$C$101,3,FALSE)</f>
        <v>#N/A</v>
      </c>
      <c r="D84" s="39"/>
      <c r="E84" s="35"/>
      <c r="F84" s="58" t="str">
        <f t="shared" si="3"/>
        <v>INS</v>
      </c>
      <c r="G84" s="32" t="e">
        <f>IF(OR(E84="Jeopardy",E84="APP Moonlighting",E84="Differential Pay"),"",Oct[[#This Row],[SysID]])</f>
        <v>#N/A</v>
      </c>
      <c r="H84" s="32" t="e">
        <f>IF(E84="Jeopardy",IF(C84="MD",Relay!$E$7,Relay!$E$8),IF(C84="MD",IF(COUNTIF(G:G,B84)&gt;1,Relay!$E$2,Relay!$E$1),IF(AND(COUNTIF(G:G,B84)&gt;1,COUNTA(A84)&gt;0),Relay!$E$5,Relay!$E$4)))</f>
        <v>#N/A</v>
      </c>
      <c r="I84" s="8">
        <f t="shared" si="4"/>
        <v>0</v>
      </c>
      <c r="J84" s="35"/>
      <c r="K84" s="35"/>
      <c r="L84" s="35"/>
      <c r="M84" s="35"/>
      <c r="N84" s="32" t="e">
        <f>IF(H84=Oct!$E$2,"N",IF(AND(COUNTIF(B:B,B84)=1,D84&gt;14),"Y","N"))</f>
        <v>#N/A</v>
      </c>
      <c r="O84" s="55" t="str">
        <f>IF(COUNT(Oct[[#This Row],[Date]])&gt;0,IF(Oct[[#This Row],[Date]]&gt;14,"Yes","No"),"N/A")</f>
        <v>N/A</v>
      </c>
      <c r="P84" s="55"/>
      <c r="Q84" s="5">
        <f>Relay!A83</f>
        <v>0</v>
      </c>
      <c r="R84" s="5">
        <f>Relay!B83</f>
        <v>82</v>
      </c>
      <c r="S84" s="8">
        <f>IF(Oct[After the 14th?]="No",SUMIF(Oct[SysID],R84,Oct[Pay Amount]),0)+IF(Sept[After the 14th?]="Yes",SUMIF(Sept[SysID],R84,Sept[Pay Amount]),0)</f>
        <v>0</v>
      </c>
      <c r="T84" s="8"/>
      <c r="U84" s="5" t="str">
        <f t="shared" si="5"/>
        <v>N</v>
      </c>
      <c r="X84" s="56"/>
      <c r="Y84" s="56"/>
      <c r="Z84" s="56"/>
      <c r="AA84" s="56"/>
      <c r="AC84" s="56"/>
    </row>
    <row r="85" spans="1:29" x14ac:dyDescent="0.25">
      <c r="A85" s="35"/>
      <c r="B85" s="32" t="e">
        <f>VLOOKUP(A85,Relay!$A$1:$B$50,2,FALSE)</f>
        <v>#N/A</v>
      </c>
      <c r="C85" s="32" t="e">
        <f>VLOOKUP(A85,Relay!$A$2:$C$101,3,FALSE)</f>
        <v>#N/A</v>
      </c>
      <c r="D85" s="39"/>
      <c r="E85" s="35"/>
      <c r="F85" s="58" t="str">
        <f t="shared" si="3"/>
        <v>INS</v>
      </c>
      <c r="G85" s="32" t="e">
        <f>IF(OR(E85="Jeopardy",E85="APP Moonlighting",E85="Differential Pay"),"",Oct[[#This Row],[SysID]])</f>
        <v>#N/A</v>
      </c>
      <c r="H85" s="32" t="e">
        <f>IF(E85="Jeopardy",IF(C85="MD",Relay!$E$7,Relay!$E$8),IF(C85="MD",IF(COUNTIF(G:G,B85)&gt;1,Relay!$E$2,Relay!$E$1),IF(AND(COUNTIF(G:G,B85)&gt;1,COUNTA(A85)&gt;0),Relay!$E$5,Relay!$E$4)))</f>
        <v>#N/A</v>
      </c>
      <c r="I85" s="8">
        <f t="shared" si="4"/>
        <v>0</v>
      </c>
      <c r="J85" s="35"/>
      <c r="K85" s="35"/>
      <c r="L85" s="35"/>
      <c r="M85" s="35"/>
      <c r="N85" s="32" t="e">
        <f>IF(H85=Oct!$E$2,"N",IF(AND(COUNTIF(B:B,B85)=1,D85&gt;14),"Y","N"))</f>
        <v>#N/A</v>
      </c>
      <c r="O85" s="55" t="str">
        <f>IF(COUNT(Oct[[#This Row],[Date]])&gt;0,IF(Oct[[#This Row],[Date]]&gt;14,"Yes","No"),"N/A")</f>
        <v>N/A</v>
      </c>
      <c r="P85" s="55"/>
      <c r="Q85" s="5">
        <f>Relay!A84</f>
        <v>0</v>
      </c>
      <c r="R85" s="5">
        <f>Relay!B84</f>
        <v>83</v>
      </c>
      <c r="S85" s="8">
        <f>IF(Oct[After the 14th?]="No",SUMIF(Oct[SysID],R85,Oct[Pay Amount]),0)+IF(Sept[After the 14th?]="Yes",SUMIF(Sept[SysID],R85,Sept[Pay Amount]),0)</f>
        <v>0</v>
      </c>
      <c r="T85" s="8"/>
      <c r="U85" s="5" t="str">
        <f t="shared" si="5"/>
        <v>N</v>
      </c>
      <c r="X85" s="56"/>
      <c r="Y85" s="56"/>
      <c r="Z85" s="56"/>
      <c r="AA85" s="56"/>
      <c r="AC85" s="56"/>
    </row>
    <row r="86" spans="1:29" x14ac:dyDescent="0.25">
      <c r="A86" s="35"/>
      <c r="B86" s="32" t="e">
        <f>VLOOKUP(A86,Relay!$A$1:$B$50,2,FALSE)</f>
        <v>#N/A</v>
      </c>
      <c r="C86" s="32" t="e">
        <f>VLOOKUP(A86,Relay!$A$2:$C$101,3,FALSE)</f>
        <v>#N/A</v>
      </c>
      <c r="D86" s="39"/>
      <c r="E86" s="35"/>
      <c r="F86" s="58" t="str">
        <f t="shared" si="3"/>
        <v>INS</v>
      </c>
      <c r="G86" s="32" t="e">
        <f>IF(OR(E86="Jeopardy",E86="APP Moonlighting",E86="Differential Pay"),"",Oct[[#This Row],[SysID]])</f>
        <v>#N/A</v>
      </c>
      <c r="H86" s="32" t="e">
        <f>IF(E86="Jeopardy",IF(C86="MD",Relay!$E$7,Relay!$E$8),IF(C86="MD",IF(COUNTIF(G:G,B86)&gt;1,Relay!$E$2,Relay!$E$1),IF(AND(COUNTIF(G:G,B86)&gt;1,COUNTA(A86)&gt;0),Relay!$E$5,Relay!$E$4)))</f>
        <v>#N/A</v>
      </c>
      <c r="I86" s="8">
        <f t="shared" si="4"/>
        <v>0</v>
      </c>
      <c r="J86" s="35"/>
      <c r="K86" s="35"/>
      <c r="L86" s="35"/>
      <c r="M86" s="35"/>
      <c r="N86" s="32" t="e">
        <f>IF(H86=Oct!$E$2,"N",IF(AND(COUNTIF(B:B,B86)=1,D86&gt;14),"Y","N"))</f>
        <v>#N/A</v>
      </c>
      <c r="O86" s="55" t="str">
        <f>IF(COUNT(Oct[[#This Row],[Date]])&gt;0,IF(Oct[[#This Row],[Date]]&gt;14,"Yes","No"),"N/A")</f>
        <v>N/A</v>
      </c>
      <c r="P86" s="55"/>
      <c r="Q86" s="5">
        <f>Relay!A85</f>
        <v>0</v>
      </c>
      <c r="R86" s="5">
        <f>Relay!B85</f>
        <v>84</v>
      </c>
      <c r="S86" s="8">
        <f>IF(Oct[After the 14th?]="No",SUMIF(Oct[SysID],R86,Oct[Pay Amount]),0)+IF(Sept[After the 14th?]="Yes",SUMIF(Sept[SysID],R86,Sept[Pay Amount]),0)</f>
        <v>0</v>
      </c>
      <c r="T86" s="8"/>
      <c r="U86" s="5" t="str">
        <f t="shared" si="5"/>
        <v>N</v>
      </c>
      <c r="X86" s="56"/>
      <c r="Y86" s="56"/>
      <c r="Z86" s="56"/>
      <c r="AA86" s="56"/>
      <c r="AC86" s="56"/>
    </row>
    <row r="87" spans="1:29" x14ac:dyDescent="0.25">
      <c r="A87" s="35"/>
      <c r="B87" s="32" t="e">
        <f>VLOOKUP(A87,Relay!$A$1:$B$50,2,FALSE)</f>
        <v>#N/A</v>
      </c>
      <c r="C87" s="32" t="e">
        <f>VLOOKUP(A87,Relay!$A$2:$C$101,3,FALSE)</f>
        <v>#N/A</v>
      </c>
      <c r="D87" s="39"/>
      <c r="E87" s="35"/>
      <c r="F87" s="58" t="str">
        <f t="shared" si="3"/>
        <v>INS</v>
      </c>
      <c r="G87" s="32" t="e">
        <f>IF(OR(E87="Jeopardy",E87="APP Moonlighting",E87="Differential Pay"),"",Oct[[#This Row],[SysID]])</f>
        <v>#N/A</v>
      </c>
      <c r="H87" s="32" t="e">
        <f>IF(E87="Jeopardy",IF(C87="MD",Relay!$E$7,Relay!$E$8),IF(C87="MD",IF(COUNTIF(G:G,B87)&gt;1,Relay!$E$2,Relay!$E$1),IF(AND(COUNTIF(G:G,B87)&gt;1,COUNTA(A87)&gt;0),Relay!$E$5,Relay!$E$4)))</f>
        <v>#N/A</v>
      </c>
      <c r="I87" s="8">
        <f t="shared" si="4"/>
        <v>0</v>
      </c>
      <c r="J87" s="35"/>
      <c r="K87" s="35"/>
      <c r="L87" s="35"/>
      <c r="M87" s="35"/>
      <c r="N87" s="32" t="e">
        <f>IF(H87=Oct!$E$2,"N",IF(AND(COUNTIF(B:B,B87)=1,D87&gt;14),"Y","N"))</f>
        <v>#N/A</v>
      </c>
      <c r="O87" s="55" t="str">
        <f>IF(COUNT(Oct[[#This Row],[Date]])&gt;0,IF(Oct[[#This Row],[Date]]&gt;14,"Yes","No"),"N/A")</f>
        <v>N/A</v>
      </c>
      <c r="P87" s="55"/>
      <c r="Q87" s="5">
        <f>Relay!A86</f>
        <v>0</v>
      </c>
      <c r="R87" s="5">
        <f>Relay!B86</f>
        <v>85</v>
      </c>
      <c r="S87" s="8">
        <f>IF(Oct[After the 14th?]="No",SUMIF(Oct[SysID],R87,Oct[Pay Amount]),0)+IF(Sept[After the 14th?]="Yes",SUMIF(Sept[SysID],R87,Sept[Pay Amount]),0)</f>
        <v>0</v>
      </c>
      <c r="T87" s="8"/>
      <c r="U87" s="5" t="str">
        <f t="shared" si="5"/>
        <v>N</v>
      </c>
      <c r="X87" s="56"/>
      <c r="Y87" s="56"/>
      <c r="Z87" s="56"/>
      <c r="AA87" s="56"/>
      <c r="AC87" s="56"/>
    </row>
    <row r="88" spans="1:29" x14ac:dyDescent="0.25">
      <c r="A88" s="35"/>
      <c r="B88" s="32" t="e">
        <f>VLOOKUP(A88,Relay!$A$1:$B$50,2,FALSE)</f>
        <v>#N/A</v>
      </c>
      <c r="C88" s="32" t="e">
        <f>VLOOKUP(A88,Relay!$A$2:$C$101,3,FALSE)</f>
        <v>#N/A</v>
      </c>
      <c r="D88" s="39"/>
      <c r="E88" s="35"/>
      <c r="F88" s="58" t="str">
        <f t="shared" si="3"/>
        <v>INS</v>
      </c>
      <c r="G88" s="32" t="e">
        <f>IF(OR(E88="Jeopardy",E88="APP Moonlighting",E88="Differential Pay"),"",Oct[[#This Row],[SysID]])</f>
        <v>#N/A</v>
      </c>
      <c r="H88" s="32" t="e">
        <f>IF(E88="Jeopardy",IF(C88="MD",Relay!$E$7,Relay!$E$8),IF(C88="MD",IF(COUNTIF(G:G,B88)&gt;1,Relay!$E$2,Relay!$E$1),IF(AND(COUNTIF(G:G,B88)&gt;1,COUNTA(A88)&gt;0),Relay!$E$5,Relay!$E$4)))</f>
        <v>#N/A</v>
      </c>
      <c r="I88" s="8">
        <f t="shared" si="4"/>
        <v>0</v>
      </c>
      <c r="J88" s="35"/>
      <c r="K88" s="35"/>
      <c r="L88" s="35"/>
      <c r="M88" s="35"/>
      <c r="N88" s="32" t="e">
        <f>IF(H88=Oct!$E$2,"N",IF(AND(COUNTIF(B:B,B88)=1,D88&gt;14),"Y","N"))</f>
        <v>#N/A</v>
      </c>
      <c r="O88" s="55" t="str">
        <f>IF(COUNT(Oct[[#This Row],[Date]])&gt;0,IF(Oct[[#This Row],[Date]]&gt;14,"Yes","No"),"N/A")</f>
        <v>N/A</v>
      </c>
      <c r="P88" s="55"/>
      <c r="Q88" s="5">
        <f>Relay!A87</f>
        <v>0</v>
      </c>
      <c r="R88" s="5">
        <f>Relay!B87</f>
        <v>86</v>
      </c>
      <c r="S88" s="8">
        <f>IF(Oct[After the 14th?]="No",SUMIF(Oct[SysID],R88,Oct[Pay Amount]),0)+IF(Sept[After the 14th?]="Yes",SUMIF(Sept[SysID],R88,Sept[Pay Amount]),0)</f>
        <v>0</v>
      </c>
      <c r="T88" s="8"/>
      <c r="U88" s="5" t="str">
        <f t="shared" si="5"/>
        <v>N</v>
      </c>
      <c r="X88" s="56"/>
      <c r="Y88" s="56"/>
      <c r="Z88" s="56"/>
      <c r="AA88" s="56"/>
      <c r="AC88" s="56"/>
    </row>
    <row r="89" spans="1:29" x14ac:dyDescent="0.25">
      <c r="A89" s="35"/>
      <c r="B89" s="32" t="e">
        <f>VLOOKUP(A89,Relay!$A$1:$B$50,2,FALSE)</f>
        <v>#N/A</v>
      </c>
      <c r="C89" s="32" t="e">
        <f>VLOOKUP(A89,Relay!$A$2:$C$101,3,FALSE)</f>
        <v>#N/A</v>
      </c>
      <c r="D89" s="39"/>
      <c r="E89" s="35"/>
      <c r="F89" s="58" t="str">
        <f t="shared" si="3"/>
        <v>INS</v>
      </c>
      <c r="G89" s="32" t="e">
        <f>IF(OR(E89="Jeopardy",E89="APP Moonlighting",E89="Differential Pay"),"",Oct[[#This Row],[SysID]])</f>
        <v>#N/A</v>
      </c>
      <c r="H89" s="32" t="e">
        <f>IF(E89="Jeopardy",IF(C89="MD",Relay!$E$7,Relay!$E$8),IF(C89="MD",IF(COUNTIF(G:G,B89)&gt;1,Relay!$E$2,Relay!$E$1),IF(AND(COUNTIF(G:G,B89)&gt;1,COUNTA(A89)&gt;0),Relay!$E$5,Relay!$E$4)))</f>
        <v>#N/A</v>
      </c>
      <c r="I89" s="8">
        <f t="shared" si="4"/>
        <v>0</v>
      </c>
      <c r="J89" s="35"/>
      <c r="K89" s="35"/>
      <c r="L89" s="35"/>
      <c r="M89" s="35"/>
      <c r="N89" s="32" t="e">
        <f>IF(H89=Oct!$E$2,"N",IF(AND(COUNTIF(B:B,B89)=1,D89&gt;14),"Y","N"))</f>
        <v>#N/A</v>
      </c>
      <c r="O89" s="55" t="str">
        <f>IF(COUNT(Oct[[#This Row],[Date]])&gt;0,IF(Oct[[#This Row],[Date]]&gt;14,"Yes","No"),"N/A")</f>
        <v>N/A</v>
      </c>
      <c r="P89" s="55"/>
      <c r="Q89" s="5">
        <f>Relay!A88</f>
        <v>0</v>
      </c>
      <c r="R89" s="5">
        <f>Relay!B88</f>
        <v>87</v>
      </c>
      <c r="S89" s="8">
        <f>IF(Oct[After the 14th?]="No",SUMIF(Oct[SysID],R89,Oct[Pay Amount]),0)+IF(Sept[After the 14th?]="Yes",SUMIF(Sept[SysID],R89,Sept[Pay Amount]),0)</f>
        <v>0</v>
      </c>
      <c r="T89" s="8"/>
      <c r="U89" s="5" t="str">
        <f t="shared" si="5"/>
        <v>N</v>
      </c>
      <c r="X89" s="56"/>
      <c r="Y89" s="56"/>
      <c r="Z89" s="56"/>
      <c r="AA89" s="56"/>
      <c r="AC89" s="56"/>
    </row>
    <row r="90" spans="1:29" x14ac:dyDescent="0.25">
      <c r="A90" s="35"/>
      <c r="B90" s="32" t="e">
        <f>VLOOKUP(A90,Relay!$A$1:$B$50,2,FALSE)</f>
        <v>#N/A</v>
      </c>
      <c r="C90" s="32" t="e">
        <f>VLOOKUP(A90,Relay!$A$2:$C$101,3,FALSE)</f>
        <v>#N/A</v>
      </c>
      <c r="D90" s="39"/>
      <c r="E90" s="35"/>
      <c r="F90" s="58" t="str">
        <f t="shared" si="3"/>
        <v>INS</v>
      </c>
      <c r="G90" s="32" t="e">
        <f>IF(OR(E90="Jeopardy",E90="APP Moonlighting",E90="Differential Pay"),"",Oct[[#This Row],[SysID]])</f>
        <v>#N/A</v>
      </c>
      <c r="H90" s="32" t="e">
        <f>IF(E90="Jeopardy",IF(C90="MD",Relay!$E$7,Relay!$E$8),IF(C90="MD",IF(COUNTIF(G:G,B90)&gt;1,Relay!$E$2,Relay!$E$1),IF(AND(COUNTIF(G:G,B90)&gt;1,COUNTA(A90)&gt;0),Relay!$E$5,Relay!$E$4)))</f>
        <v>#N/A</v>
      </c>
      <c r="I90" s="8">
        <f t="shared" si="4"/>
        <v>0</v>
      </c>
      <c r="J90" s="35"/>
      <c r="K90" s="35"/>
      <c r="L90" s="35"/>
      <c r="M90" s="35"/>
      <c r="N90" s="32" t="e">
        <f>IF(H90=Oct!$E$2,"N",IF(AND(COUNTIF(B:B,B90)=1,D90&gt;14),"Y","N"))</f>
        <v>#N/A</v>
      </c>
      <c r="O90" s="55" t="str">
        <f>IF(COUNT(Oct[[#This Row],[Date]])&gt;0,IF(Oct[[#This Row],[Date]]&gt;14,"Yes","No"),"N/A")</f>
        <v>N/A</v>
      </c>
      <c r="P90" s="55"/>
      <c r="Q90" s="5">
        <f>Relay!A89</f>
        <v>0</v>
      </c>
      <c r="R90" s="5">
        <f>Relay!B89</f>
        <v>88</v>
      </c>
      <c r="S90" s="8">
        <f>IF(Oct[After the 14th?]="No",SUMIF(Oct[SysID],R90,Oct[Pay Amount]),0)+IF(Sept[After the 14th?]="Yes",SUMIF(Sept[SysID],R90,Sept[Pay Amount]),0)</f>
        <v>0</v>
      </c>
      <c r="T90" s="8"/>
      <c r="U90" s="5" t="str">
        <f t="shared" si="5"/>
        <v>N</v>
      </c>
      <c r="X90" s="56"/>
      <c r="Y90" s="56"/>
      <c r="Z90" s="56"/>
      <c r="AA90" s="56"/>
      <c r="AC90" s="56"/>
    </row>
    <row r="91" spans="1:29" x14ac:dyDescent="0.25">
      <c r="A91" s="35"/>
      <c r="B91" s="32" t="e">
        <f>VLOOKUP(A91,Relay!$A$1:$B$50,2,FALSE)</f>
        <v>#N/A</v>
      </c>
      <c r="C91" s="32" t="e">
        <f>VLOOKUP(A91,Relay!$A$2:$C$101,3,FALSE)</f>
        <v>#N/A</v>
      </c>
      <c r="D91" s="39"/>
      <c r="E91" s="35"/>
      <c r="F91" s="58" t="str">
        <f t="shared" si="3"/>
        <v>INS</v>
      </c>
      <c r="G91" s="32" t="e">
        <f>IF(OR(E91="Jeopardy",E91="APP Moonlighting",E91="Differential Pay"),"",Oct[[#This Row],[SysID]])</f>
        <v>#N/A</v>
      </c>
      <c r="H91" s="32" t="e">
        <f>IF(E91="Jeopardy",IF(C91="MD",Relay!$E$7,Relay!$E$8),IF(C91="MD",IF(COUNTIF(G:G,B91)&gt;1,Relay!$E$2,Relay!$E$1),IF(AND(COUNTIF(G:G,B91)&gt;1,COUNTA(A91)&gt;0),Relay!$E$5,Relay!$E$4)))</f>
        <v>#N/A</v>
      </c>
      <c r="I91" s="8">
        <f t="shared" si="4"/>
        <v>0</v>
      </c>
      <c r="J91" s="35"/>
      <c r="K91" s="35"/>
      <c r="L91" s="35"/>
      <c r="M91" s="35"/>
      <c r="N91" s="32" t="e">
        <f>IF(H91=Oct!$E$2,"N",IF(AND(COUNTIF(B:B,B91)=1,D91&gt;14),"Y","N"))</f>
        <v>#N/A</v>
      </c>
      <c r="O91" s="55" t="str">
        <f>IF(COUNT(Oct[[#This Row],[Date]])&gt;0,IF(Oct[[#This Row],[Date]]&gt;14,"Yes","No"),"N/A")</f>
        <v>N/A</v>
      </c>
      <c r="P91" s="55"/>
      <c r="Q91" s="5">
        <f>Relay!A90</f>
        <v>0</v>
      </c>
      <c r="R91" s="5">
        <f>Relay!B90</f>
        <v>89</v>
      </c>
      <c r="S91" s="8">
        <f>IF(Oct[After the 14th?]="No",SUMIF(Oct[SysID],R91,Oct[Pay Amount]),0)+IF(Sept[After the 14th?]="Yes",SUMIF(Sept[SysID],R91,Sept[Pay Amount]),0)</f>
        <v>0</v>
      </c>
      <c r="T91" s="8"/>
      <c r="U91" s="5" t="str">
        <f t="shared" si="5"/>
        <v>N</v>
      </c>
      <c r="X91" s="56"/>
      <c r="Y91" s="56"/>
      <c r="Z91" s="56"/>
      <c r="AA91" s="56"/>
      <c r="AC91" s="56"/>
    </row>
    <row r="92" spans="1:29" x14ac:dyDescent="0.25">
      <c r="A92" s="35"/>
      <c r="B92" s="32" t="e">
        <f>VLOOKUP(A92,Relay!$A$1:$B$50,2,FALSE)</f>
        <v>#N/A</v>
      </c>
      <c r="C92" s="32" t="e">
        <f>VLOOKUP(A92,Relay!$A$2:$C$101,3,FALSE)</f>
        <v>#N/A</v>
      </c>
      <c r="D92" s="39"/>
      <c r="E92" s="35"/>
      <c r="F92" s="58" t="str">
        <f t="shared" si="3"/>
        <v>INS</v>
      </c>
      <c r="G92" s="32" t="e">
        <f>IF(OR(E92="Jeopardy",E92="APP Moonlighting",E92="Differential Pay"),"",Oct[[#This Row],[SysID]])</f>
        <v>#N/A</v>
      </c>
      <c r="H92" s="32" t="e">
        <f>IF(E92="Jeopardy",IF(C92="MD",Relay!$E$7,Relay!$E$8),IF(C92="MD",IF(COUNTIF(G:G,B92)&gt;1,Relay!$E$2,Relay!$E$1),IF(AND(COUNTIF(G:G,B92)&gt;1,COUNTA(A92)&gt;0),Relay!$E$5,Relay!$E$4)))</f>
        <v>#N/A</v>
      </c>
      <c r="I92" s="8">
        <f t="shared" si="4"/>
        <v>0</v>
      </c>
      <c r="J92" s="35"/>
      <c r="K92" s="35"/>
      <c r="L92" s="35"/>
      <c r="M92" s="35"/>
      <c r="N92" s="32" t="e">
        <f>IF(H92=Oct!$E$2,"N",IF(AND(COUNTIF(B:B,B92)=1,D92&gt;14),"Y","N"))</f>
        <v>#N/A</v>
      </c>
      <c r="O92" s="55" t="str">
        <f>IF(COUNT(Oct[[#This Row],[Date]])&gt;0,IF(Oct[[#This Row],[Date]]&gt;14,"Yes","No"),"N/A")</f>
        <v>N/A</v>
      </c>
      <c r="P92" s="55"/>
      <c r="Q92" s="5">
        <f>Relay!A91</f>
        <v>0</v>
      </c>
      <c r="R92" s="5">
        <f>Relay!B91</f>
        <v>90</v>
      </c>
      <c r="S92" s="8">
        <f>IF(Oct[After the 14th?]="No",SUMIF(Oct[SysID],R92,Oct[Pay Amount]),0)+IF(Sept[After the 14th?]="Yes",SUMIF(Sept[SysID],R92,Sept[Pay Amount]),0)</f>
        <v>0</v>
      </c>
      <c r="T92" s="8"/>
      <c r="U92" s="5" t="str">
        <f t="shared" si="5"/>
        <v>N</v>
      </c>
      <c r="X92" s="56"/>
      <c r="Y92" s="56"/>
      <c r="Z92" s="56"/>
      <c r="AA92" s="56"/>
      <c r="AC92" s="56"/>
    </row>
    <row r="93" spans="1:29" x14ac:dyDescent="0.25">
      <c r="A93" s="35"/>
      <c r="B93" s="32" t="e">
        <f>VLOOKUP(A93,Relay!$A$1:$B$50,2,FALSE)</f>
        <v>#N/A</v>
      </c>
      <c r="C93" s="32" t="e">
        <f>VLOOKUP(A93,Relay!$A$2:$C$101,3,FALSE)</f>
        <v>#N/A</v>
      </c>
      <c r="D93" s="39"/>
      <c r="E93" s="35"/>
      <c r="F93" s="58" t="str">
        <f t="shared" si="3"/>
        <v>INS</v>
      </c>
      <c r="G93" s="32" t="e">
        <f>IF(OR(E93="Jeopardy",E93="APP Moonlighting",E93="Differential Pay"),"",Oct[[#This Row],[SysID]])</f>
        <v>#N/A</v>
      </c>
      <c r="H93" s="32" t="e">
        <f>IF(E93="Jeopardy",IF(C93="MD",Relay!$E$7,Relay!$E$8),IF(C93="MD",IF(COUNTIF(G:G,B93)&gt;1,Relay!$E$2,Relay!$E$1),IF(AND(COUNTIF(G:G,B93)&gt;1,COUNTA(A93)&gt;0),Relay!$E$5,Relay!$E$4)))</f>
        <v>#N/A</v>
      </c>
      <c r="I93" s="8">
        <f t="shared" si="4"/>
        <v>0</v>
      </c>
      <c r="J93" s="35"/>
      <c r="K93" s="35"/>
      <c r="L93" s="35"/>
      <c r="M93" s="35"/>
      <c r="N93" s="32" t="e">
        <f>IF(H93=Oct!$E$2,"N",IF(AND(COUNTIF(B:B,B93)=1,D93&gt;14),"Y","N"))</f>
        <v>#N/A</v>
      </c>
      <c r="O93" s="55" t="str">
        <f>IF(COUNT(Oct[[#This Row],[Date]])&gt;0,IF(Oct[[#This Row],[Date]]&gt;14,"Yes","No"),"N/A")</f>
        <v>N/A</v>
      </c>
      <c r="P93" s="55"/>
      <c r="Q93" s="5">
        <f>Relay!A92</f>
        <v>0</v>
      </c>
      <c r="R93" s="5">
        <f>Relay!B92</f>
        <v>91</v>
      </c>
      <c r="S93" s="8">
        <f>IF(Oct[After the 14th?]="No",SUMIF(Oct[SysID],R93,Oct[Pay Amount]),0)+IF(Sept[After the 14th?]="Yes",SUMIF(Sept[SysID],R93,Sept[Pay Amount]),0)</f>
        <v>0</v>
      </c>
      <c r="T93" s="8"/>
      <c r="U93" s="5" t="str">
        <f t="shared" si="5"/>
        <v>N</v>
      </c>
      <c r="X93" s="56"/>
      <c r="Y93" s="56"/>
      <c r="Z93" s="56"/>
      <c r="AA93" s="56"/>
      <c r="AC93" s="56"/>
    </row>
    <row r="94" spans="1:29" x14ac:dyDescent="0.25">
      <c r="A94" s="35"/>
      <c r="B94" s="32" t="e">
        <f>VLOOKUP(A94,Relay!$A$1:$B$50,2,FALSE)</f>
        <v>#N/A</v>
      </c>
      <c r="C94" s="32" t="e">
        <f>VLOOKUP(A94,Relay!$A$2:$C$101,3,FALSE)</f>
        <v>#N/A</v>
      </c>
      <c r="D94" s="39"/>
      <c r="E94" s="35"/>
      <c r="F94" s="58" t="str">
        <f t="shared" si="3"/>
        <v>INS</v>
      </c>
      <c r="G94" s="32" t="e">
        <f>IF(OR(E94="Jeopardy",E94="APP Moonlighting",E94="Differential Pay"),"",Oct[[#This Row],[SysID]])</f>
        <v>#N/A</v>
      </c>
      <c r="H94" s="32" t="e">
        <f>IF(E94="Jeopardy",IF(C94="MD",Relay!$E$7,Relay!$E$8),IF(C94="MD",IF(COUNTIF(G:G,B94)&gt;1,Relay!$E$2,Relay!$E$1),IF(AND(COUNTIF(G:G,B94)&gt;1,COUNTA(A94)&gt;0),Relay!$E$5,Relay!$E$4)))</f>
        <v>#N/A</v>
      </c>
      <c r="I94" s="8">
        <f t="shared" si="4"/>
        <v>0</v>
      </c>
      <c r="J94" s="35"/>
      <c r="K94" s="35"/>
      <c r="L94" s="35"/>
      <c r="M94" s="35"/>
      <c r="N94" s="32" t="e">
        <f>IF(H94=Oct!$E$2,"N",IF(AND(COUNTIF(B:B,B94)=1,D94&gt;14),"Y","N"))</f>
        <v>#N/A</v>
      </c>
      <c r="O94" s="55" t="str">
        <f>IF(COUNT(Oct[[#This Row],[Date]])&gt;0,IF(Oct[[#This Row],[Date]]&gt;14,"Yes","No"),"N/A")</f>
        <v>N/A</v>
      </c>
      <c r="P94" s="55"/>
      <c r="Q94" s="5">
        <f>Relay!A93</f>
        <v>0</v>
      </c>
      <c r="R94" s="5">
        <f>Relay!B93</f>
        <v>92</v>
      </c>
      <c r="S94" s="8">
        <f>IF(Oct[After the 14th?]="No",SUMIF(Oct[SysID],R94,Oct[Pay Amount]),0)+IF(Sept[After the 14th?]="Yes",SUMIF(Sept[SysID],R94,Sept[Pay Amount]),0)</f>
        <v>0</v>
      </c>
      <c r="T94" s="8"/>
      <c r="U94" s="5" t="str">
        <f t="shared" si="5"/>
        <v>N</v>
      </c>
      <c r="X94" s="56"/>
      <c r="Y94" s="56"/>
      <c r="Z94" s="56"/>
      <c r="AA94" s="56"/>
      <c r="AC94" s="56"/>
    </row>
    <row r="95" spans="1:29" x14ac:dyDescent="0.25">
      <c r="A95" s="35"/>
      <c r="B95" s="32" t="e">
        <f>VLOOKUP(A95,Relay!$A$1:$B$50,2,FALSE)</f>
        <v>#N/A</v>
      </c>
      <c r="C95" s="32" t="e">
        <f>VLOOKUP(A95,Relay!$A$2:$C$101,3,FALSE)</f>
        <v>#N/A</v>
      </c>
      <c r="D95" s="39"/>
      <c r="E95" s="35"/>
      <c r="F95" s="58" t="str">
        <f t="shared" si="3"/>
        <v>INS</v>
      </c>
      <c r="G95" s="32" t="e">
        <f>IF(OR(E95="Jeopardy",E95="APP Moonlighting",E95="Differential Pay"),"",Oct[[#This Row],[SysID]])</f>
        <v>#N/A</v>
      </c>
      <c r="H95" s="32" t="e">
        <f>IF(E95="Jeopardy",IF(C95="MD",Relay!$E$7,Relay!$E$8),IF(C95="MD",IF(COUNTIF(G:G,B95)&gt;1,Relay!$E$2,Relay!$E$1),IF(AND(COUNTIF(G:G,B95)&gt;1,COUNTA(A95)&gt;0),Relay!$E$5,Relay!$E$4)))</f>
        <v>#N/A</v>
      </c>
      <c r="I95" s="8">
        <f t="shared" si="4"/>
        <v>0</v>
      </c>
      <c r="J95" s="35"/>
      <c r="K95" s="35"/>
      <c r="L95" s="35"/>
      <c r="M95" s="35"/>
      <c r="N95" s="32" t="e">
        <f>IF(H95=Oct!$E$2,"N",IF(AND(COUNTIF(B:B,B95)=1,D95&gt;14),"Y","N"))</f>
        <v>#N/A</v>
      </c>
      <c r="O95" s="55" t="str">
        <f>IF(COUNT(Oct[[#This Row],[Date]])&gt;0,IF(Oct[[#This Row],[Date]]&gt;14,"Yes","No"),"N/A")</f>
        <v>N/A</v>
      </c>
      <c r="P95" s="55"/>
      <c r="Q95" s="5">
        <f>Relay!A94</f>
        <v>0</v>
      </c>
      <c r="R95" s="5">
        <f>Relay!B94</f>
        <v>93</v>
      </c>
      <c r="S95" s="8">
        <f>IF(Oct[After the 14th?]="No",SUMIF(Oct[SysID],R95,Oct[Pay Amount]),0)+IF(Sept[After the 14th?]="Yes",SUMIF(Sept[SysID],R95,Sept[Pay Amount]),0)</f>
        <v>0</v>
      </c>
      <c r="T95" s="8"/>
      <c r="U95" s="5" t="str">
        <f t="shared" si="5"/>
        <v>N</v>
      </c>
      <c r="X95" s="56"/>
      <c r="Y95" s="56"/>
      <c r="Z95" s="56"/>
      <c r="AA95" s="56"/>
      <c r="AC95" s="56"/>
    </row>
    <row r="96" spans="1:29" x14ac:dyDescent="0.25">
      <c r="A96" s="35"/>
      <c r="B96" s="32" t="e">
        <f>VLOOKUP(A96,Relay!$A$1:$B$50,2,FALSE)</f>
        <v>#N/A</v>
      </c>
      <c r="C96" s="32" t="e">
        <f>VLOOKUP(A96,Relay!$A$2:$C$101,3,FALSE)</f>
        <v>#N/A</v>
      </c>
      <c r="D96" s="39"/>
      <c r="E96" s="35"/>
      <c r="F96" s="58" t="str">
        <f t="shared" si="3"/>
        <v>INS</v>
      </c>
      <c r="G96" s="32" t="e">
        <f>IF(OR(E96="Jeopardy",E96="APP Moonlighting",E96="Differential Pay"),"",Oct[[#This Row],[SysID]])</f>
        <v>#N/A</v>
      </c>
      <c r="H96" s="32" t="e">
        <f>IF(E96="Jeopardy",IF(C96="MD",Relay!$E$7,Relay!$E$8),IF(C96="MD",IF(COUNTIF(G:G,B96)&gt;1,Relay!$E$2,Relay!$E$1),IF(AND(COUNTIF(G:G,B96)&gt;1,COUNTA(A96)&gt;0),Relay!$E$5,Relay!$E$4)))</f>
        <v>#N/A</v>
      </c>
      <c r="I96" s="8">
        <f t="shared" si="4"/>
        <v>0</v>
      </c>
      <c r="J96" s="35"/>
      <c r="K96" s="35"/>
      <c r="L96" s="35"/>
      <c r="M96" s="35"/>
      <c r="N96" s="32" t="e">
        <f>IF(H96=Oct!$E$2,"N",IF(AND(COUNTIF(B:B,B96)=1,D96&gt;14),"Y","N"))</f>
        <v>#N/A</v>
      </c>
      <c r="O96" s="55" t="str">
        <f>IF(COUNT(Oct[[#This Row],[Date]])&gt;0,IF(Oct[[#This Row],[Date]]&gt;14,"Yes","No"),"N/A")</f>
        <v>N/A</v>
      </c>
      <c r="P96" s="55"/>
      <c r="Q96" s="5">
        <f>Relay!A95</f>
        <v>0</v>
      </c>
      <c r="R96" s="5">
        <f>Relay!B95</f>
        <v>94</v>
      </c>
      <c r="S96" s="8">
        <f>IF(Oct[After the 14th?]="No",SUMIF(Oct[SysID],R96,Oct[Pay Amount]),0)+IF(Sept[After the 14th?]="Yes",SUMIF(Sept[SysID],R96,Sept[Pay Amount]),0)</f>
        <v>0</v>
      </c>
      <c r="T96" s="8"/>
      <c r="U96" s="5" t="str">
        <f t="shared" si="5"/>
        <v>N</v>
      </c>
      <c r="X96" s="56"/>
      <c r="Y96" s="56"/>
      <c r="Z96" s="56"/>
      <c r="AA96" s="56"/>
      <c r="AC96" s="56"/>
    </row>
    <row r="97" spans="1:29" x14ac:dyDescent="0.25">
      <c r="A97" s="35"/>
      <c r="B97" s="32" t="e">
        <f>VLOOKUP(A97,Relay!$A$1:$B$50,2,FALSE)</f>
        <v>#N/A</v>
      </c>
      <c r="C97" s="32" t="e">
        <f>VLOOKUP(A97,Relay!$A$2:$C$101,3,FALSE)</f>
        <v>#N/A</v>
      </c>
      <c r="D97" s="39"/>
      <c r="E97" s="35"/>
      <c r="F97" s="58" t="str">
        <f t="shared" si="3"/>
        <v>INS</v>
      </c>
      <c r="G97" s="32" t="e">
        <f>IF(OR(E97="Jeopardy",E97="APP Moonlighting",E97="Differential Pay"),"",Oct[[#This Row],[SysID]])</f>
        <v>#N/A</v>
      </c>
      <c r="H97" s="32" t="e">
        <f>IF(E97="Jeopardy",IF(C97="MD",Relay!$E$7,Relay!$E$8),IF(C97="MD",IF(COUNTIF(G:G,B97)&gt;1,Relay!$E$2,Relay!$E$1),IF(AND(COUNTIF(G:G,B97)&gt;1,COUNTA(A97)&gt;0),Relay!$E$5,Relay!$E$4)))</f>
        <v>#N/A</v>
      </c>
      <c r="I97" s="8">
        <f t="shared" si="4"/>
        <v>0</v>
      </c>
      <c r="J97" s="35"/>
      <c r="K97" s="35"/>
      <c r="L97" s="35"/>
      <c r="M97" s="35"/>
      <c r="N97" s="32" t="e">
        <f>IF(H97=Oct!$E$2,"N",IF(AND(COUNTIF(B:B,B97)=1,D97&gt;14),"Y","N"))</f>
        <v>#N/A</v>
      </c>
      <c r="O97" s="55" t="str">
        <f>IF(COUNT(Oct[[#This Row],[Date]])&gt;0,IF(Oct[[#This Row],[Date]]&gt;14,"Yes","No"),"N/A")</f>
        <v>N/A</v>
      </c>
      <c r="P97" s="55"/>
      <c r="Q97" s="5">
        <f>Relay!A96</f>
        <v>0</v>
      </c>
      <c r="R97" s="5">
        <f>Relay!B96</f>
        <v>95</v>
      </c>
      <c r="S97" s="8">
        <f>IF(Oct[After the 14th?]="No",SUMIF(Oct[SysID],R97,Oct[Pay Amount]),0)+IF(Sept[After the 14th?]="Yes",SUMIF(Sept[SysID],R97,Sept[Pay Amount]),0)</f>
        <v>0</v>
      </c>
      <c r="T97" s="8"/>
      <c r="U97" s="5" t="str">
        <f t="shared" si="5"/>
        <v>N</v>
      </c>
      <c r="X97" s="56"/>
      <c r="Y97" s="56"/>
      <c r="Z97" s="56"/>
      <c r="AA97" s="56"/>
      <c r="AC97" s="56"/>
    </row>
    <row r="98" spans="1:29" x14ac:dyDescent="0.25">
      <c r="A98" s="35"/>
      <c r="B98" s="32" t="e">
        <f>VLOOKUP(A98,Relay!$A$1:$B$50,2,FALSE)</f>
        <v>#N/A</v>
      </c>
      <c r="C98" s="32" t="e">
        <f>VLOOKUP(A98,Relay!$A$2:$C$101,3,FALSE)</f>
        <v>#N/A</v>
      </c>
      <c r="D98" s="39"/>
      <c r="E98" s="35"/>
      <c r="F98" s="58" t="str">
        <f t="shared" si="3"/>
        <v>INS</v>
      </c>
      <c r="G98" s="32" t="e">
        <f>IF(OR(E98="Jeopardy",E98="APP Moonlighting",E98="Differential Pay"),"",Oct[[#This Row],[SysID]])</f>
        <v>#N/A</v>
      </c>
      <c r="H98" s="32" t="e">
        <f>IF(E98="Jeopardy",IF(C98="MD",Relay!$E$7,Relay!$E$8),IF(C98="MD",IF(COUNTIF(G:G,B98)&gt;1,Relay!$E$2,Relay!$E$1),IF(AND(COUNTIF(G:G,B98)&gt;1,COUNTA(A98)&gt;0),Relay!$E$5,Relay!$E$4)))</f>
        <v>#N/A</v>
      </c>
      <c r="I98" s="8">
        <f t="shared" si="4"/>
        <v>0</v>
      </c>
      <c r="J98" s="35"/>
      <c r="K98" s="35"/>
      <c r="L98" s="35"/>
      <c r="M98" s="35"/>
      <c r="N98" s="32" t="e">
        <f>IF(H98=Oct!$E$2,"N",IF(AND(COUNTIF(B:B,B98)=1,D98&gt;14),"Y","N"))</f>
        <v>#N/A</v>
      </c>
      <c r="O98" s="55" t="str">
        <f>IF(COUNT(Oct[[#This Row],[Date]])&gt;0,IF(Oct[[#This Row],[Date]]&gt;14,"Yes","No"),"N/A")</f>
        <v>N/A</v>
      </c>
      <c r="P98" s="55"/>
      <c r="Q98" s="5">
        <f>Relay!A97</f>
        <v>0</v>
      </c>
      <c r="R98" s="5">
        <f>Relay!B97</f>
        <v>96</v>
      </c>
      <c r="S98" s="8">
        <f>IF(Oct[After the 14th?]="No",SUMIF(Oct[SysID],R98,Oct[Pay Amount]),0)+IF(Sept[After the 14th?]="Yes",SUMIF(Sept[SysID],R98,Sept[Pay Amount]),0)</f>
        <v>0</v>
      </c>
      <c r="T98" s="8"/>
      <c r="U98" s="5" t="str">
        <f t="shared" si="5"/>
        <v>N</v>
      </c>
      <c r="X98" s="56"/>
      <c r="Y98" s="56"/>
      <c r="Z98" s="56"/>
      <c r="AA98" s="56"/>
      <c r="AC98" s="56"/>
    </row>
    <row r="99" spans="1:29" x14ac:dyDescent="0.25">
      <c r="A99" s="35"/>
      <c r="B99" s="32" t="e">
        <f>VLOOKUP(A99,Relay!$A$1:$B$50,2,FALSE)</f>
        <v>#N/A</v>
      </c>
      <c r="C99" s="32" t="e">
        <f>VLOOKUP(A99,Relay!$A$2:$C$101,3,FALSE)</f>
        <v>#N/A</v>
      </c>
      <c r="D99" s="39"/>
      <c r="E99" s="35"/>
      <c r="F99" s="58" t="str">
        <f t="shared" si="3"/>
        <v>INS</v>
      </c>
      <c r="G99" s="32" t="e">
        <f>IF(OR(E99="Jeopardy",E99="APP Moonlighting",E99="Differential Pay"),"",Oct[[#This Row],[SysID]])</f>
        <v>#N/A</v>
      </c>
      <c r="H99" s="32" t="e">
        <f>IF(E99="Jeopardy",IF(C99="MD",Relay!$E$7,Relay!$E$8),IF(C99="MD",IF(COUNTIF(G:G,B99)&gt;1,Relay!$E$2,Relay!$E$1),IF(AND(COUNTIF(G:G,B99)&gt;1,COUNTA(A99)&gt;0),Relay!$E$5,Relay!$E$4)))</f>
        <v>#N/A</v>
      </c>
      <c r="I99" s="8">
        <f t="shared" si="4"/>
        <v>0</v>
      </c>
      <c r="J99" s="35"/>
      <c r="K99" s="35"/>
      <c r="L99" s="35"/>
      <c r="M99" s="35"/>
      <c r="N99" s="32" t="e">
        <f>IF(H99=Oct!$E$2,"N",IF(AND(COUNTIF(B:B,B99)=1,D99&gt;14),"Y","N"))</f>
        <v>#N/A</v>
      </c>
      <c r="O99" s="55" t="str">
        <f>IF(COUNT(Oct[[#This Row],[Date]])&gt;0,IF(Oct[[#This Row],[Date]]&gt;14,"Yes","No"),"N/A")</f>
        <v>N/A</v>
      </c>
      <c r="P99" s="55"/>
      <c r="Q99" s="5">
        <f>Relay!A98</f>
        <v>0</v>
      </c>
      <c r="R99" s="5">
        <f>Relay!B98</f>
        <v>97</v>
      </c>
      <c r="S99" s="8">
        <f>IF(Oct[After the 14th?]="No",SUMIF(Oct[SysID],R99,Oct[Pay Amount]),0)+IF(Sept[After the 14th?]="Yes",SUMIF(Sept[SysID],R99,Sept[Pay Amount]),0)</f>
        <v>0</v>
      </c>
      <c r="T99" s="8"/>
      <c r="U99" s="5" t="str">
        <f t="shared" si="5"/>
        <v>N</v>
      </c>
      <c r="X99" s="56"/>
      <c r="Y99" s="56"/>
      <c r="Z99" s="56"/>
      <c r="AA99" s="56"/>
      <c r="AC99" s="56"/>
    </row>
    <row r="100" spans="1:29" x14ac:dyDescent="0.25">
      <c r="A100" s="35"/>
      <c r="B100" s="32" t="e">
        <f>VLOOKUP(A100,Relay!$A$1:$B$50,2,FALSE)</f>
        <v>#N/A</v>
      </c>
      <c r="C100" s="32" t="e">
        <f>VLOOKUP(A100,Relay!$A$2:$C$101,3,FALSE)</f>
        <v>#N/A</v>
      </c>
      <c r="D100" s="39"/>
      <c r="E100" s="35"/>
      <c r="F100" s="58" t="str">
        <f t="shared" si="3"/>
        <v>INS</v>
      </c>
      <c r="G100" s="32" t="e">
        <f>IF(OR(E100="Jeopardy",E100="APP Moonlighting",E100="Differential Pay"),"",Oct[[#This Row],[SysID]])</f>
        <v>#N/A</v>
      </c>
      <c r="H100" s="32" t="e">
        <f>IF(E100="Jeopardy",IF(C100="MD",Relay!$E$7,Relay!$E$8),IF(C100="MD",IF(COUNTIF(G:G,B100)&gt;1,Relay!$E$2,Relay!$E$1),IF(AND(COUNTIF(G:G,B100)&gt;1,COUNTA(A100)&gt;0),Relay!$E$5,Relay!$E$4)))</f>
        <v>#N/A</v>
      </c>
      <c r="I100" s="8">
        <f t="shared" si="4"/>
        <v>0</v>
      </c>
      <c r="J100" s="35"/>
      <c r="K100" s="35"/>
      <c r="L100" s="35"/>
      <c r="M100" s="35"/>
      <c r="N100" s="32" t="e">
        <f>IF(H100=Oct!$E$2,"N",IF(AND(COUNTIF(B:B,B100)=1,D100&gt;14),"Y","N"))</f>
        <v>#N/A</v>
      </c>
      <c r="O100" s="55" t="str">
        <f>IF(COUNT(Oct[[#This Row],[Date]])&gt;0,IF(Oct[[#This Row],[Date]]&gt;14,"Yes","No"),"N/A")</f>
        <v>N/A</v>
      </c>
      <c r="P100" s="55"/>
      <c r="Q100" s="5">
        <f>Relay!A99</f>
        <v>0</v>
      </c>
      <c r="R100" s="5">
        <f>Relay!B99</f>
        <v>98</v>
      </c>
      <c r="S100" s="8">
        <f>IF(Oct[After the 14th?]="No",SUMIF(Oct[SysID],R100,Oct[Pay Amount]),0)+IF(Sept[After the 14th?]="Yes",SUMIF(Sept[SysID],R100,Sept[Pay Amount]),0)</f>
        <v>0</v>
      </c>
      <c r="T100" s="8"/>
      <c r="U100" s="5" t="str">
        <f t="shared" si="5"/>
        <v>N</v>
      </c>
      <c r="X100" s="56"/>
      <c r="Y100" s="56"/>
      <c r="Z100" s="56"/>
      <c r="AA100" s="56"/>
      <c r="AC100" s="56"/>
    </row>
    <row r="101" spans="1:29" x14ac:dyDescent="0.25">
      <c r="A101" s="35"/>
      <c r="B101" s="32" t="e">
        <f>VLOOKUP(A101,Relay!$A$1:$B$50,2,FALSE)</f>
        <v>#N/A</v>
      </c>
      <c r="C101" s="32" t="e">
        <f>VLOOKUP(A101,Relay!$A$2:$C$101,3,FALSE)</f>
        <v>#N/A</v>
      </c>
      <c r="D101" s="39"/>
      <c r="E101" s="35"/>
      <c r="F101" s="58" t="str">
        <f t="shared" si="3"/>
        <v>INS</v>
      </c>
      <c r="G101" s="32" t="e">
        <f>IF(OR(E101="Jeopardy",E101="APP Moonlighting",E101="Differential Pay"),"",Oct[[#This Row],[SysID]])</f>
        <v>#N/A</v>
      </c>
      <c r="H101" s="32" t="e">
        <f>IF(E101="Jeopardy",IF(C101="MD",Relay!$E$7,Relay!$E$8),IF(C101="MD",IF(COUNTIF(G:G,B101)&gt;1,Relay!$E$2,Relay!$E$1),IF(AND(COUNTIF(G:G,B101)&gt;1,COUNTA(A101)&gt;0),Relay!$E$5,Relay!$E$4)))</f>
        <v>#N/A</v>
      </c>
      <c r="I101" s="8">
        <f t="shared" si="4"/>
        <v>0</v>
      </c>
      <c r="J101" s="35"/>
      <c r="K101" s="35"/>
      <c r="L101" s="35"/>
      <c r="M101" s="35"/>
      <c r="N101" s="32" t="e">
        <f>IF(H101=Oct!$E$2,"N",IF(AND(COUNTIF(B:B,B101)=1,D101&gt;14),"Y","N"))</f>
        <v>#N/A</v>
      </c>
      <c r="O101" s="55" t="str">
        <f>IF(COUNT(Oct[[#This Row],[Date]])&gt;0,IF(Oct[[#This Row],[Date]]&gt;14,"Yes","No"),"N/A")</f>
        <v>N/A</v>
      </c>
      <c r="P101" s="55"/>
      <c r="Q101" s="5">
        <f>Relay!A100</f>
        <v>0</v>
      </c>
      <c r="R101" s="5">
        <f>Relay!B100</f>
        <v>99</v>
      </c>
      <c r="S101" s="8">
        <f>IF(Oct[After the 14th?]="No",SUMIF(Oct[SysID],R101,Oct[Pay Amount]),0)+IF(Sept[After the 14th?]="Yes",SUMIF(Sept[SysID],R101,Sept[Pay Amount]),0)</f>
        <v>0</v>
      </c>
      <c r="T101" s="8"/>
      <c r="U101" s="5" t="str">
        <f t="shared" si="5"/>
        <v>N</v>
      </c>
      <c r="X101" s="56"/>
      <c r="Y101" s="56"/>
      <c r="Z101" s="56"/>
      <c r="AA101" s="56"/>
      <c r="AC101" s="56"/>
    </row>
    <row r="102" spans="1:29" x14ac:dyDescent="0.25">
      <c r="A102" s="35"/>
      <c r="B102" s="32" t="e">
        <f>VLOOKUP(A102,Relay!$A$1:$B$50,2,FALSE)</f>
        <v>#N/A</v>
      </c>
      <c r="C102" s="32" t="e">
        <f>VLOOKUP(A102,Relay!$A$2:$C$101,3,FALSE)</f>
        <v>#N/A</v>
      </c>
      <c r="D102" s="39"/>
      <c r="E102" s="35"/>
      <c r="F102" s="58" t="str">
        <f t="shared" si="3"/>
        <v>INS</v>
      </c>
      <c r="G102" s="32" t="e">
        <f>IF(OR(E102="Jeopardy",E102="APP Moonlighting",E102="Differential Pay"),"",Oct[[#This Row],[SysID]])</f>
        <v>#N/A</v>
      </c>
      <c r="H102" s="32" t="e">
        <f>IF(E102="Jeopardy",IF(C102="MD",Relay!$E$7,Relay!$E$8),IF(C102="MD",IF(COUNTIF(G:G,B102)&gt;1,Relay!$E$2,Relay!$E$1),IF(AND(COUNTIF(G:G,B102)&gt;1,COUNTA(A102)&gt;0),Relay!$E$5,Relay!$E$4)))</f>
        <v>#N/A</v>
      </c>
      <c r="I102" s="8">
        <f t="shared" si="4"/>
        <v>0</v>
      </c>
      <c r="J102" s="35"/>
      <c r="K102" s="35"/>
      <c r="L102" s="35"/>
      <c r="M102" s="35"/>
      <c r="N102" s="32" t="e">
        <f>IF(H102=Oct!$E$2,"N",IF(AND(COUNTIF(B:B,B102)=1,D102&gt;14),"Y","N"))</f>
        <v>#N/A</v>
      </c>
      <c r="O102" s="55" t="str">
        <f>IF(COUNT(Oct[[#This Row],[Date]])&gt;0,IF(Oct[[#This Row],[Date]]&gt;14,"Yes","No"),"N/A")</f>
        <v>N/A</v>
      </c>
      <c r="P102" s="55"/>
      <c r="Q102" s="5">
        <f>Relay!A101</f>
        <v>0</v>
      </c>
      <c r="R102" s="5">
        <f>Relay!B101</f>
        <v>100</v>
      </c>
      <c r="S102" s="8">
        <f>IF(Oct[After the 14th?]="No",SUMIF(Oct[SysID],R102,Oct[Pay Amount]),0)+IF(Sept[After the 14th?]="Yes",SUMIF(Sept[SysID],R102,Sept[Pay Amount]),0)</f>
        <v>0</v>
      </c>
      <c r="T102" s="8"/>
      <c r="U102" s="5" t="str">
        <f t="shared" si="5"/>
        <v>N</v>
      </c>
      <c r="X102" s="56"/>
      <c r="Y102" s="56"/>
      <c r="Z102" s="56"/>
      <c r="AA102" s="56"/>
      <c r="AC102" s="56"/>
    </row>
    <row r="103" spans="1:29" x14ac:dyDescent="0.25">
      <c r="A103" s="35"/>
      <c r="B103" s="32" t="e">
        <f>VLOOKUP(A103,Relay!$A$1:$B$50,2,FALSE)</f>
        <v>#N/A</v>
      </c>
      <c r="C103" s="32" t="e">
        <f>VLOOKUP(A103,Relay!$A$2:$C$101,3,FALSE)</f>
        <v>#N/A</v>
      </c>
      <c r="D103" s="39"/>
      <c r="E103" s="35"/>
      <c r="F103" s="58" t="str">
        <f t="shared" si="3"/>
        <v>INS</v>
      </c>
      <c r="G103" s="32" t="e">
        <f>IF(OR(E103="Jeopardy",E103="APP Moonlighting",E103="Differential Pay"),"",Oct[[#This Row],[SysID]])</f>
        <v>#N/A</v>
      </c>
      <c r="H103" s="32" t="e">
        <f>IF(E103="Jeopardy",IF(C103="MD",Relay!$E$7,Relay!$E$8),IF(C103="MD",IF(COUNTIF(G:G,B103)&gt;1,Relay!$E$2,Relay!$E$1),IF(AND(COUNTIF(G:G,B103)&gt;1,COUNTA(A103)&gt;0),Relay!$E$5,Relay!$E$4)))</f>
        <v>#N/A</v>
      </c>
      <c r="I103" s="8">
        <f t="shared" si="4"/>
        <v>0</v>
      </c>
      <c r="J103" s="35"/>
      <c r="K103" s="35"/>
      <c r="L103" s="35"/>
      <c r="M103" s="35"/>
      <c r="N103" s="32" t="e">
        <f>IF(H103=Oct!$E$2,"N",IF(AND(COUNTIF(B:B,B103)=1,D103&gt;14),"Y","N"))</f>
        <v>#N/A</v>
      </c>
      <c r="O103" s="55" t="str">
        <f>IF(COUNT(Oct[[#This Row],[Date]])&gt;0,IF(Oct[[#This Row],[Date]]&gt;14,"Yes","No"),"N/A")</f>
        <v>N/A</v>
      </c>
      <c r="P103" s="55"/>
      <c r="Q103">
        <f>Relay!A102</f>
        <v>0</v>
      </c>
      <c r="R103">
        <f>Relay!B102</f>
        <v>0</v>
      </c>
      <c r="S103" s="9">
        <f>IF(Oct[After the 14th?]="No",SUMIF(Oct[SysID],R103,Oct[Pay Amount]),0)+IF(Sept[After the 14th?]="Yes",SUMIF(Sept[SysID],R103,Sept[Pay Amount]),0)</f>
        <v>0</v>
      </c>
      <c r="U103" s="5" t="str">
        <f t="shared" si="5"/>
        <v>N</v>
      </c>
      <c r="X103" s="56"/>
      <c r="Y103" s="56"/>
      <c r="Z103" s="56"/>
      <c r="AA103" s="56"/>
      <c r="AC103" s="56"/>
    </row>
  </sheetData>
  <conditionalFormatting sqref="N1:N1048576">
    <cfRule type="containsText" dxfId="359" priority="6" operator="containsText" text="Y">
      <formula>NOT(ISERROR(SEARCH("Y",N1)))</formula>
    </cfRule>
  </conditionalFormatting>
  <conditionalFormatting sqref="F1:G1048576">
    <cfRule type="containsText" dxfId="358" priority="5" operator="containsText" text="INS">
      <formula>NOT(ISERROR(SEARCH("INS",F1)))</formula>
    </cfRule>
  </conditionalFormatting>
  <conditionalFormatting sqref="O1:O1048576">
    <cfRule type="containsText" dxfId="357" priority="2" operator="containsText" text="yes">
      <formula>NOT(ISERROR(SEARCH("yes",O1)))</formula>
    </cfRule>
    <cfRule type="containsText" dxfId="356" priority="3" operator="containsText" text="no">
      <formula>NOT(ISERROR(SEARCH("no",O1)))</formula>
    </cfRule>
    <cfRule type="containsText" dxfId="355" priority="4" operator="containsText" text="/">
      <formula>NOT(ISERROR(SEARCH("/",O1)))</formula>
    </cfRule>
  </conditionalFormatting>
  <conditionalFormatting sqref="U1:U1048576">
    <cfRule type="containsText" dxfId="354" priority="1" operator="containsText" text="Y">
      <formula>NOT(ISERROR(SEARCH("Y",U1)))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Relay!$D$11:$D$16</xm:f>
          </x14:formula1>
          <xm:sqref>E3:E103</xm:sqref>
        </x14:dataValidation>
        <x14:dataValidation type="list" allowBlank="1" showInputMessage="1" showErrorMessage="1">
          <x14:formula1>
            <xm:f>Relay!$A$2:$A$101</xm:f>
          </x14:formula1>
          <xm:sqref>A3:A103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103"/>
  <sheetViews>
    <sheetView workbookViewId="0">
      <selection activeCell="B1" sqref="B1:B1048576"/>
    </sheetView>
  </sheetViews>
  <sheetFormatPr defaultRowHeight="15" x14ac:dyDescent="0.25"/>
  <cols>
    <col min="1" max="1" width="21.7109375" style="36" customWidth="1"/>
    <col min="2" max="2" width="9.140625" hidden="1" customWidth="1"/>
    <col min="3" max="3" width="12.85546875" bestFit="1" customWidth="1"/>
    <col min="4" max="4" width="10.7109375" style="40" bestFit="1" customWidth="1"/>
    <col min="5" max="5" width="12.85546875" style="36" bestFit="1" customWidth="1"/>
    <col min="6" max="6" width="12.85546875" style="36" customWidth="1"/>
    <col min="7" max="7" width="12.85546875" customWidth="1"/>
    <col min="8" max="8" width="10.7109375" customWidth="1"/>
    <col min="9" max="9" width="15.5703125" style="9" bestFit="1" customWidth="1"/>
    <col min="10" max="10" width="9.140625" style="36" customWidth="1"/>
    <col min="11" max="11" width="13.140625" style="36" bestFit="1" customWidth="1"/>
    <col min="12" max="12" width="15.5703125" style="36" bestFit="1" customWidth="1"/>
    <col min="13" max="13" width="14.140625" style="36" bestFit="1" customWidth="1"/>
    <col min="14" max="14" width="19.5703125" hidden="1" customWidth="1"/>
    <col min="15" max="16" width="17" customWidth="1"/>
    <col min="17" max="17" width="16.42578125" customWidth="1"/>
    <col min="19" max="19" width="15" style="9" bestFit="1" customWidth="1"/>
    <col min="20" max="20" width="16.28515625" style="9" bestFit="1" customWidth="1"/>
    <col min="21" max="21" width="9.140625" style="5"/>
    <col min="22" max="22" width="14.28515625" bestFit="1" customWidth="1"/>
    <col min="23" max="23" width="21.7109375" customWidth="1"/>
    <col min="27" max="27" width="12.85546875" bestFit="1" customWidth="1"/>
    <col min="28" max="28" width="9" style="9" bestFit="1" customWidth="1"/>
    <col min="29" max="29" width="8.42578125" bestFit="1" customWidth="1"/>
    <col min="30" max="30" width="10.42578125" style="9" bestFit="1" customWidth="1"/>
  </cols>
  <sheetData>
    <row r="1" spans="1:30" s="3" customFormat="1" x14ac:dyDescent="0.25">
      <c r="A1" s="33" t="s">
        <v>53</v>
      </c>
      <c r="D1" s="37"/>
      <c r="E1" s="41"/>
      <c r="F1" s="41"/>
      <c r="I1" s="6"/>
      <c r="J1" s="41"/>
      <c r="K1" s="41"/>
      <c r="L1" s="41"/>
      <c r="M1" s="41"/>
      <c r="Q1" s="2" t="s">
        <v>14</v>
      </c>
      <c r="S1" s="6"/>
      <c r="T1" s="6"/>
      <c r="U1" s="71"/>
      <c r="V1" s="2"/>
      <c r="AB1" s="6"/>
      <c r="AD1" s="6"/>
    </row>
    <row r="2" spans="1:30" x14ac:dyDescent="0.25">
      <c r="A2" s="34" t="s">
        <v>3</v>
      </c>
      <c r="B2" s="4" t="s">
        <v>2</v>
      </c>
      <c r="C2" s="4" t="s">
        <v>4</v>
      </c>
      <c r="D2" s="38" t="s">
        <v>1</v>
      </c>
      <c r="E2" s="34" t="s">
        <v>5</v>
      </c>
      <c r="F2" s="34" t="s">
        <v>6</v>
      </c>
      <c r="G2" s="4" t="s">
        <v>35</v>
      </c>
      <c r="H2" s="4" t="s">
        <v>7</v>
      </c>
      <c r="I2" s="7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11" t="s">
        <v>13</v>
      </c>
      <c r="O2" s="4" t="s">
        <v>70</v>
      </c>
      <c r="P2" s="4"/>
      <c r="Q2" s="5" t="s">
        <v>69</v>
      </c>
      <c r="R2" s="5" t="s">
        <v>2</v>
      </c>
      <c r="S2" s="8" t="s">
        <v>71</v>
      </c>
      <c r="T2" s="8" t="s">
        <v>16</v>
      </c>
      <c r="U2" s="5" t="s">
        <v>13</v>
      </c>
    </row>
    <row r="3" spans="1:30" x14ac:dyDescent="0.25">
      <c r="A3" s="35"/>
      <c r="B3" s="5" t="e">
        <f>VLOOKUP(A3,Relay!$A$1:$B$50,2,FALSE)</f>
        <v>#N/A</v>
      </c>
      <c r="C3" s="5" t="e">
        <f>VLOOKUP(A3,Relay!$A$2:$C$51,3,FALSE)</f>
        <v>#N/A</v>
      </c>
      <c r="D3" s="39"/>
      <c r="E3" s="35"/>
      <c r="F3" s="35" t="str">
        <f t="shared" ref="F3:F66" si="0">IF(E3="Moonlighting", 12, "INS")</f>
        <v>INS</v>
      </c>
      <c r="G3" s="5" t="e">
        <f>IF(OR(E3="Jeopardy",E3="APP Moonlighting",E3="Differential Pay"),"",Nov[[#This Row],[SysID]])</f>
        <v>#N/A</v>
      </c>
      <c r="H3" s="5" t="e">
        <f>IF(E3="Jeopardy",IF(C3="MD",Relay!$E$7,Relay!$E$8),IF(C3="MD",IF(COUNTIF(G:G,B3)&gt;1,Relay!$E$2,Relay!$E$1),IF(AND(COUNTIF(G:G,B3)&gt;1,COUNTA(A3)&gt;0),Relay!$E$5,Relay!$E$4)))</f>
        <v>#N/A</v>
      </c>
      <c r="I3" s="8">
        <f t="shared" ref="I3:I66" si="1">IF(COUNTA(A3)&gt;0,H3*F3,0)</f>
        <v>0</v>
      </c>
      <c r="J3" s="35"/>
      <c r="K3" s="35"/>
      <c r="L3" s="35"/>
      <c r="M3" s="35"/>
      <c r="N3" s="10" t="e">
        <f>IF(H3=Nov!$E$2,"N",IF(AND(COUNTIF(B:B,B3)=1,D3&gt;14),"Y","N"))</f>
        <v>#N/A</v>
      </c>
      <c r="O3" s="55" t="str">
        <f>IF(COUNT(Nov[[#This Row],[Date]])&gt;0,IF(Nov[[#This Row],[Date]]&gt;14,"Yes","No"),"N/A")</f>
        <v>N/A</v>
      </c>
      <c r="P3" s="55"/>
      <c r="Q3" s="5">
        <f>Relay!A2</f>
        <v>0</v>
      </c>
      <c r="R3" s="5">
        <f>Relay!B2</f>
        <v>1</v>
      </c>
      <c r="S3" s="8">
        <f>IF(Nov[After the 14th?]="No",SUMIF(Nov[SysID],R3,Nov[Pay Amount]),0)+IF(Oct[After the 14th?]="Yes",SUMIF(Oct[SysID],R3,Oct[Pay Amount]),0)</f>
        <v>0</v>
      </c>
      <c r="T3" s="8"/>
      <c r="U3" s="5" t="str">
        <f t="shared" ref="U3:U66" si="2">IF(S3=T3,"N","Y")</f>
        <v>N</v>
      </c>
      <c r="V3" s="57"/>
      <c r="W3" s="57"/>
      <c r="X3" s="56"/>
      <c r="Y3" s="56"/>
      <c r="Z3" s="56"/>
      <c r="AA3" s="56"/>
      <c r="AC3" s="56"/>
    </row>
    <row r="4" spans="1:30" x14ac:dyDescent="0.25">
      <c r="A4" s="35"/>
      <c r="B4" s="5" t="e">
        <f>VLOOKUP(A4,Relay!$A$1:$B$50,2,FALSE)</f>
        <v>#N/A</v>
      </c>
      <c r="C4" s="5" t="e">
        <f>VLOOKUP(A4,Relay!$A$2:$C$51,3,FALSE)</f>
        <v>#N/A</v>
      </c>
      <c r="D4" s="39"/>
      <c r="E4" s="35"/>
      <c r="F4" s="35" t="str">
        <f t="shared" si="0"/>
        <v>INS</v>
      </c>
      <c r="G4" s="5" t="e">
        <f>IF(OR(E4="Jeopardy",E4="APP Moonlighting",E4="Differential Pay"),"",Nov[[#This Row],[SysID]])</f>
        <v>#N/A</v>
      </c>
      <c r="H4" s="5" t="e">
        <f>IF(E4="Jeopardy",IF(C4="MD",Relay!$E$7,Relay!$E$8),IF(C4="MD",IF(COUNTIF(G:G,B4)&gt;1,Relay!$E$2,Relay!$E$1),IF(AND(COUNTIF(G:G,B4)&gt;1,COUNTA(A4)&gt;0),Relay!$E$5,Relay!$E$4)))</f>
        <v>#N/A</v>
      </c>
      <c r="I4" s="8">
        <f t="shared" si="1"/>
        <v>0</v>
      </c>
      <c r="J4" s="35"/>
      <c r="K4" s="35"/>
      <c r="L4" s="35"/>
      <c r="M4" s="35"/>
      <c r="N4" s="10" t="e">
        <f>IF(H4=Nov!$E$2,"N",IF(AND(COUNTIF(B:B,B4)=1,D4&gt;14),"Y","N"))</f>
        <v>#N/A</v>
      </c>
      <c r="O4" s="55" t="str">
        <f>IF(COUNT(Nov[[#This Row],[Date]])&gt;0,IF(Nov[[#This Row],[Date]]&gt;14,"Yes","No"),"N/A")</f>
        <v>N/A</v>
      </c>
      <c r="P4" s="55"/>
      <c r="Q4" s="5">
        <f>Relay!A3</f>
        <v>0</v>
      </c>
      <c r="R4" s="5">
        <f>Relay!B3</f>
        <v>2</v>
      </c>
      <c r="S4" s="8">
        <f>IF(Nov[After the 14th?]="No",SUMIF(Nov[SysID],R4,Nov[Pay Amount]),0)+IF(Oct[After the 14th?]="Yes",SUMIF(Oct[SysID],R4,Oct[Pay Amount]),0)</f>
        <v>0</v>
      </c>
      <c r="T4" s="8"/>
      <c r="U4" s="5" t="str">
        <f t="shared" si="2"/>
        <v>N</v>
      </c>
      <c r="X4" s="56"/>
      <c r="Y4" s="56"/>
      <c r="Z4" s="56"/>
      <c r="AA4" s="56"/>
      <c r="AC4" s="56"/>
    </row>
    <row r="5" spans="1:30" x14ac:dyDescent="0.25">
      <c r="A5" s="35"/>
      <c r="B5" s="5" t="e">
        <f>VLOOKUP(A5,Relay!$A$1:$B$50,2,FALSE)</f>
        <v>#N/A</v>
      </c>
      <c r="C5" s="5" t="e">
        <f>VLOOKUP(A5,Relay!$A$2:$C$51,3,FALSE)</f>
        <v>#N/A</v>
      </c>
      <c r="D5" s="39"/>
      <c r="E5" s="35"/>
      <c r="F5" s="35" t="str">
        <f t="shared" si="0"/>
        <v>INS</v>
      </c>
      <c r="G5" s="5" t="e">
        <f>IF(OR(E5="Jeopardy",E5="APP Moonlighting",E5="Differential Pay"),"",Nov[[#This Row],[SysID]])</f>
        <v>#N/A</v>
      </c>
      <c r="H5" s="5" t="e">
        <f>IF(E5="Jeopardy",IF(C5="MD",Relay!$E$7,Relay!$E$8),IF(C5="MD",IF(COUNTIF(G:G,B5)&gt;1,Relay!$E$2,Relay!$E$1),IF(AND(COUNTIF(G:G,B5)&gt;1,COUNTA(A5)&gt;0),Relay!$E$5,Relay!$E$4)))</f>
        <v>#N/A</v>
      </c>
      <c r="I5" s="8">
        <f t="shared" si="1"/>
        <v>0</v>
      </c>
      <c r="J5" s="35"/>
      <c r="K5" s="35"/>
      <c r="L5" s="35"/>
      <c r="M5" s="35"/>
      <c r="N5" s="10" t="e">
        <f>IF(H5=Nov!$E$2,"N",IF(AND(COUNTIF(B:B,B5)=1,D5&gt;14),"Y","N"))</f>
        <v>#N/A</v>
      </c>
      <c r="O5" s="55" t="str">
        <f>IF(COUNT(Nov[[#This Row],[Date]])&gt;0,IF(Nov[[#This Row],[Date]]&gt;14,"Yes","No"),"N/A")</f>
        <v>N/A</v>
      </c>
      <c r="P5" s="55"/>
      <c r="Q5" s="5">
        <f>Relay!A4</f>
        <v>0</v>
      </c>
      <c r="R5" s="5">
        <f>Relay!B4</f>
        <v>3</v>
      </c>
      <c r="S5" s="8">
        <f>IF(Nov[After the 14th?]="No",SUMIF(Nov[SysID],R5,Nov[Pay Amount]),0)+IF(Oct[After the 14th?]="Yes",SUMIF(Oct[SysID],R5,Oct[Pay Amount]),0)</f>
        <v>0</v>
      </c>
      <c r="T5" s="8"/>
      <c r="U5" s="5" t="str">
        <f t="shared" si="2"/>
        <v>N</v>
      </c>
      <c r="X5" s="56"/>
      <c r="Y5" s="56"/>
      <c r="Z5" s="56"/>
      <c r="AA5" s="56"/>
      <c r="AC5" s="56"/>
    </row>
    <row r="6" spans="1:30" x14ac:dyDescent="0.25">
      <c r="A6" s="35"/>
      <c r="B6" s="5" t="e">
        <f>VLOOKUP(A6,Relay!$A$1:$B$50,2,FALSE)</f>
        <v>#N/A</v>
      </c>
      <c r="C6" s="5" t="e">
        <f>VLOOKUP(A6,Relay!$A$2:$C$51,3,FALSE)</f>
        <v>#N/A</v>
      </c>
      <c r="D6" s="39"/>
      <c r="E6" s="35"/>
      <c r="F6" s="35" t="str">
        <f t="shared" si="0"/>
        <v>INS</v>
      </c>
      <c r="G6" s="5" t="e">
        <f>IF(OR(E6="Jeopardy",E6="APP Moonlighting",E6="Differential Pay"),"",Nov[[#This Row],[SysID]])</f>
        <v>#N/A</v>
      </c>
      <c r="H6" s="5" t="e">
        <f>IF(E6="Jeopardy",IF(C6="MD",Relay!$E$7,Relay!$E$8),IF(C6="MD",IF(COUNTIF(G:G,B6)&gt;1,Relay!$E$2,Relay!$E$1),IF(AND(COUNTIF(G:G,B6)&gt;1,COUNTA(A6)&gt;0),Relay!$E$5,Relay!$E$4)))</f>
        <v>#N/A</v>
      </c>
      <c r="I6" s="8">
        <f t="shared" si="1"/>
        <v>0</v>
      </c>
      <c r="J6" s="35"/>
      <c r="K6" s="35"/>
      <c r="L6" s="35"/>
      <c r="M6" s="35"/>
      <c r="N6" s="10" t="e">
        <f>IF(H6=Nov!$E$2,"N",IF(AND(COUNTIF(B:B,B6)=1,D6&gt;14),"Y","N"))</f>
        <v>#N/A</v>
      </c>
      <c r="O6" s="55" t="str">
        <f>IF(COUNT(Nov[[#This Row],[Date]])&gt;0,IF(Nov[[#This Row],[Date]]&gt;14,"Yes","No"),"N/A")</f>
        <v>N/A</v>
      </c>
      <c r="P6" s="55"/>
      <c r="Q6" s="5">
        <f>Relay!A5</f>
        <v>0</v>
      </c>
      <c r="R6" s="5">
        <f>Relay!B5</f>
        <v>4</v>
      </c>
      <c r="S6" s="8">
        <f>IF(Nov[After the 14th?]="No",SUMIF(Nov[SysID],R6,Nov[Pay Amount]),0)+IF(Oct[After the 14th?]="Yes",SUMIF(Oct[SysID],R6,Oct[Pay Amount]),0)</f>
        <v>0</v>
      </c>
      <c r="T6" s="8"/>
      <c r="U6" s="5" t="str">
        <f t="shared" si="2"/>
        <v>N</v>
      </c>
      <c r="X6" s="56"/>
      <c r="Y6" s="56"/>
      <c r="Z6" s="56"/>
      <c r="AA6" s="56"/>
      <c r="AC6" s="56"/>
    </row>
    <row r="7" spans="1:30" x14ac:dyDescent="0.25">
      <c r="A7" s="35"/>
      <c r="B7" s="5" t="e">
        <f>VLOOKUP(A7,Relay!$A$1:$B$50,2,FALSE)</f>
        <v>#N/A</v>
      </c>
      <c r="C7" s="5" t="e">
        <f>VLOOKUP(A7,Relay!$A$2:$C$51,3,FALSE)</f>
        <v>#N/A</v>
      </c>
      <c r="D7" s="39"/>
      <c r="E7" s="35"/>
      <c r="F7" s="35" t="str">
        <f t="shared" si="0"/>
        <v>INS</v>
      </c>
      <c r="G7" s="5" t="e">
        <f>IF(OR(E7="Jeopardy",E7="APP Moonlighting",E7="Differential Pay"),"",Nov[[#This Row],[SysID]])</f>
        <v>#N/A</v>
      </c>
      <c r="H7" s="5" t="e">
        <f>IF(E7="Jeopardy",IF(C7="MD",Relay!$E$7,Relay!$E$8),IF(C7="MD",IF(COUNTIF(G:G,B7)&gt;1,Relay!$E$2,Relay!$E$1),IF(AND(COUNTIF(G:G,B7)&gt;1,COUNTA(A7)&gt;0),Relay!$E$5,Relay!$E$4)))</f>
        <v>#N/A</v>
      </c>
      <c r="I7" s="8">
        <f t="shared" si="1"/>
        <v>0</v>
      </c>
      <c r="J7" s="35"/>
      <c r="K7" s="35"/>
      <c r="L7" s="35"/>
      <c r="M7" s="35"/>
      <c r="N7" s="10" t="e">
        <f>IF(H7=Nov!$E$2,"N",IF(AND(COUNTIF(B:B,B7)=1,D7&gt;14),"Y","N"))</f>
        <v>#N/A</v>
      </c>
      <c r="O7" s="55" t="str">
        <f>IF(COUNT(Nov[[#This Row],[Date]])&gt;0,IF(Nov[[#This Row],[Date]]&gt;14,"Yes","No"),"N/A")</f>
        <v>N/A</v>
      </c>
      <c r="P7" s="55"/>
      <c r="Q7" s="5">
        <f>Relay!A6</f>
        <v>0</v>
      </c>
      <c r="R7" s="5">
        <f>Relay!B6</f>
        <v>5</v>
      </c>
      <c r="S7" s="8">
        <f>IF(Nov[After the 14th?]="No",SUMIF(Nov[SysID],R7,Nov[Pay Amount]),0)+IF(Oct[After the 14th?]="Yes",SUMIF(Oct[SysID],R7,Oct[Pay Amount]),0)</f>
        <v>0</v>
      </c>
      <c r="T7" s="8"/>
      <c r="U7" s="5" t="str">
        <f t="shared" si="2"/>
        <v>N</v>
      </c>
      <c r="X7" s="56"/>
      <c r="Y7" s="56"/>
      <c r="Z7" s="56"/>
      <c r="AA7" s="56"/>
      <c r="AC7" s="56"/>
    </row>
    <row r="8" spans="1:30" x14ac:dyDescent="0.25">
      <c r="A8" s="35"/>
      <c r="B8" s="5" t="e">
        <f>VLOOKUP(A8,Relay!$A$1:$B$50,2,FALSE)</f>
        <v>#N/A</v>
      </c>
      <c r="C8" s="5" t="e">
        <f>VLOOKUP(A8,Relay!$A$2:$C$51,3,FALSE)</f>
        <v>#N/A</v>
      </c>
      <c r="D8" s="39"/>
      <c r="E8" s="35"/>
      <c r="F8" s="35" t="str">
        <f t="shared" si="0"/>
        <v>INS</v>
      </c>
      <c r="G8" s="5" t="e">
        <f>IF(OR(E8="Jeopardy",E8="APP Moonlighting",E8="Differential Pay"),"",Nov[[#This Row],[SysID]])</f>
        <v>#N/A</v>
      </c>
      <c r="H8" s="5" t="e">
        <f>IF(E8="Jeopardy",IF(C8="MD",Relay!$E$7,Relay!$E$8),IF(C8="MD",IF(COUNTIF(G:G,B8)&gt;1,Relay!$E$2,Relay!$E$1),IF(AND(COUNTIF(G:G,B8)&gt;1,COUNTA(A8)&gt;0),Relay!$E$5,Relay!$E$4)))</f>
        <v>#N/A</v>
      </c>
      <c r="I8" s="8">
        <f t="shared" si="1"/>
        <v>0</v>
      </c>
      <c r="J8" s="35"/>
      <c r="K8" s="35"/>
      <c r="L8" s="35"/>
      <c r="M8" s="35"/>
      <c r="N8" s="10" t="e">
        <f>IF(H8=Nov!$E$2,"N",IF(AND(COUNTIF(B:B,B8)=1,D8&gt;14),"Y","N"))</f>
        <v>#N/A</v>
      </c>
      <c r="O8" s="55" t="str">
        <f>IF(COUNT(Nov[[#This Row],[Date]])&gt;0,IF(Nov[[#This Row],[Date]]&gt;14,"Yes","No"),"N/A")</f>
        <v>N/A</v>
      </c>
      <c r="P8" s="55"/>
      <c r="Q8" s="5">
        <f>Relay!A7</f>
        <v>0</v>
      </c>
      <c r="R8" s="5">
        <f>Relay!B7</f>
        <v>6</v>
      </c>
      <c r="S8" s="8">
        <f>IF(Nov[After the 14th?]="No",SUMIF(Nov[SysID],R8,Nov[Pay Amount]),0)+IF(Oct[After the 14th?]="Yes",SUMIF(Oct[SysID],R8,Oct[Pay Amount]),0)</f>
        <v>0</v>
      </c>
      <c r="T8" s="8"/>
      <c r="U8" s="5" t="str">
        <f t="shared" si="2"/>
        <v>N</v>
      </c>
      <c r="X8" s="56"/>
      <c r="Y8" s="56"/>
      <c r="Z8" s="56"/>
      <c r="AA8" s="56"/>
      <c r="AC8" s="56"/>
    </row>
    <row r="9" spans="1:30" x14ac:dyDescent="0.25">
      <c r="A9" s="35"/>
      <c r="B9" s="5" t="e">
        <f>VLOOKUP(A9,Relay!$A$1:$B$50,2,FALSE)</f>
        <v>#N/A</v>
      </c>
      <c r="C9" s="5" t="e">
        <f>VLOOKUP(A9,Relay!$A$2:$C$51,3,FALSE)</f>
        <v>#N/A</v>
      </c>
      <c r="D9" s="39"/>
      <c r="E9" s="35"/>
      <c r="F9" s="35" t="str">
        <f t="shared" si="0"/>
        <v>INS</v>
      </c>
      <c r="G9" s="5" t="e">
        <f>IF(OR(E9="Jeopardy",E9="APP Moonlighting",E9="Differential Pay"),"",Nov[[#This Row],[SysID]])</f>
        <v>#N/A</v>
      </c>
      <c r="H9" s="5" t="e">
        <f>IF(E9="Jeopardy",IF(C9="MD",Relay!$E$7,Relay!$E$8),IF(C9="MD",IF(COUNTIF(G:G,B9)&gt;1,Relay!$E$2,Relay!$E$1),IF(AND(COUNTIF(G:G,B9)&gt;1,COUNTA(A9)&gt;0),Relay!$E$5,Relay!$E$4)))</f>
        <v>#N/A</v>
      </c>
      <c r="I9" s="8">
        <f t="shared" si="1"/>
        <v>0</v>
      </c>
      <c r="J9" s="35"/>
      <c r="K9" s="35"/>
      <c r="L9" s="35"/>
      <c r="M9" s="35"/>
      <c r="N9" s="10" t="e">
        <f>IF(H9=Nov!$E$2,"N",IF(AND(COUNTIF(B:B,B9)=1,D9&gt;14),"Y","N"))</f>
        <v>#N/A</v>
      </c>
      <c r="O9" s="55" t="str">
        <f>IF(COUNT(Nov[[#This Row],[Date]])&gt;0,IF(Nov[[#This Row],[Date]]&gt;14,"Yes","No"),"N/A")</f>
        <v>N/A</v>
      </c>
      <c r="P9" s="55"/>
      <c r="Q9" s="5">
        <f>Relay!A8</f>
        <v>0</v>
      </c>
      <c r="R9" s="5">
        <f>Relay!B8</f>
        <v>7</v>
      </c>
      <c r="S9" s="8">
        <f>IF(Nov[After the 14th?]="No",SUMIF(Nov[SysID],R9,Nov[Pay Amount]),0)+IF(Oct[After the 14th?]="Yes",SUMIF(Oct[SysID],R9,Oct[Pay Amount]),0)</f>
        <v>0</v>
      </c>
      <c r="T9" s="8"/>
      <c r="U9" s="5" t="str">
        <f t="shared" si="2"/>
        <v>N</v>
      </c>
      <c r="X9" s="56"/>
      <c r="Y9" s="56"/>
      <c r="Z9" s="56"/>
      <c r="AA9" s="56"/>
      <c r="AC9" s="56"/>
    </row>
    <row r="10" spans="1:30" x14ac:dyDescent="0.25">
      <c r="A10" s="35"/>
      <c r="B10" s="5" t="e">
        <f>VLOOKUP(A10,Relay!$A$1:$B$50,2,FALSE)</f>
        <v>#N/A</v>
      </c>
      <c r="C10" s="5" t="e">
        <f>VLOOKUP(A10,Relay!$A$2:$C$51,3,FALSE)</f>
        <v>#N/A</v>
      </c>
      <c r="D10" s="39"/>
      <c r="E10" s="35"/>
      <c r="F10" s="35" t="str">
        <f t="shared" si="0"/>
        <v>INS</v>
      </c>
      <c r="G10" s="5" t="e">
        <f>IF(OR(E10="Jeopardy",E10="APP Moonlighting",E10="Differential Pay"),"",Nov[[#This Row],[SysID]])</f>
        <v>#N/A</v>
      </c>
      <c r="H10" s="5" t="e">
        <f>IF(E10="Jeopardy",IF(C10="MD",Relay!$E$7,Relay!$E$8),IF(C10="MD",IF(COUNTIF(G:G,B10)&gt;1,Relay!$E$2,Relay!$E$1),IF(AND(COUNTIF(G:G,B10)&gt;1,COUNTA(A10)&gt;0),Relay!$E$5,Relay!$E$4)))</f>
        <v>#N/A</v>
      </c>
      <c r="I10" s="8">
        <f t="shared" si="1"/>
        <v>0</v>
      </c>
      <c r="J10" s="35"/>
      <c r="K10" s="35"/>
      <c r="L10" s="35"/>
      <c r="M10" s="35"/>
      <c r="N10" s="10" t="e">
        <f>IF(H10=Nov!$E$2,"N",IF(AND(COUNTIF(B:B,B10)=1,D10&gt;14),"Y","N"))</f>
        <v>#N/A</v>
      </c>
      <c r="O10" s="55" t="str">
        <f>IF(COUNT(Nov[[#This Row],[Date]])&gt;0,IF(Nov[[#This Row],[Date]]&gt;14,"Yes","No"),"N/A")</f>
        <v>N/A</v>
      </c>
      <c r="P10" s="55"/>
      <c r="Q10" s="5">
        <f>Relay!A9</f>
        <v>0</v>
      </c>
      <c r="R10" s="5">
        <f>Relay!B9</f>
        <v>8</v>
      </c>
      <c r="S10" s="8">
        <f>IF(Nov[After the 14th?]="No",SUMIF(Nov[SysID],R10,Nov[Pay Amount]),0)+IF(Oct[After the 14th?]="Yes",SUMIF(Oct[SysID],R10,Oct[Pay Amount]),0)</f>
        <v>0</v>
      </c>
      <c r="T10" s="8"/>
      <c r="U10" s="5" t="str">
        <f t="shared" si="2"/>
        <v>N</v>
      </c>
      <c r="X10" s="56"/>
      <c r="Y10" s="56"/>
      <c r="Z10" s="56"/>
      <c r="AA10" s="56"/>
      <c r="AC10" s="56"/>
    </row>
    <row r="11" spans="1:30" x14ac:dyDescent="0.25">
      <c r="A11" s="35"/>
      <c r="B11" s="5" t="e">
        <f>VLOOKUP(A11,Relay!$A$1:$B$50,2,FALSE)</f>
        <v>#N/A</v>
      </c>
      <c r="C11" s="5" t="e">
        <f>VLOOKUP(A11,Relay!$A$2:$C$51,3,FALSE)</f>
        <v>#N/A</v>
      </c>
      <c r="D11" s="39"/>
      <c r="E11" s="35"/>
      <c r="F11" s="35" t="str">
        <f t="shared" si="0"/>
        <v>INS</v>
      </c>
      <c r="G11" s="5" t="e">
        <f>IF(OR(E11="Jeopardy",E11="APP Moonlighting",E11="Differential Pay"),"",Nov[[#This Row],[SysID]])</f>
        <v>#N/A</v>
      </c>
      <c r="H11" s="5" t="e">
        <f>IF(E11="Jeopardy",IF(C11="MD",Relay!$E$7,Relay!$E$8),IF(C11="MD",IF(COUNTIF(G:G,B11)&gt;1,Relay!$E$2,Relay!$E$1),IF(AND(COUNTIF(G:G,B11)&gt;1,COUNTA(A11)&gt;0),Relay!$E$5,Relay!$E$4)))</f>
        <v>#N/A</v>
      </c>
      <c r="I11" s="8">
        <f t="shared" si="1"/>
        <v>0</v>
      </c>
      <c r="J11" s="35"/>
      <c r="K11" s="35"/>
      <c r="L11" s="35"/>
      <c r="M11" s="35"/>
      <c r="N11" s="10" t="e">
        <f>IF(H11=Nov!$E$2,"N",IF(AND(COUNTIF(B:B,B11)=1,D11&gt;14),"Y","N"))</f>
        <v>#N/A</v>
      </c>
      <c r="O11" s="55" t="str">
        <f>IF(COUNT(Nov[[#This Row],[Date]])&gt;0,IF(Nov[[#This Row],[Date]]&gt;14,"Yes","No"),"N/A")</f>
        <v>N/A</v>
      </c>
      <c r="P11" s="55"/>
      <c r="Q11" s="5">
        <f>Relay!A10</f>
        <v>0</v>
      </c>
      <c r="R11" s="5">
        <f>Relay!B10</f>
        <v>9</v>
      </c>
      <c r="S11" s="8">
        <f>IF(Nov[After the 14th?]="No",SUMIF(Nov[SysID],R11,Nov[Pay Amount]),0)+IF(Oct[After the 14th?]="Yes",SUMIF(Oct[SysID],R11,Oct[Pay Amount]),0)</f>
        <v>0</v>
      </c>
      <c r="T11" s="8"/>
      <c r="U11" s="5" t="str">
        <f t="shared" si="2"/>
        <v>N</v>
      </c>
      <c r="X11" s="56"/>
      <c r="Y11" s="56"/>
      <c r="Z11" s="56"/>
      <c r="AA11" s="56"/>
      <c r="AC11" s="56"/>
    </row>
    <row r="12" spans="1:30" x14ac:dyDescent="0.25">
      <c r="A12" s="35"/>
      <c r="B12" s="5" t="e">
        <f>VLOOKUP(A12,Relay!$A$1:$B$50,2,FALSE)</f>
        <v>#N/A</v>
      </c>
      <c r="C12" s="5" t="e">
        <f>VLOOKUP(A12,Relay!$A$2:$C$51,3,FALSE)</f>
        <v>#N/A</v>
      </c>
      <c r="D12" s="39"/>
      <c r="E12" s="35"/>
      <c r="F12" s="35" t="str">
        <f t="shared" si="0"/>
        <v>INS</v>
      </c>
      <c r="G12" s="5" t="e">
        <f>IF(OR(E12="Jeopardy",E12="APP Moonlighting",E12="Differential Pay"),"",Nov[[#This Row],[SysID]])</f>
        <v>#N/A</v>
      </c>
      <c r="H12" s="5" t="e">
        <f>IF(E12="Jeopardy",IF(C12="MD",Relay!$E$7,Relay!$E$8),IF(C12="MD",IF(COUNTIF(G:G,B12)&gt;1,Relay!$E$2,Relay!$E$1),IF(AND(COUNTIF(G:G,B12)&gt;1,COUNTA(A12)&gt;0),Relay!$E$5,Relay!$E$4)))</f>
        <v>#N/A</v>
      </c>
      <c r="I12" s="8">
        <f t="shared" si="1"/>
        <v>0</v>
      </c>
      <c r="J12" s="35"/>
      <c r="K12" s="35"/>
      <c r="L12" s="35"/>
      <c r="M12" s="35"/>
      <c r="N12" s="10" t="e">
        <f>IF(H12=Nov!$E$2,"N",IF(AND(COUNTIF(B:B,B12)=1,D12&gt;14),"Y","N"))</f>
        <v>#N/A</v>
      </c>
      <c r="O12" s="55" t="str">
        <f>IF(COUNT(Nov[[#This Row],[Date]])&gt;0,IF(Nov[[#This Row],[Date]]&gt;14,"Yes","No"),"N/A")</f>
        <v>N/A</v>
      </c>
      <c r="P12" s="55"/>
      <c r="Q12" s="5">
        <f>Relay!A11</f>
        <v>0</v>
      </c>
      <c r="R12" s="5">
        <f>Relay!B11</f>
        <v>10</v>
      </c>
      <c r="S12" s="8">
        <f>IF(Nov[After the 14th?]="No",SUMIF(Nov[SysID],R12,Nov[Pay Amount]),0)+IF(Oct[After the 14th?]="Yes",SUMIF(Oct[SysID],R12,Oct[Pay Amount]),0)</f>
        <v>0</v>
      </c>
      <c r="T12" s="8"/>
      <c r="U12" s="5" t="str">
        <f t="shared" si="2"/>
        <v>N</v>
      </c>
      <c r="X12" s="56"/>
      <c r="Y12" s="56"/>
      <c r="Z12" s="56"/>
      <c r="AA12" s="56"/>
      <c r="AC12" s="56"/>
    </row>
    <row r="13" spans="1:30" x14ac:dyDescent="0.25">
      <c r="A13" s="35"/>
      <c r="B13" s="5" t="e">
        <f>VLOOKUP(A13,Relay!$A$1:$B$50,2,FALSE)</f>
        <v>#N/A</v>
      </c>
      <c r="C13" s="5" t="e">
        <f>VLOOKUP(A13,Relay!$A$2:$C$51,3,FALSE)</f>
        <v>#N/A</v>
      </c>
      <c r="D13" s="39"/>
      <c r="E13" s="35"/>
      <c r="F13" s="35" t="str">
        <f t="shared" si="0"/>
        <v>INS</v>
      </c>
      <c r="G13" s="5" t="e">
        <f>IF(OR(E13="Jeopardy",E13="APP Moonlighting",E13="Differential Pay"),"",Nov[[#This Row],[SysID]])</f>
        <v>#N/A</v>
      </c>
      <c r="H13" s="5" t="e">
        <f>IF(E13="Jeopardy",IF(C13="MD",Relay!$E$7,Relay!$E$8),IF(C13="MD",IF(COUNTIF(G:G,B13)&gt;1,Relay!$E$2,Relay!$E$1),IF(AND(COUNTIF(G:G,B13)&gt;1,COUNTA(A13)&gt;0),Relay!$E$5,Relay!$E$4)))</f>
        <v>#N/A</v>
      </c>
      <c r="I13" s="8">
        <f t="shared" si="1"/>
        <v>0</v>
      </c>
      <c r="J13" s="35"/>
      <c r="K13" s="35"/>
      <c r="L13" s="35"/>
      <c r="M13" s="35"/>
      <c r="N13" s="10" t="e">
        <f>IF(H13=Nov!$E$2,"N",IF(AND(COUNTIF(B:B,B13)=1,D13&gt;14),"Y","N"))</f>
        <v>#N/A</v>
      </c>
      <c r="O13" s="55" t="str">
        <f>IF(COUNT(Nov[[#This Row],[Date]])&gt;0,IF(Nov[[#This Row],[Date]]&gt;14,"Yes","No"),"N/A")</f>
        <v>N/A</v>
      </c>
      <c r="P13" s="55"/>
      <c r="Q13" s="5">
        <f>Relay!A12</f>
        <v>0</v>
      </c>
      <c r="R13" s="5">
        <f>Relay!B12</f>
        <v>11</v>
      </c>
      <c r="S13" s="8">
        <f>IF(Nov[After the 14th?]="No",SUMIF(Nov[SysID],R13,Nov[Pay Amount]),0)+IF(Oct[After the 14th?]="Yes",SUMIF(Oct[SysID],R13,Oct[Pay Amount]),0)</f>
        <v>0</v>
      </c>
      <c r="T13" s="8"/>
      <c r="U13" s="5" t="str">
        <f t="shared" si="2"/>
        <v>N</v>
      </c>
      <c r="X13" s="56"/>
      <c r="Y13" s="56"/>
      <c r="Z13" s="56"/>
      <c r="AA13" s="56"/>
      <c r="AC13" s="56"/>
    </row>
    <row r="14" spans="1:30" x14ac:dyDescent="0.25">
      <c r="A14" s="35"/>
      <c r="B14" s="5" t="e">
        <f>VLOOKUP(A14,Relay!$A$1:$B$50,2,FALSE)</f>
        <v>#N/A</v>
      </c>
      <c r="C14" s="5" t="e">
        <f>VLOOKUP(A14,Relay!$A$2:$C$51,3,FALSE)</f>
        <v>#N/A</v>
      </c>
      <c r="D14" s="39"/>
      <c r="E14" s="35"/>
      <c r="F14" s="35" t="str">
        <f t="shared" si="0"/>
        <v>INS</v>
      </c>
      <c r="G14" s="5" t="e">
        <f>IF(OR(E14="Jeopardy",E14="APP Moonlighting",E14="Differential Pay"),"",Nov[[#This Row],[SysID]])</f>
        <v>#N/A</v>
      </c>
      <c r="H14" s="5" t="e">
        <f>IF(E14="Jeopardy",IF(C14="MD",Relay!$E$7,Relay!$E$8),IF(C14="MD",IF(COUNTIF(G:G,B14)&gt;1,Relay!$E$2,Relay!$E$1),IF(AND(COUNTIF(G:G,B14)&gt;1,COUNTA(A14)&gt;0),Relay!$E$5,Relay!$E$4)))</f>
        <v>#N/A</v>
      </c>
      <c r="I14" s="8">
        <f t="shared" si="1"/>
        <v>0</v>
      </c>
      <c r="J14" s="35"/>
      <c r="K14" s="35"/>
      <c r="L14" s="35"/>
      <c r="M14" s="35"/>
      <c r="N14" s="10" t="e">
        <f>IF(H14=Nov!$E$2,"N",IF(AND(COUNTIF(B:B,B14)=1,D14&gt;14),"Y","N"))</f>
        <v>#N/A</v>
      </c>
      <c r="O14" s="55" t="str">
        <f>IF(COUNT(Nov[[#This Row],[Date]])&gt;0,IF(Nov[[#This Row],[Date]]&gt;14,"Yes","No"),"N/A")</f>
        <v>N/A</v>
      </c>
      <c r="P14" s="55"/>
      <c r="Q14" s="5">
        <f>Relay!A13</f>
        <v>0</v>
      </c>
      <c r="R14" s="5">
        <f>Relay!B13</f>
        <v>12</v>
      </c>
      <c r="S14" s="8">
        <f>IF(Nov[After the 14th?]="No",SUMIF(Nov[SysID],R14,Nov[Pay Amount]),0)+IF(Oct[After the 14th?]="Yes",SUMIF(Oct[SysID],R14,Oct[Pay Amount]),0)</f>
        <v>0</v>
      </c>
      <c r="T14" s="8"/>
      <c r="U14" s="5" t="str">
        <f t="shared" si="2"/>
        <v>N</v>
      </c>
      <c r="X14" s="56"/>
      <c r="Y14" s="56"/>
      <c r="Z14" s="56"/>
      <c r="AA14" s="56"/>
      <c r="AC14" s="56"/>
    </row>
    <row r="15" spans="1:30" x14ac:dyDescent="0.25">
      <c r="A15" s="35"/>
      <c r="B15" s="5" t="e">
        <f>VLOOKUP(A15,Relay!$A$1:$B$50,2,FALSE)</f>
        <v>#N/A</v>
      </c>
      <c r="C15" s="5" t="e">
        <f>VLOOKUP(A15,Relay!$A$2:$C$51,3,FALSE)</f>
        <v>#N/A</v>
      </c>
      <c r="D15" s="39"/>
      <c r="E15" s="35"/>
      <c r="F15" s="35" t="str">
        <f t="shared" si="0"/>
        <v>INS</v>
      </c>
      <c r="G15" s="5" t="e">
        <f>IF(OR(E15="Jeopardy",E15="APP Moonlighting",E15="Differential Pay"),"",Nov[[#This Row],[SysID]])</f>
        <v>#N/A</v>
      </c>
      <c r="H15" s="5" t="e">
        <f>IF(E15="Jeopardy",IF(C15="MD",Relay!$E$7,Relay!$E$8),IF(C15="MD",IF(COUNTIF(G:G,B15)&gt;1,Relay!$E$2,Relay!$E$1),IF(AND(COUNTIF(G:G,B15)&gt;1,COUNTA(A15)&gt;0),Relay!$E$5,Relay!$E$4)))</f>
        <v>#N/A</v>
      </c>
      <c r="I15" s="8">
        <f t="shared" si="1"/>
        <v>0</v>
      </c>
      <c r="J15" s="35"/>
      <c r="K15" s="35"/>
      <c r="L15" s="35"/>
      <c r="M15" s="35"/>
      <c r="N15" s="10" t="e">
        <f>IF(H15=Nov!$E$2,"N",IF(AND(COUNTIF(B:B,B15)=1,D15&gt;14),"Y","N"))</f>
        <v>#N/A</v>
      </c>
      <c r="O15" s="55" t="str">
        <f>IF(COUNT(Nov[[#This Row],[Date]])&gt;0,IF(Nov[[#This Row],[Date]]&gt;14,"Yes","No"),"N/A")</f>
        <v>N/A</v>
      </c>
      <c r="P15" s="55"/>
      <c r="Q15" s="5">
        <f>Relay!A14</f>
        <v>0</v>
      </c>
      <c r="R15" s="5">
        <f>Relay!B14</f>
        <v>13</v>
      </c>
      <c r="S15" s="8">
        <f>IF(Nov[After the 14th?]="No",SUMIF(Nov[SysID],R15,Nov[Pay Amount]),0)+IF(Oct[After the 14th?]="Yes",SUMIF(Oct[SysID],R15,Oct[Pay Amount]),0)</f>
        <v>0</v>
      </c>
      <c r="T15" s="8"/>
      <c r="U15" s="5" t="str">
        <f t="shared" si="2"/>
        <v>N</v>
      </c>
      <c r="X15" s="56"/>
      <c r="Y15" s="56"/>
      <c r="Z15" s="56"/>
      <c r="AA15" s="56"/>
      <c r="AC15" s="56"/>
    </row>
    <row r="16" spans="1:30" x14ac:dyDescent="0.25">
      <c r="A16" s="35"/>
      <c r="B16" s="5" t="e">
        <f>VLOOKUP(A16,Relay!$A$1:$B$50,2,FALSE)</f>
        <v>#N/A</v>
      </c>
      <c r="C16" s="5" t="e">
        <f>VLOOKUP(A16,Relay!$A$2:$C$51,3,FALSE)</f>
        <v>#N/A</v>
      </c>
      <c r="D16" s="39"/>
      <c r="E16" s="35"/>
      <c r="F16" s="35" t="str">
        <f t="shared" si="0"/>
        <v>INS</v>
      </c>
      <c r="G16" s="5" t="e">
        <f>IF(OR(E16="Jeopardy",E16="APP Moonlighting",E16="Differential Pay"),"",Nov[[#This Row],[SysID]])</f>
        <v>#N/A</v>
      </c>
      <c r="H16" s="5" t="e">
        <f>IF(E16="Jeopardy",IF(C16="MD",Relay!$E$7,Relay!$E$8),IF(C16="MD",IF(COUNTIF(G:G,B16)&gt;1,Relay!$E$2,Relay!$E$1),IF(AND(COUNTIF(G:G,B16)&gt;1,COUNTA(A16)&gt;0),Relay!$E$5,Relay!$E$4)))</f>
        <v>#N/A</v>
      </c>
      <c r="I16" s="8">
        <f t="shared" si="1"/>
        <v>0</v>
      </c>
      <c r="J16" s="35"/>
      <c r="K16" s="35"/>
      <c r="L16" s="35"/>
      <c r="M16" s="35"/>
      <c r="N16" s="10" t="e">
        <f>IF(H16=Nov!$E$2,"N",IF(AND(COUNTIF(B:B,B16)=1,D16&gt;14),"Y","N"))</f>
        <v>#N/A</v>
      </c>
      <c r="O16" s="55" t="str">
        <f>IF(COUNT(Nov[[#This Row],[Date]])&gt;0,IF(Nov[[#This Row],[Date]]&gt;14,"Yes","No"),"N/A")</f>
        <v>N/A</v>
      </c>
      <c r="P16" s="55"/>
      <c r="Q16" s="5">
        <f>Relay!A15</f>
        <v>0</v>
      </c>
      <c r="R16" s="5">
        <f>Relay!B15</f>
        <v>14</v>
      </c>
      <c r="S16" s="8">
        <f>IF(Nov[After the 14th?]="No",SUMIF(Nov[SysID],R16,Nov[Pay Amount]),0)+IF(Oct[After the 14th?]="Yes",SUMIF(Oct[SysID],R16,Oct[Pay Amount]),0)</f>
        <v>0</v>
      </c>
      <c r="T16" s="8"/>
      <c r="U16" s="5" t="str">
        <f t="shared" si="2"/>
        <v>N</v>
      </c>
      <c r="X16" s="56"/>
      <c r="Y16" s="56"/>
      <c r="Z16" s="56"/>
      <c r="AA16" s="56"/>
      <c r="AC16" s="56"/>
    </row>
    <row r="17" spans="1:29" x14ac:dyDescent="0.25">
      <c r="A17" s="35"/>
      <c r="B17" s="5" t="e">
        <f>VLOOKUP(A17,Relay!$A$1:$B$50,2,FALSE)</f>
        <v>#N/A</v>
      </c>
      <c r="C17" s="5" t="e">
        <f>VLOOKUP(A17,Relay!$A$2:$C$51,3,FALSE)</f>
        <v>#N/A</v>
      </c>
      <c r="D17" s="39"/>
      <c r="E17" s="35"/>
      <c r="F17" s="35" t="str">
        <f t="shared" si="0"/>
        <v>INS</v>
      </c>
      <c r="G17" s="5" t="e">
        <f>IF(OR(E17="Jeopardy",E17="APP Moonlighting",E17="Differential Pay"),"",Nov[[#This Row],[SysID]])</f>
        <v>#N/A</v>
      </c>
      <c r="H17" s="5" t="e">
        <f>IF(E17="Jeopardy",IF(C17="MD",Relay!$E$7,Relay!$E$8),IF(C17="MD",IF(COUNTIF(G:G,B17)&gt;1,Relay!$E$2,Relay!$E$1),IF(AND(COUNTIF(G:G,B17)&gt;1,COUNTA(A17)&gt;0),Relay!$E$5,Relay!$E$4)))</f>
        <v>#N/A</v>
      </c>
      <c r="I17" s="8">
        <f t="shared" si="1"/>
        <v>0</v>
      </c>
      <c r="J17" s="35"/>
      <c r="K17" s="35"/>
      <c r="L17" s="35"/>
      <c r="M17" s="35"/>
      <c r="N17" s="10" t="e">
        <f>IF(H17=Nov!$E$2,"N",IF(AND(COUNTIF(B:B,B17)=1,D17&gt;14),"Y","N"))</f>
        <v>#N/A</v>
      </c>
      <c r="O17" s="55" t="str">
        <f>IF(COUNT(Nov[[#This Row],[Date]])&gt;0,IF(Nov[[#This Row],[Date]]&gt;14,"Yes","No"),"N/A")</f>
        <v>N/A</v>
      </c>
      <c r="P17" s="55"/>
      <c r="Q17" s="5">
        <f>Relay!A16</f>
        <v>0</v>
      </c>
      <c r="R17" s="5">
        <f>Relay!B16</f>
        <v>15</v>
      </c>
      <c r="S17" s="8">
        <f>IF(Nov[After the 14th?]="No",SUMIF(Nov[SysID],R17,Nov[Pay Amount]),0)+IF(Oct[After the 14th?]="Yes",SUMIF(Oct[SysID],R17,Oct[Pay Amount]),0)</f>
        <v>0</v>
      </c>
      <c r="T17" s="8"/>
      <c r="U17" s="5" t="str">
        <f t="shared" si="2"/>
        <v>N</v>
      </c>
      <c r="X17" s="56"/>
      <c r="Y17" s="56"/>
      <c r="Z17" s="56"/>
      <c r="AA17" s="56"/>
      <c r="AC17" s="56"/>
    </row>
    <row r="18" spans="1:29" x14ac:dyDescent="0.25">
      <c r="A18" s="35"/>
      <c r="B18" s="5" t="e">
        <f>VLOOKUP(A18,Relay!$A$1:$B$50,2,FALSE)</f>
        <v>#N/A</v>
      </c>
      <c r="C18" s="5" t="e">
        <f>VLOOKUP(A18,Relay!$A$2:$C$51,3,FALSE)</f>
        <v>#N/A</v>
      </c>
      <c r="D18" s="39"/>
      <c r="E18" s="35"/>
      <c r="F18" s="35" t="str">
        <f t="shared" si="0"/>
        <v>INS</v>
      </c>
      <c r="G18" s="5" t="e">
        <f>IF(OR(E18="Jeopardy",E18="APP Moonlighting",E18="Differential Pay"),"",Nov[[#This Row],[SysID]])</f>
        <v>#N/A</v>
      </c>
      <c r="H18" s="5" t="e">
        <f>IF(E18="Jeopardy",IF(C18="MD",Relay!$E$7,Relay!$E$8),IF(C18="MD",IF(COUNTIF(G:G,B18)&gt;1,Relay!$E$2,Relay!$E$1),IF(AND(COUNTIF(G:G,B18)&gt;1,COUNTA(A18)&gt;0),Relay!$E$5,Relay!$E$4)))</f>
        <v>#N/A</v>
      </c>
      <c r="I18" s="8">
        <f t="shared" si="1"/>
        <v>0</v>
      </c>
      <c r="J18" s="35"/>
      <c r="K18" s="35"/>
      <c r="L18" s="35"/>
      <c r="M18" s="35"/>
      <c r="N18" s="10" t="e">
        <f>IF(H18=Nov!$E$2,"N",IF(AND(COUNTIF(B:B,B18)=1,D18&gt;14),"Y","N"))</f>
        <v>#N/A</v>
      </c>
      <c r="O18" s="55" t="str">
        <f>IF(COUNT(Nov[[#This Row],[Date]])&gt;0,IF(Nov[[#This Row],[Date]]&gt;14,"Yes","No"),"N/A")</f>
        <v>N/A</v>
      </c>
      <c r="P18" s="55"/>
      <c r="Q18" s="5">
        <f>Relay!A17</f>
        <v>0</v>
      </c>
      <c r="R18" s="5">
        <f>Relay!B17</f>
        <v>16</v>
      </c>
      <c r="S18" s="8">
        <f>IF(Nov[After the 14th?]="No",SUMIF(Nov[SysID],R18,Nov[Pay Amount]),0)+IF(Oct[After the 14th?]="Yes",SUMIF(Oct[SysID],R18,Oct[Pay Amount]),0)</f>
        <v>0</v>
      </c>
      <c r="T18" s="8"/>
      <c r="U18" s="5" t="str">
        <f t="shared" si="2"/>
        <v>N</v>
      </c>
      <c r="X18" s="56"/>
      <c r="Y18" s="56"/>
      <c r="Z18" s="56"/>
      <c r="AA18" s="56"/>
      <c r="AC18" s="56"/>
    </row>
    <row r="19" spans="1:29" x14ac:dyDescent="0.25">
      <c r="A19" s="35"/>
      <c r="B19" s="5" t="e">
        <f>VLOOKUP(A19,Relay!$A$1:$B$50,2,FALSE)</f>
        <v>#N/A</v>
      </c>
      <c r="C19" s="5" t="e">
        <f>VLOOKUP(A19,Relay!$A$2:$C$51,3,FALSE)</f>
        <v>#N/A</v>
      </c>
      <c r="D19" s="39"/>
      <c r="E19" s="35"/>
      <c r="F19" s="35" t="str">
        <f t="shared" si="0"/>
        <v>INS</v>
      </c>
      <c r="G19" s="5" t="e">
        <f>IF(OR(E19="Jeopardy",E19="APP Moonlighting",E19="Differential Pay"),"",Nov[[#This Row],[SysID]])</f>
        <v>#N/A</v>
      </c>
      <c r="H19" s="5" t="e">
        <f>IF(E19="Jeopardy",IF(C19="MD",Relay!$E$7,Relay!$E$8),IF(C19="MD",IF(COUNTIF(G:G,B19)&gt;1,Relay!$E$2,Relay!$E$1),IF(AND(COUNTIF(G:G,B19)&gt;1,COUNTA(A19)&gt;0),Relay!$E$5,Relay!$E$4)))</f>
        <v>#N/A</v>
      </c>
      <c r="I19" s="8">
        <f t="shared" si="1"/>
        <v>0</v>
      </c>
      <c r="J19" s="35"/>
      <c r="K19" s="35"/>
      <c r="L19" s="35"/>
      <c r="M19" s="35"/>
      <c r="N19" s="10" t="e">
        <f>IF(H19=Nov!$E$2,"N",IF(AND(COUNTIF(B:B,B19)=1,D19&gt;14),"Y","N"))</f>
        <v>#N/A</v>
      </c>
      <c r="O19" s="55" t="str">
        <f>IF(COUNT(Nov[[#This Row],[Date]])&gt;0,IF(Nov[[#This Row],[Date]]&gt;14,"Yes","No"),"N/A")</f>
        <v>N/A</v>
      </c>
      <c r="P19" s="55"/>
      <c r="Q19" s="5">
        <f>Relay!A18</f>
        <v>0</v>
      </c>
      <c r="R19" s="5">
        <f>Relay!B18</f>
        <v>17</v>
      </c>
      <c r="S19" s="8">
        <f>IF(Nov[After the 14th?]="No",SUMIF(Nov[SysID],R19,Nov[Pay Amount]),0)+IF(Oct[After the 14th?]="Yes",SUMIF(Oct[SysID],R19,Oct[Pay Amount]),0)</f>
        <v>0</v>
      </c>
      <c r="T19" s="8"/>
      <c r="U19" s="5" t="str">
        <f t="shared" si="2"/>
        <v>N</v>
      </c>
      <c r="X19" s="56"/>
      <c r="Y19" s="56"/>
      <c r="Z19" s="56"/>
      <c r="AA19" s="56"/>
      <c r="AC19" s="56"/>
    </row>
    <row r="20" spans="1:29" x14ac:dyDescent="0.25">
      <c r="A20" s="35"/>
      <c r="B20" s="5" t="e">
        <f>VLOOKUP(A20,Relay!$A$1:$B$50,2,FALSE)</f>
        <v>#N/A</v>
      </c>
      <c r="C20" s="5" t="e">
        <f>VLOOKUP(A20,Relay!$A$2:$C$51,3,FALSE)</f>
        <v>#N/A</v>
      </c>
      <c r="D20" s="39"/>
      <c r="E20" s="35"/>
      <c r="F20" s="35" t="str">
        <f t="shared" si="0"/>
        <v>INS</v>
      </c>
      <c r="G20" s="5" t="e">
        <f>IF(OR(E20="Jeopardy",E20="APP Moonlighting",E20="Differential Pay"),"",Nov[[#This Row],[SysID]])</f>
        <v>#N/A</v>
      </c>
      <c r="H20" s="5" t="e">
        <f>IF(E20="Jeopardy",IF(C20="MD",Relay!$E$7,Relay!$E$8),IF(C20="MD",IF(COUNTIF(G:G,B20)&gt;1,Relay!$E$2,Relay!$E$1),IF(AND(COUNTIF(G:G,B20)&gt;1,COUNTA(A20)&gt;0),Relay!$E$5,Relay!$E$4)))</f>
        <v>#N/A</v>
      </c>
      <c r="I20" s="8">
        <f t="shared" si="1"/>
        <v>0</v>
      </c>
      <c r="J20" s="35"/>
      <c r="K20" s="35"/>
      <c r="L20" s="35"/>
      <c r="M20" s="35"/>
      <c r="N20" s="10" t="e">
        <f>IF(H20=Nov!$E$2,"N",IF(AND(COUNTIF(B:B,B20)=1,D20&gt;14),"Y","N"))</f>
        <v>#N/A</v>
      </c>
      <c r="O20" s="55" t="str">
        <f>IF(COUNT(Nov[[#This Row],[Date]])&gt;0,IF(Nov[[#This Row],[Date]]&gt;14,"Yes","No"),"N/A")</f>
        <v>N/A</v>
      </c>
      <c r="P20" s="55"/>
      <c r="Q20" s="5">
        <f>Relay!A19</f>
        <v>0</v>
      </c>
      <c r="R20" s="5">
        <f>Relay!B19</f>
        <v>18</v>
      </c>
      <c r="S20" s="8">
        <f>IF(Nov[After the 14th?]="No",SUMIF(Nov[SysID],R20,Nov[Pay Amount]),0)+IF(Oct[After the 14th?]="Yes",SUMIF(Oct[SysID],R20,Oct[Pay Amount]),0)</f>
        <v>0</v>
      </c>
      <c r="T20" s="8"/>
      <c r="U20" s="5" t="str">
        <f t="shared" si="2"/>
        <v>N</v>
      </c>
      <c r="X20" s="56"/>
      <c r="Y20" s="56"/>
      <c r="Z20" s="56"/>
      <c r="AA20" s="56"/>
      <c r="AC20" s="56"/>
    </row>
    <row r="21" spans="1:29" x14ac:dyDescent="0.25">
      <c r="A21" s="35"/>
      <c r="B21" s="5" t="e">
        <f>VLOOKUP(A21,Relay!$A$1:$B$50,2,FALSE)</f>
        <v>#N/A</v>
      </c>
      <c r="C21" s="5" t="e">
        <f>VLOOKUP(A21,Relay!$A$2:$C$51,3,FALSE)</f>
        <v>#N/A</v>
      </c>
      <c r="D21" s="39"/>
      <c r="E21" s="35"/>
      <c r="F21" s="35" t="str">
        <f t="shared" si="0"/>
        <v>INS</v>
      </c>
      <c r="G21" s="5" t="e">
        <f>IF(OR(E21="Jeopardy",E21="APP Moonlighting",E21="Differential Pay"),"",Nov[[#This Row],[SysID]])</f>
        <v>#N/A</v>
      </c>
      <c r="H21" s="5" t="e">
        <f>IF(E21="Jeopardy",IF(C21="MD",Relay!$E$7,Relay!$E$8),IF(C21="MD",IF(COUNTIF(G:G,B21)&gt;1,Relay!$E$2,Relay!$E$1),IF(AND(COUNTIF(G:G,B21)&gt;1,COUNTA(A21)&gt;0),Relay!$E$5,Relay!$E$4)))</f>
        <v>#N/A</v>
      </c>
      <c r="I21" s="8">
        <f t="shared" si="1"/>
        <v>0</v>
      </c>
      <c r="J21" s="35"/>
      <c r="K21" s="35"/>
      <c r="L21" s="35"/>
      <c r="M21" s="35"/>
      <c r="N21" s="10" t="e">
        <f>IF(H21=Nov!$E$2,"N",IF(AND(COUNTIF(B:B,B21)=1,D21&gt;14),"Y","N"))</f>
        <v>#N/A</v>
      </c>
      <c r="O21" s="55" t="str">
        <f>IF(COUNT(Nov[[#This Row],[Date]])&gt;0,IF(Nov[[#This Row],[Date]]&gt;14,"Yes","No"),"N/A")</f>
        <v>N/A</v>
      </c>
      <c r="P21" s="55"/>
      <c r="Q21" s="5">
        <f>Relay!A20</f>
        <v>0</v>
      </c>
      <c r="R21" s="5">
        <f>Relay!B20</f>
        <v>19</v>
      </c>
      <c r="S21" s="8">
        <f>IF(Nov[After the 14th?]="No",SUMIF(Nov[SysID],R21,Nov[Pay Amount]),0)+IF(Oct[After the 14th?]="Yes",SUMIF(Oct[SysID],R21,Oct[Pay Amount]),0)</f>
        <v>0</v>
      </c>
      <c r="T21" s="8"/>
      <c r="U21" s="5" t="str">
        <f t="shared" si="2"/>
        <v>N</v>
      </c>
      <c r="X21" s="56"/>
      <c r="Y21" s="56"/>
      <c r="Z21" s="56"/>
      <c r="AA21" s="56"/>
      <c r="AC21" s="56"/>
    </row>
    <row r="22" spans="1:29" x14ac:dyDescent="0.25">
      <c r="A22" s="35"/>
      <c r="B22" s="5" t="e">
        <f>VLOOKUP(A22,Relay!$A$1:$B$50,2,FALSE)</f>
        <v>#N/A</v>
      </c>
      <c r="C22" s="5" t="e">
        <f>VLOOKUP(A22,Relay!$A$2:$C$51,3,FALSE)</f>
        <v>#N/A</v>
      </c>
      <c r="D22" s="39"/>
      <c r="E22" s="35"/>
      <c r="F22" s="35" t="str">
        <f t="shared" si="0"/>
        <v>INS</v>
      </c>
      <c r="G22" s="5" t="e">
        <f>IF(OR(E22="Jeopardy",E22="APP Moonlighting",E22="Differential Pay"),"",Nov[[#This Row],[SysID]])</f>
        <v>#N/A</v>
      </c>
      <c r="H22" s="5" t="e">
        <f>IF(E22="Jeopardy",IF(C22="MD",Relay!$E$7,Relay!$E$8),IF(C22="MD",IF(COUNTIF(G:G,B22)&gt;1,Relay!$E$2,Relay!$E$1),IF(AND(COUNTIF(G:G,B22)&gt;1,COUNTA(A22)&gt;0),Relay!$E$5,Relay!$E$4)))</f>
        <v>#N/A</v>
      </c>
      <c r="I22" s="8">
        <f t="shared" si="1"/>
        <v>0</v>
      </c>
      <c r="J22" s="35"/>
      <c r="K22" s="35"/>
      <c r="L22" s="35"/>
      <c r="M22" s="35"/>
      <c r="N22" s="10" t="e">
        <f>IF(H22=Nov!$E$2,"N",IF(AND(COUNTIF(B:B,B22)=1,D22&gt;14),"Y","N"))</f>
        <v>#N/A</v>
      </c>
      <c r="O22" s="55" t="str">
        <f>IF(COUNT(Nov[[#This Row],[Date]])&gt;0,IF(Nov[[#This Row],[Date]]&gt;14,"Yes","No"),"N/A")</f>
        <v>N/A</v>
      </c>
      <c r="P22" s="55"/>
      <c r="Q22" s="5">
        <f>Relay!A21</f>
        <v>0</v>
      </c>
      <c r="R22" s="5">
        <f>Relay!B21</f>
        <v>20</v>
      </c>
      <c r="S22" s="8">
        <f>IF(Nov[After the 14th?]="No",SUMIF(Nov[SysID],R22,Nov[Pay Amount]),0)+IF(Oct[After the 14th?]="Yes",SUMIF(Oct[SysID],R22,Oct[Pay Amount]),0)</f>
        <v>0</v>
      </c>
      <c r="T22" s="8"/>
      <c r="U22" s="5" t="str">
        <f t="shared" si="2"/>
        <v>N</v>
      </c>
      <c r="X22" s="56"/>
      <c r="Y22" s="56"/>
      <c r="Z22" s="56"/>
      <c r="AA22" s="56"/>
      <c r="AC22" s="56"/>
    </row>
    <row r="23" spans="1:29" x14ac:dyDescent="0.25">
      <c r="A23" s="35"/>
      <c r="B23" s="5" t="e">
        <f>VLOOKUP(A23,Relay!$A$1:$B$50,2,FALSE)</f>
        <v>#N/A</v>
      </c>
      <c r="C23" s="5" t="e">
        <f>VLOOKUP(A23,Relay!$A$2:$C$51,3,FALSE)</f>
        <v>#N/A</v>
      </c>
      <c r="D23" s="39"/>
      <c r="E23" s="35"/>
      <c r="F23" s="35" t="str">
        <f t="shared" si="0"/>
        <v>INS</v>
      </c>
      <c r="G23" s="5" t="e">
        <f>IF(OR(E23="Jeopardy",E23="APP Moonlighting",E23="Differential Pay"),"",Nov[[#This Row],[SysID]])</f>
        <v>#N/A</v>
      </c>
      <c r="H23" s="5" t="e">
        <f>IF(E23="Jeopardy",IF(C23="MD",Relay!$E$7,Relay!$E$8),IF(C23="MD",IF(COUNTIF(G:G,B23)&gt;1,Relay!$E$2,Relay!$E$1),IF(AND(COUNTIF(G:G,B23)&gt;1,COUNTA(A23)&gt;0),Relay!$E$5,Relay!$E$4)))</f>
        <v>#N/A</v>
      </c>
      <c r="I23" s="8">
        <f t="shared" si="1"/>
        <v>0</v>
      </c>
      <c r="J23" s="35"/>
      <c r="K23" s="35"/>
      <c r="L23" s="35"/>
      <c r="M23" s="35"/>
      <c r="N23" s="10" t="e">
        <f>IF(H23=Nov!$E$2,"N",IF(AND(COUNTIF(B:B,B23)=1,D23&gt;14),"Y","N"))</f>
        <v>#N/A</v>
      </c>
      <c r="O23" s="55" t="str">
        <f>IF(COUNT(Nov[[#This Row],[Date]])&gt;0,IF(Nov[[#This Row],[Date]]&gt;14,"Yes","No"),"N/A")</f>
        <v>N/A</v>
      </c>
      <c r="P23" s="55"/>
      <c r="Q23" s="5">
        <f>Relay!A22</f>
        <v>0</v>
      </c>
      <c r="R23" s="5">
        <f>Relay!B22</f>
        <v>21</v>
      </c>
      <c r="S23" s="8">
        <f>IF(Nov[After the 14th?]="No",SUMIF(Nov[SysID],R23,Nov[Pay Amount]),0)+IF(Oct[After the 14th?]="Yes",SUMIF(Oct[SysID],R23,Oct[Pay Amount]),0)</f>
        <v>0</v>
      </c>
      <c r="T23" s="8"/>
      <c r="U23" s="5" t="str">
        <f t="shared" si="2"/>
        <v>N</v>
      </c>
      <c r="X23" s="56"/>
      <c r="Y23" s="56"/>
      <c r="Z23" s="56"/>
      <c r="AA23" s="56"/>
      <c r="AC23" s="56"/>
    </row>
    <row r="24" spans="1:29" x14ac:dyDescent="0.25">
      <c r="A24" s="35"/>
      <c r="B24" s="5" t="e">
        <f>VLOOKUP(A24,Relay!$A$1:$B$50,2,FALSE)</f>
        <v>#N/A</v>
      </c>
      <c r="C24" s="5" t="e">
        <f>VLOOKUP(A24,Relay!$A$2:$C$51,3,FALSE)</f>
        <v>#N/A</v>
      </c>
      <c r="D24" s="39"/>
      <c r="E24" s="35"/>
      <c r="F24" s="35" t="str">
        <f t="shared" si="0"/>
        <v>INS</v>
      </c>
      <c r="G24" s="5" t="e">
        <f>IF(OR(E24="Jeopardy",E24="APP Moonlighting",E24="Differential Pay"),"",Nov[[#This Row],[SysID]])</f>
        <v>#N/A</v>
      </c>
      <c r="H24" s="5" t="e">
        <f>IF(E24="Jeopardy",IF(C24="MD",Relay!$E$7,Relay!$E$8),IF(C24="MD",IF(COUNTIF(G:G,B24)&gt;1,Relay!$E$2,Relay!$E$1),IF(AND(COUNTIF(G:G,B24)&gt;1,COUNTA(A24)&gt;0),Relay!$E$5,Relay!$E$4)))</f>
        <v>#N/A</v>
      </c>
      <c r="I24" s="8">
        <f t="shared" si="1"/>
        <v>0</v>
      </c>
      <c r="J24" s="35"/>
      <c r="K24" s="35"/>
      <c r="L24" s="35"/>
      <c r="M24" s="35"/>
      <c r="N24" s="10" t="e">
        <f>IF(H24=Nov!$E$2,"N",IF(AND(COUNTIF(B:B,B24)=1,D24&gt;14),"Y","N"))</f>
        <v>#N/A</v>
      </c>
      <c r="O24" s="55" t="str">
        <f>IF(COUNT(Nov[[#This Row],[Date]])&gt;0,IF(Nov[[#This Row],[Date]]&gt;14,"Yes","No"),"N/A")</f>
        <v>N/A</v>
      </c>
      <c r="P24" s="55"/>
      <c r="Q24" s="5">
        <f>Relay!A23</f>
        <v>0</v>
      </c>
      <c r="R24" s="5">
        <f>Relay!B23</f>
        <v>22</v>
      </c>
      <c r="S24" s="8">
        <f>IF(Nov[After the 14th?]="No",SUMIF(Nov[SysID],R24,Nov[Pay Amount]),0)+IF(Oct[After the 14th?]="Yes",SUMIF(Oct[SysID],R24,Oct[Pay Amount]),0)</f>
        <v>0</v>
      </c>
      <c r="T24" s="8"/>
      <c r="U24" s="5" t="str">
        <f t="shared" si="2"/>
        <v>N</v>
      </c>
      <c r="X24" s="56"/>
      <c r="Y24" s="56"/>
      <c r="Z24" s="56"/>
      <c r="AA24" s="56"/>
      <c r="AC24" s="56"/>
    </row>
    <row r="25" spans="1:29" x14ac:dyDescent="0.25">
      <c r="A25" s="35"/>
      <c r="B25" s="5" t="e">
        <f>VLOOKUP(A25,Relay!$A$1:$B$50,2,FALSE)</f>
        <v>#N/A</v>
      </c>
      <c r="C25" s="5" t="e">
        <f>VLOOKUP(A25,Relay!$A$2:$C$51,3,FALSE)</f>
        <v>#N/A</v>
      </c>
      <c r="D25" s="39"/>
      <c r="E25" s="35"/>
      <c r="F25" s="35" t="str">
        <f t="shared" si="0"/>
        <v>INS</v>
      </c>
      <c r="G25" s="5" t="e">
        <f>IF(OR(E25="Jeopardy",E25="APP Moonlighting",E25="Differential Pay"),"",Nov[[#This Row],[SysID]])</f>
        <v>#N/A</v>
      </c>
      <c r="H25" s="5" t="e">
        <f>IF(E25="Jeopardy",IF(C25="MD",Relay!$E$7,Relay!$E$8),IF(C25="MD",IF(COUNTIF(G:G,B25)&gt;1,Relay!$E$2,Relay!$E$1),IF(AND(COUNTIF(G:G,B25)&gt;1,COUNTA(A25)&gt;0),Relay!$E$5,Relay!$E$4)))</f>
        <v>#N/A</v>
      </c>
      <c r="I25" s="8">
        <f t="shared" si="1"/>
        <v>0</v>
      </c>
      <c r="J25" s="35"/>
      <c r="K25" s="35"/>
      <c r="L25" s="35"/>
      <c r="M25" s="35"/>
      <c r="N25" s="10" t="e">
        <f>IF(H25=Nov!$E$2,"N",IF(AND(COUNTIF(B:B,B25)=1,D25&gt;14),"Y","N"))</f>
        <v>#N/A</v>
      </c>
      <c r="O25" s="55" t="str">
        <f>IF(COUNT(Nov[[#This Row],[Date]])&gt;0,IF(Nov[[#This Row],[Date]]&gt;14,"Yes","No"),"N/A")</f>
        <v>N/A</v>
      </c>
      <c r="P25" s="55"/>
      <c r="Q25" s="5">
        <f>Relay!A24</f>
        <v>0</v>
      </c>
      <c r="R25" s="5">
        <f>Relay!B24</f>
        <v>23</v>
      </c>
      <c r="S25" s="8">
        <f>IF(Nov[After the 14th?]="No",SUMIF(Nov[SysID],R25,Nov[Pay Amount]),0)+IF(Oct[After the 14th?]="Yes",SUMIF(Oct[SysID],R25,Oct[Pay Amount]),0)</f>
        <v>0</v>
      </c>
      <c r="T25" s="8"/>
      <c r="U25" s="5" t="str">
        <f t="shared" si="2"/>
        <v>N</v>
      </c>
      <c r="X25" s="56"/>
      <c r="Y25" s="56"/>
      <c r="Z25" s="56"/>
      <c r="AA25" s="56"/>
      <c r="AC25" s="56"/>
    </row>
    <row r="26" spans="1:29" x14ac:dyDescent="0.25">
      <c r="A26" s="35"/>
      <c r="B26" s="5" t="e">
        <f>VLOOKUP(A26,Relay!$A$1:$B$50,2,FALSE)</f>
        <v>#N/A</v>
      </c>
      <c r="C26" s="5" t="e">
        <f>VLOOKUP(A26,Relay!$A$2:$C$51,3,FALSE)</f>
        <v>#N/A</v>
      </c>
      <c r="D26" s="39"/>
      <c r="E26" s="35"/>
      <c r="F26" s="35" t="str">
        <f t="shared" si="0"/>
        <v>INS</v>
      </c>
      <c r="G26" s="5" t="e">
        <f>IF(OR(E26="Jeopardy",E26="APP Moonlighting",E26="Differential Pay"),"",Nov[[#This Row],[SysID]])</f>
        <v>#N/A</v>
      </c>
      <c r="H26" s="5" t="e">
        <f>IF(E26="Jeopardy",IF(C26="MD",Relay!$E$7,Relay!$E$8),IF(C26="MD",IF(COUNTIF(G:G,B26)&gt;1,Relay!$E$2,Relay!$E$1),IF(AND(COUNTIF(G:G,B26)&gt;1,COUNTA(A26)&gt;0),Relay!$E$5,Relay!$E$4)))</f>
        <v>#N/A</v>
      </c>
      <c r="I26" s="8">
        <f t="shared" si="1"/>
        <v>0</v>
      </c>
      <c r="J26" s="35"/>
      <c r="K26" s="35"/>
      <c r="L26" s="35"/>
      <c r="M26" s="35"/>
      <c r="N26" s="10" t="e">
        <f>IF(H26=Nov!$E$2,"N",IF(AND(COUNTIF(B:B,B26)=1,D26&gt;14),"Y","N"))</f>
        <v>#N/A</v>
      </c>
      <c r="O26" s="55" t="str">
        <f>IF(COUNT(Nov[[#This Row],[Date]])&gt;0,IF(Nov[[#This Row],[Date]]&gt;14,"Yes","No"),"N/A")</f>
        <v>N/A</v>
      </c>
      <c r="P26" s="55"/>
      <c r="Q26" s="5">
        <f>Relay!A25</f>
        <v>0</v>
      </c>
      <c r="R26" s="5">
        <f>Relay!B25</f>
        <v>24</v>
      </c>
      <c r="S26" s="8">
        <f>IF(Nov[After the 14th?]="No",SUMIF(Nov[SysID],R26,Nov[Pay Amount]),0)+IF(Oct[After the 14th?]="Yes",SUMIF(Oct[SysID],R26,Oct[Pay Amount]),0)</f>
        <v>0</v>
      </c>
      <c r="T26" s="8"/>
      <c r="U26" s="5" t="str">
        <f t="shared" si="2"/>
        <v>N</v>
      </c>
      <c r="X26" s="56"/>
      <c r="Y26" s="56"/>
      <c r="Z26" s="56"/>
      <c r="AA26" s="56"/>
      <c r="AC26" s="56"/>
    </row>
    <row r="27" spans="1:29" x14ac:dyDescent="0.25">
      <c r="A27" s="35"/>
      <c r="B27" s="5" t="e">
        <f>VLOOKUP(A27,Relay!$A$1:$B$50,2,FALSE)</f>
        <v>#N/A</v>
      </c>
      <c r="C27" s="5" t="e">
        <f>VLOOKUP(A27,Relay!$A$2:$C$51,3,FALSE)</f>
        <v>#N/A</v>
      </c>
      <c r="D27" s="39"/>
      <c r="E27" s="35"/>
      <c r="F27" s="35" t="str">
        <f t="shared" si="0"/>
        <v>INS</v>
      </c>
      <c r="G27" s="5" t="e">
        <f>IF(OR(E27="Jeopardy",E27="APP Moonlighting",E27="Differential Pay"),"",Nov[[#This Row],[SysID]])</f>
        <v>#N/A</v>
      </c>
      <c r="H27" s="5" t="e">
        <f>IF(E27="Jeopardy",IF(C27="MD",Relay!$E$7,Relay!$E$8),IF(C27="MD",IF(COUNTIF(G:G,B27)&gt;1,Relay!$E$2,Relay!$E$1),IF(AND(COUNTIF(G:G,B27)&gt;1,COUNTA(A27)&gt;0),Relay!$E$5,Relay!$E$4)))</f>
        <v>#N/A</v>
      </c>
      <c r="I27" s="8">
        <f t="shared" si="1"/>
        <v>0</v>
      </c>
      <c r="J27" s="35"/>
      <c r="K27" s="35"/>
      <c r="L27" s="35"/>
      <c r="M27" s="35"/>
      <c r="N27" s="10" t="e">
        <f>IF(H27=Nov!$E$2,"N",IF(AND(COUNTIF(B:B,B27)=1,D27&gt;14),"Y","N"))</f>
        <v>#N/A</v>
      </c>
      <c r="O27" s="55" t="str">
        <f>IF(COUNT(Nov[[#This Row],[Date]])&gt;0,IF(Nov[[#This Row],[Date]]&gt;14,"Yes","No"),"N/A")</f>
        <v>N/A</v>
      </c>
      <c r="P27" s="55"/>
      <c r="Q27" s="5">
        <f>Relay!A26</f>
        <v>0</v>
      </c>
      <c r="R27" s="5">
        <f>Relay!B26</f>
        <v>25</v>
      </c>
      <c r="S27" s="8">
        <f>IF(Nov[After the 14th?]="No",SUMIF(Nov[SysID],R27,Nov[Pay Amount]),0)+IF(Oct[After the 14th?]="Yes",SUMIF(Oct[SysID],R27,Oct[Pay Amount]),0)</f>
        <v>0</v>
      </c>
      <c r="T27" s="8"/>
      <c r="U27" s="5" t="str">
        <f t="shared" si="2"/>
        <v>N</v>
      </c>
      <c r="X27" s="56"/>
      <c r="Y27" s="56"/>
      <c r="Z27" s="56"/>
      <c r="AA27" s="56"/>
      <c r="AC27" s="56"/>
    </row>
    <row r="28" spans="1:29" x14ac:dyDescent="0.25">
      <c r="A28" s="35"/>
      <c r="B28" s="5" t="e">
        <f>VLOOKUP(A28,Relay!$A$1:$B$50,2,FALSE)</f>
        <v>#N/A</v>
      </c>
      <c r="C28" s="5" t="e">
        <f>VLOOKUP(A28,Relay!$A$2:$C$51,3,FALSE)</f>
        <v>#N/A</v>
      </c>
      <c r="D28" s="39"/>
      <c r="E28" s="35"/>
      <c r="F28" s="35" t="str">
        <f t="shared" si="0"/>
        <v>INS</v>
      </c>
      <c r="G28" s="5" t="e">
        <f>IF(OR(E28="Jeopardy",E28="APP Moonlighting",E28="Differential Pay"),"",Nov[[#This Row],[SysID]])</f>
        <v>#N/A</v>
      </c>
      <c r="H28" s="5" t="e">
        <f>IF(E28="Jeopardy",IF(C28="MD",Relay!$E$7,Relay!$E$8),IF(C28="MD",IF(COUNTIF(G:G,B28)&gt;1,Relay!$E$2,Relay!$E$1),IF(AND(COUNTIF(G:G,B28)&gt;1,COUNTA(A28)&gt;0),Relay!$E$5,Relay!$E$4)))</f>
        <v>#N/A</v>
      </c>
      <c r="I28" s="8">
        <f t="shared" si="1"/>
        <v>0</v>
      </c>
      <c r="J28" s="35"/>
      <c r="K28" s="35"/>
      <c r="L28" s="35"/>
      <c r="M28" s="35"/>
      <c r="N28" s="10" t="e">
        <f>IF(H28=Nov!$E$2,"N",IF(AND(COUNTIF(B:B,B28)=1,D28&gt;14),"Y","N"))</f>
        <v>#N/A</v>
      </c>
      <c r="O28" s="55" t="str">
        <f>IF(COUNT(Nov[[#This Row],[Date]])&gt;0,IF(Nov[[#This Row],[Date]]&gt;14,"Yes","No"),"N/A")</f>
        <v>N/A</v>
      </c>
      <c r="P28" s="55"/>
      <c r="Q28" s="5">
        <f>Relay!A27</f>
        <v>0</v>
      </c>
      <c r="R28" s="5">
        <f>Relay!B27</f>
        <v>26</v>
      </c>
      <c r="S28" s="8">
        <f>IF(Nov[After the 14th?]="No",SUMIF(Nov[SysID],R28,Nov[Pay Amount]),0)+IF(Oct[After the 14th?]="Yes",SUMIF(Oct[SysID],R28,Oct[Pay Amount]),0)</f>
        <v>0</v>
      </c>
      <c r="T28" s="8"/>
      <c r="U28" s="5" t="str">
        <f t="shared" si="2"/>
        <v>N</v>
      </c>
      <c r="X28" s="56"/>
      <c r="Y28" s="56"/>
      <c r="Z28" s="56"/>
      <c r="AA28" s="56"/>
      <c r="AC28" s="56"/>
    </row>
    <row r="29" spans="1:29" x14ac:dyDescent="0.25">
      <c r="A29" s="35"/>
      <c r="B29" s="5" t="e">
        <f>VLOOKUP(A29,Relay!$A$1:$B$50,2,FALSE)</f>
        <v>#N/A</v>
      </c>
      <c r="C29" s="5" t="e">
        <f>VLOOKUP(A29,Relay!$A$2:$C$51,3,FALSE)</f>
        <v>#N/A</v>
      </c>
      <c r="D29" s="39"/>
      <c r="E29" s="35"/>
      <c r="F29" s="35" t="str">
        <f t="shared" si="0"/>
        <v>INS</v>
      </c>
      <c r="G29" s="5" t="e">
        <f>IF(OR(E29="Jeopardy",E29="APP Moonlighting",E29="Differential Pay"),"",Nov[[#This Row],[SysID]])</f>
        <v>#N/A</v>
      </c>
      <c r="H29" s="5" t="e">
        <f>IF(E29="Jeopardy",IF(C29="MD",Relay!$E$7,Relay!$E$8),IF(C29="MD",IF(COUNTIF(G:G,B29)&gt;1,Relay!$E$2,Relay!$E$1),IF(AND(COUNTIF(G:G,B29)&gt;1,COUNTA(A29)&gt;0),Relay!$E$5,Relay!$E$4)))</f>
        <v>#N/A</v>
      </c>
      <c r="I29" s="8">
        <f t="shared" si="1"/>
        <v>0</v>
      </c>
      <c r="J29" s="35"/>
      <c r="K29" s="35"/>
      <c r="L29" s="35"/>
      <c r="M29" s="35"/>
      <c r="N29" s="10" t="e">
        <f>IF(H29=Nov!$E$2,"N",IF(AND(COUNTIF(B:B,B29)=1,D29&gt;14),"Y","N"))</f>
        <v>#N/A</v>
      </c>
      <c r="O29" s="55" t="str">
        <f>IF(COUNT(Nov[[#This Row],[Date]])&gt;0,IF(Nov[[#This Row],[Date]]&gt;14,"Yes","No"),"N/A")</f>
        <v>N/A</v>
      </c>
      <c r="P29" s="55"/>
      <c r="Q29" s="5">
        <f>Relay!A28</f>
        <v>0</v>
      </c>
      <c r="R29" s="5">
        <f>Relay!B28</f>
        <v>27</v>
      </c>
      <c r="S29" s="8">
        <f>IF(Nov[After the 14th?]="No",SUMIF(Nov[SysID],R29,Nov[Pay Amount]),0)+IF(Oct[After the 14th?]="Yes",SUMIF(Oct[SysID],R29,Oct[Pay Amount]),0)</f>
        <v>0</v>
      </c>
      <c r="T29" s="8"/>
      <c r="U29" s="5" t="str">
        <f t="shared" si="2"/>
        <v>N</v>
      </c>
      <c r="X29" s="56"/>
      <c r="Y29" s="56"/>
      <c r="Z29" s="56"/>
      <c r="AA29" s="56"/>
      <c r="AC29" s="56"/>
    </row>
    <row r="30" spans="1:29" x14ac:dyDescent="0.25">
      <c r="A30" s="35"/>
      <c r="B30" s="5" t="e">
        <f>VLOOKUP(A30,Relay!$A$1:$B$50,2,FALSE)</f>
        <v>#N/A</v>
      </c>
      <c r="C30" s="5" t="e">
        <f>VLOOKUP(A30,Relay!$A$2:$C$51,3,FALSE)</f>
        <v>#N/A</v>
      </c>
      <c r="D30" s="39"/>
      <c r="E30" s="35"/>
      <c r="F30" s="35" t="str">
        <f t="shared" si="0"/>
        <v>INS</v>
      </c>
      <c r="G30" s="5" t="e">
        <f>IF(OR(E30="Jeopardy",E30="APP Moonlighting",E30="Differential Pay"),"",Nov[[#This Row],[SysID]])</f>
        <v>#N/A</v>
      </c>
      <c r="H30" s="5" t="e">
        <f>IF(E30="Jeopardy",IF(C30="MD",Relay!$E$7,Relay!$E$8),IF(C30="MD",IF(COUNTIF(G:G,B30)&gt;1,Relay!$E$2,Relay!$E$1),IF(AND(COUNTIF(G:G,B30)&gt;1,COUNTA(A30)&gt;0),Relay!$E$5,Relay!$E$4)))</f>
        <v>#N/A</v>
      </c>
      <c r="I30" s="8">
        <f t="shared" si="1"/>
        <v>0</v>
      </c>
      <c r="J30" s="35"/>
      <c r="K30" s="35"/>
      <c r="L30" s="35"/>
      <c r="M30" s="35"/>
      <c r="N30" s="10" t="e">
        <f>IF(H30=Nov!$E$2,"N",IF(AND(COUNTIF(B:B,B30)=1,D30&gt;14),"Y","N"))</f>
        <v>#N/A</v>
      </c>
      <c r="O30" s="55" t="str">
        <f>IF(COUNT(Nov[[#This Row],[Date]])&gt;0,IF(Nov[[#This Row],[Date]]&gt;14,"Yes","No"),"N/A")</f>
        <v>N/A</v>
      </c>
      <c r="P30" s="55"/>
      <c r="Q30" s="5">
        <f>Relay!A29</f>
        <v>0</v>
      </c>
      <c r="R30" s="5">
        <f>Relay!B29</f>
        <v>28</v>
      </c>
      <c r="S30" s="8">
        <f>IF(Nov[After the 14th?]="No",SUMIF(Nov[SysID],R30,Nov[Pay Amount]),0)+IF(Oct[After the 14th?]="Yes",SUMIF(Oct[SysID],R30,Oct[Pay Amount]),0)</f>
        <v>0</v>
      </c>
      <c r="T30" s="8"/>
      <c r="U30" s="5" t="str">
        <f t="shared" si="2"/>
        <v>N</v>
      </c>
      <c r="X30" s="56"/>
      <c r="Y30" s="56"/>
      <c r="Z30" s="56"/>
      <c r="AA30" s="56"/>
      <c r="AC30" s="56"/>
    </row>
    <row r="31" spans="1:29" x14ac:dyDescent="0.25">
      <c r="A31" s="35"/>
      <c r="B31" s="5" t="e">
        <f>VLOOKUP(A31,Relay!$A$1:$B$50,2,FALSE)</f>
        <v>#N/A</v>
      </c>
      <c r="C31" s="5" t="e">
        <f>VLOOKUP(A31,Relay!$A$2:$C$51,3,FALSE)</f>
        <v>#N/A</v>
      </c>
      <c r="D31" s="39"/>
      <c r="E31" s="35"/>
      <c r="F31" s="35" t="str">
        <f t="shared" si="0"/>
        <v>INS</v>
      </c>
      <c r="G31" s="5" t="e">
        <f>IF(OR(E31="Jeopardy",E31="APP Moonlighting",E31="Differential Pay"),"",Nov[[#This Row],[SysID]])</f>
        <v>#N/A</v>
      </c>
      <c r="H31" s="5" t="e">
        <f>IF(E31="Jeopardy",IF(C31="MD",Relay!$E$7,Relay!$E$8),IF(C31="MD",IF(COUNTIF(G:G,B31)&gt;1,Relay!$E$2,Relay!$E$1),IF(AND(COUNTIF(G:G,B31)&gt;1,COUNTA(A31)&gt;0),Relay!$E$5,Relay!$E$4)))</f>
        <v>#N/A</v>
      </c>
      <c r="I31" s="8">
        <f t="shared" si="1"/>
        <v>0</v>
      </c>
      <c r="J31" s="35"/>
      <c r="K31" s="35"/>
      <c r="L31" s="35"/>
      <c r="M31" s="35"/>
      <c r="N31" s="10" t="e">
        <f>IF(H31=Nov!$E$2,"N",IF(AND(COUNTIF(B:B,B31)=1,D31&gt;14),"Y","N"))</f>
        <v>#N/A</v>
      </c>
      <c r="O31" s="55" t="str">
        <f>IF(COUNT(Nov[[#This Row],[Date]])&gt;0,IF(Nov[[#This Row],[Date]]&gt;14,"Yes","No"),"N/A")</f>
        <v>N/A</v>
      </c>
      <c r="P31" s="55"/>
      <c r="Q31" s="5">
        <f>Relay!A30</f>
        <v>0</v>
      </c>
      <c r="R31" s="5">
        <f>Relay!B30</f>
        <v>29</v>
      </c>
      <c r="S31" s="8">
        <f>IF(Nov[After the 14th?]="No",SUMIF(Nov[SysID],R31,Nov[Pay Amount]),0)+IF(Oct[After the 14th?]="Yes",SUMIF(Oct[SysID],R31,Oct[Pay Amount]),0)</f>
        <v>0</v>
      </c>
      <c r="T31" s="8"/>
      <c r="U31" s="5" t="str">
        <f t="shared" si="2"/>
        <v>N</v>
      </c>
      <c r="X31" s="56"/>
      <c r="Y31" s="56"/>
      <c r="Z31" s="56"/>
      <c r="AA31" s="56"/>
      <c r="AC31" s="56"/>
    </row>
    <row r="32" spans="1:29" x14ac:dyDescent="0.25">
      <c r="A32" s="35"/>
      <c r="B32" s="5" t="e">
        <f>VLOOKUP(A32,Relay!$A$1:$B$50,2,FALSE)</f>
        <v>#N/A</v>
      </c>
      <c r="C32" s="5" t="e">
        <f>VLOOKUP(A32,Relay!$A$2:$C$51,3,FALSE)</f>
        <v>#N/A</v>
      </c>
      <c r="D32" s="39"/>
      <c r="E32" s="35"/>
      <c r="F32" s="35" t="str">
        <f t="shared" si="0"/>
        <v>INS</v>
      </c>
      <c r="G32" s="5" t="e">
        <f>IF(OR(E32="Jeopardy",E32="APP Moonlighting",E32="Differential Pay"),"",Nov[[#This Row],[SysID]])</f>
        <v>#N/A</v>
      </c>
      <c r="H32" s="5" t="e">
        <f>IF(E32="Jeopardy",IF(C32="MD",Relay!$E$7,Relay!$E$8),IF(C32="MD",IF(COUNTIF(G:G,B32)&gt;1,Relay!$E$2,Relay!$E$1),IF(AND(COUNTIF(G:G,B32)&gt;1,COUNTA(A32)&gt;0),Relay!$E$5,Relay!$E$4)))</f>
        <v>#N/A</v>
      </c>
      <c r="I32" s="8">
        <f t="shared" si="1"/>
        <v>0</v>
      </c>
      <c r="J32" s="35"/>
      <c r="K32" s="35"/>
      <c r="L32" s="35"/>
      <c r="M32" s="35"/>
      <c r="N32" s="10" t="e">
        <f>IF(H32=Nov!$E$2,"N",IF(AND(COUNTIF(B:B,B32)=1,D32&gt;14),"Y","N"))</f>
        <v>#N/A</v>
      </c>
      <c r="O32" s="55" t="str">
        <f>IF(COUNT(Nov[[#This Row],[Date]])&gt;0,IF(Nov[[#This Row],[Date]]&gt;14,"Yes","No"),"N/A")</f>
        <v>N/A</v>
      </c>
      <c r="P32" s="55"/>
      <c r="Q32" s="5">
        <f>Relay!A31</f>
        <v>0</v>
      </c>
      <c r="R32" s="5">
        <f>Relay!B31</f>
        <v>30</v>
      </c>
      <c r="S32" s="8">
        <f>IF(Nov[After the 14th?]="No",SUMIF(Nov[SysID],R32,Nov[Pay Amount]),0)+IF(Oct[After the 14th?]="Yes",SUMIF(Oct[SysID],R32,Oct[Pay Amount]),0)</f>
        <v>0</v>
      </c>
      <c r="T32" s="8"/>
      <c r="U32" s="5" t="str">
        <f t="shared" si="2"/>
        <v>N</v>
      </c>
      <c r="X32" s="56"/>
      <c r="Y32" s="56"/>
      <c r="Z32" s="56"/>
      <c r="AA32" s="56"/>
      <c r="AC32" s="56"/>
    </row>
    <row r="33" spans="1:29" x14ac:dyDescent="0.25">
      <c r="A33" s="35"/>
      <c r="B33" s="5" t="e">
        <f>VLOOKUP(A33,Relay!$A$1:$B$50,2,FALSE)</f>
        <v>#N/A</v>
      </c>
      <c r="C33" s="5" t="e">
        <f>VLOOKUP(A33,Relay!$A$2:$C$51,3,FALSE)</f>
        <v>#N/A</v>
      </c>
      <c r="D33" s="39"/>
      <c r="E33" s="35"/>
      <c r="F33" s="35" t="str">
        <f t="shared" si="0"/>
        <v>INS</v>
      </c>
      <c r="G33" s="5" t="e">
        <f>IF(OR(E33="Jeopardy",E33="APP Moonlighting",E33="Differential Pay"),"",Nov[[#This Row],[SysID]])</f>
        <v>#N/A</v>
      </c>
      <c r="H33" s="5" t="e">
        <f>IF(E33="Jeopardy",IF(C33="MD",Relay!$E$7,Relay!$E$8),IF(C33="MD",IF(COUNTIF(G:G,B33)&gt;1,Relay!$E$2,Relay!$E$1),IF(AND(COUNTIF(G:G,B33)&gt;1,COUNTA(A33)&gt;0),Relay!$E$5,Relay!$E$4)))</f>
        <v>#N/A</v>
      </c>
      <c r="I33" s="8">
        <f t="shared" si="1"/>
        <v>0</v>
      </c>
      <c r="J33" s="35"/>
      <c r="K33" s="35"/>
      <c r="L33" s="35"/>
      <c r="M33" s="35"/>
      <c r="N33" s="10" t="e">
        <f>IF(H33=Nov!$E$2,"N",IF(AND(COUNTIF(B:B,B33)=1,D33&gt;14),"Y","N"))</f>
        <v>#N/A</v>
      </c>
      <c r="O33" s="55" t="str">
        <f>IF(COUNT(Nov[[#This Row],[Date]])&gt;0,IF(Nov[[#This Row],[Date]]&gt;14,"Yes","No"),"N/A")</f>
        <v>N/A</v>
      </c>
      <c r="P33" s="55"/>
      <c r="Q33" s="5">
        <f>Relay!A32</f>
        <v>0</v>
      </c>
      <c r="R33" s="5">
        <f>Relay!B32</f>
        <v>31</v>
      </c>
      <c r="S33" s="8">
        <f>IF(Nov[After the 14th?]="No",SUMIF(Nov[SysID],R33,Nov[Pay Amount]),0)+IF(Oct[After the 14th?]="Yes",SUMIF(Oct[SysID],R33,Oct[Pay Amount]),0)</f>
        <v>0</v>
      </c>
      <c r="T33" s="8"/>
      <c r="U33" s="5" t="str">
        <f t="shared" si="2"/>
        <v>N</v>
      </c>
      <c r="X33" s="56"/>
      <c r="Y33" s="56"/>
      <c r="Z33" s="56"/>
      <c r="AA33" s="56"/>
      <c r="AC33" s="56"/>
    </row>
    <row r="34" spans="1:29" x14ac:dyDescent="0.25">
      <c r="A34" s="35"/>
      <c r="B34" s="5" t="e">
        <f>VLOOKUP(A34,Relay!$A$1:$B$50,2,FALSE)</f>
        <v>#N/A</v>
      </c>
      <c r="C34" s="5" t="e">
        <f>VLOOKUP(A34,Relay!$A$2:$C$51,3,FALSE)</f>
        <v>#N/A</v>
      </c>
      <c r="D34" s="39"/>
      <c r="E34" s="35"/>
      <c r="F34" s="35" t="str">
        <f t="shared" si="0"/>
        <v>INS</v>
      </c>
      <c r="G34" s="5" t="e">
        <f>IF(OR(E34="Jeopardy",E34="APP Moonlighting",E34="Differential Pay"),"",Nov[[#This Row],[SysID]])</f>
        <v>#N/A</v>
      </c>
      <c r="H34" s="5" t="e">
        <f>IF(E34="Jeopardy",IF(C34="MD",Relay!$E$7,Relay!$E$8),IF(C34="MD",IF(COUNTIF(G:G,B34)&gt;1,Relay!$E$2,Relay!$E$1),IF(AND(COUNTIF(G:G,B34)&gt;1,COUNTA(A34)&gt;0),Relay!$E$5,Relay!$E$4)))</f>
        <v>#N/A</v>
      </c>
      <c r="I34" s="8">
        <f t="shared" si="1"/>
        <v>0</v>
      </c>
      <c r="J34" s="35"/>
      <c r="K34" s="35"/>
      <c r="L34" s="35"/>
      <c r="M34" s="35"/>
      <c r="N34" s="10" t="e">
        <f>IF(H34=Nov!$E$2,"N",IF(AND(COUNTIF(B:B,B34)=1,D34&gt;14),"Y","N"))</f>
        <v>#N/A</v>
      </c>
      <c r="O34" s="55" t="str">
        <f>IF(COUNT(Nov[[#This Row],[Date]])&gt;0,IF(Nov[[#This Row],[Date]]&gt;14,"Yes","No"),"N/A")</f>
        <v>N/A</v>
      </c>
      <c r="P34" s="55"/>
      <c r="Q34" s="5">
        <f>Relay!A33</f>
        <v>0</v>
      </c>
      <c r="R34" s="5">
        <f>Relay!B33</f>
        <v>32</v>
      </c>
      <c r="S34" s="8">
        <f>IF(Nov[After the 14th?]="No",SUMIF(Nov[SysID],R34,Nov[Pay Amount]),0)+IF(Oct[After the 14th?]="Yes",SUMIF(Oct[SysID],R34,Oct[Pay Amount]),0)</f>
        <v>0</v>
      </c>
      <c r="T34" s="8"/>
      <c r="U34" s="5" t="str">
        <f t="shared" si="2"/>
        <v>N</v>
      </c>
      <c r="X34" s="56"/>
      <c r="Y34" s="56"/>
      <c r="Z34" s="56"/>
      <c r="AA34" s="56"/>
      <c r="AC34" s="56"/>
    </row>
    <row r="35" spans="1:29" x14ac:dyDescent="0.25">
      <c r="A35" s="35"/>
      <c r="B35" s="5" t="e">
        <f>VLOOKUP(A35,Relay!$A$1:$B$50,2,FALSE)</f>
        <v>#N/A</v>
      </c>
      <c r="C35" s="5" t="e">
        <f>VLOOKUP(A35,Relay!$A$2:$C$51,3,FALSE)</f>
        <v>#N/A</v>
      </c>
      <c r="D35" s="39"/>
      <c r="E35" s="35"/>
      <c r="F35" s="35" t="str">
        <f t="shared" si="0"/>
        <v>INS</v>
      </c>
      <c r="G35" s="5" t="e">
        <f>IF(OR(E35="Jeopardy",E35="APP Moonlighting",E35="Differential Pay"),"",Nov[[#This Row],[SysID]])</f>
        <v>#N/A</v>
      </c>
      <c r="H35" s="5" t="e">
        <f>IF(E35="Jeopardy",IF(C35="MD",Relay!$E$7,Relay!$E$8),IF(C35="MD",IF(COUNTIF(G:G,B35)&gt;1,Relay!$E$2,Relay!$E$1),IF(AND(COUNTIF(G:G,B35)&gt;1,COUNTA(A35)&gt;0),Relay!$E$5,Relay!$E$4)))</f>
        <v>#N/A</v>
      </c>
      <c r="I35" s="8">
        <f t="shared" si="1"/>
        <v>0</v>
      </c>
      <c r="J35" s="35"/>
      <c r="K35" s="35"/>
      <c r="L35" s="35"/>
      <c r="M35" s="35"/>
      <c r="N35" s="10" t="e">
        <f>IF(H35=Nov!$E$2,"N",IF(AND(COUNTIF(B:B,B35)=1,D35&gt;14),"Y","N"))</f>
        <v>#N/A</v>
      </c>
      <c r="O35" s="55" t="str">
        <f>IF(COUNT(Nov[[#This Row],[Date]])&gt;0,IF(Nov[[#This Row],[Date]]&gt;14,"Yes","No"),"N/A")</f>
        <v>N/A</v>
      </c>
      <c r="P35" s="55"/>
      <c r="Q35" s="5">
        <f>Relay!A34</f>
        <v>0</v>
      </c>
      <c r="R35" s="5">
        <f>Relay!B34</f>
        <v>33</v>
      </c>
      <c r="S35" s="8">
        <f>IF(Nov[After the 14th?]="No",SUMIF(Nov[SysID],R35,Nov[Pay Amount]),0)+IF(Oct[After the 14th?]="Yes",SUMIF(Oct[SysID],R35,Oct[Pay Amount]),0)</f>
        <v>0</v>
      </c>
      <c r="T35" s="8"/>
      <c r="U35" s="5" t="str">
        <f t="shared" si="2"/>
        <v>N</v>
      </c>
      <c r="X35" s="56"/>
      <c r="Y35" s="56"/>
      <c r="Z35" s="56"/>
      <c r="AA35" s="56"/>
      <c r="AC35" s="56"/>
    </row>
    <row r="36" spans="1:29" x14ac:dyDescent="0.25">
      <c r="A36" s="35"/>
      <c r="B36" s="5" t="e">
        <f>VLOOKUP(A36,Relay!$A$1:$B$50,2,FALSE)</f>
        <v>#N/A</v>
      </c>
      <c r="C36" s="5" t="e">
        <f>VLOOKUP(A36,Relay!$A$2:$C$51,3,FALSE)</f>
        <v>#N/A</v>
      </c>
      <c r="D36" s="39"/>
      <c r="E36" s="35"/>
      <c r="F36" s="35" t="str">
        <f t="shared" si="0"/>
        <v>INS</v>
      </c>
      <c r="G36" s="5" t="e">
        <f>IF(OR(E36="Jeopardy",E36="APP Moonlighting",E36="Differential Pay"),"",Nov[[#This Row],[SysID]])</f>
        <v>#N/A</v>
      </c>
      <c r="H36" s="5" t="e">
        <f>IF(E36="Jeopardy",IF(C36="MD",Relay!$E$7,Relay!$E$8),IF(C36="MD",IF(COUNTIF(G:G,B36)&gt;1,Relay!$E$2,Relay!$E$1),IF(AND(COUNTIF(G:G,B36)&gt;1,COUNTA(A36)&gt;0),Relay!$E$5,Relay!$E$4)))</f>
        <v>#N/A</v>
      </c>
      <c r="I36" s="8">
        <f t="shared" si="1"/>
        <v>0</v>
      </c>
      <c r="J36" s="35"/>
      <c r="K36" s="35"/>
      <c r="L36" s="35"/>
      <c r="M36" s="35"/>
      <c r="N36" s="10" t="e">
        <f>IF(H36=Nov!$E$2,"N",IF(AND(COUNTIF(B:B,B36)=1,D36&gt;14),"Y","N"))</f>
        <v>#N/A</v>
      </c>
      <c r="O36" s="55" t="str">
        <f>IF(COUNT(Nov[[#This Row],[Date]])&gt;0,IF(Nov[[#This Row],[Date]]&gt;14,"Yes","No"),"N/A")</f>
        <v>N/A</v>
      </c>
      <c r="P36" s="55"/>
      <c r="Q36" s="5">
        <f>Relay!A35</f>
        <v>0</v>
      </c>
      <c r="R36" s="5">
        <f>Relay!B35</f>
        <v>34</v>
      </c>
      <c r="S36" s="8">
        <f>IF(Nov[After the 14th?]="No",SUMIF(Nov[SysID],R36,Nov[Pay Amount]),0)+IF(Oct[After the 14th?]="Yes",SUMIF(Oct[SysID],R36,Oct[Pay Amount]),0)</f>
        <v>0</v>
      </c>
      <c r="T36" s="8"/>
      <c r="U36" s="5" t="str">
        <f t="shared" si="2"/>
        <v>N</v>
      </c>
      <c r="X36" s="56"/>
      <c r="Y36" s="56"/>
      <c r="Z36" s="56"/>
      <c r="AA36" s="56"/>
      <c r="AC36" s="56"/>
    </row>
    <row r="37" spans="1:29" x14ac:dyDescent="0.25">
      <c r="A37" s="35"/>
      <c r="B37" s="5" t="e">
        <f>VLOOKUP(A37,Relay!$A$1:$B$50,2,FALSE)</f>
        <v>#N/A</v>
      </c>
      <c r="C37" s="5" t="e">
        <f>VLOOKUP(A37,Relay!$A$2:$C$51,3,FALSE)</f>
        <v>#N/A</v>
      </c>
      <c r="D37" s="39"/>
      <c r="E37" s="35"/>
      <c r="F37" s="35" t="str">
        <f t="shared" si="0"/>
        <v>INS</v>
      </c>
      <c r="G37" s="5" t="e">
        <f>IF(OR(E37="Jeopardy",E37="APP Moonlighting",E37="Differential Pay"),"",Nov[[#This Row],[SysID]])</f>
        <v>#N/A</v>
      </c>
      <c r="H37" s="5" t="e">
        <f>IF(E37="Jeopardy",IF(C37="MD",Relay!$E$7,Relay!$E$8),IF(C37="MD",IF(COUNTIF(G:G,B37)&gt;1,Relay!$E$2,Relay!$E$1),IF(AND(COUNTIF(G:G,B37)&gt;1,COUNTA(A37)&gt;0),Relay!$E$5,Relay!$E$4)))</f>
        <v>#N/A</v>
      </c>
      <c r="I37" s="8">
        <f t="shared" si="1"/>
        <v>0</v>
      </c>
      <c r="J37" s="35"/>
      <c r="K37" s="35"/>
      <c r="L37" s="35"/>
      <c r="M37" s="35"/>
      <c r="N37" s="10" t="e">
        <f>IF(H37=Nov!$E$2,"N",IF(AND(COUNTIF(B:B,B37)=1,D37&gt;14),"Y","N"))</f>
        <v>#N/A</v>
      </c>
      <c r="O37" s="55" t="str">
        <f>IF(COUNT(Nov[[#This Row],[Date]])&gt;0,IF(Nov[[#This Row],[Date]]&gt;14,"Yes","No"),"N/A")</f>
        <v>N/A</v>
      </c>
      <c r="P37" s="55"/>
      <c r="Q37" s="5">
        <f>Relay!A36</f>
        <v>0</v>
      </c>
      <c r="R37" s="5">
        <f>Relay!B36</f>
        <v>35</v>
      </c>
      <c r="S37" s="8">
        <f>IF(Nov[After the 14th?]="No",SUMIF(Nov[SysID],R37,Nov[Pay Amount]),0)+IF(Oct[After the 14th?]="Yes",SUMIF(Oct[SysID],R37,Oct[Pay Amount]),0)</f>
        <v>0</v>
      </c>
      <c r="T37" s="8"/>
      <c r="U37" s="5" t="str">
        <f t="shared" si="2"/>
        <v>N</v>
      </c>
      <c r="X37" s="56"/>
      <c r="Y37" s="56"/>
      <c r="Z37" s="56"/>
      <c r="AA37" s="56"/>
      <c r="AC37" s="56"/>
    </row>
    <row r="38" spans="1:29" x14ac:dyDescent="0.25">
      <c r="A38" s="35"/>
      <c r="B38" s="5" t="e">
        <f>VLOOKUP(A38,Relay!$A$1:$B$50,2,FALSE)</f>
        <v>#N/A</v>
      </c>
      <c r="C38" s="5" t="e">
        <f>VLOOKUP(A38,Relay!$A$2:$C$51,3,FALSE)</f>
        <v>#N/A</v>
      </c>
      <c r="D38" s="39"/>
      <c r="E38" s="35"/>
      <c r="F38" s="35" t="str">
        <f t="shared" si="0"/>
        <v>INS</v>
      </c>
      <c r="G38" s="5" t="e">
        <f>IF(OR(E38="Jeopardy",E38="APP Moonlighting",E38="Differential Pay"),"",Nov[[#This Row],[SysID]])</f>
        <v>#N/A</v>
      </c>
      <c r="H38" s="5" t="e">
        <f>IF(E38="Jeopardy",IF(C38="MD",Relay!$E$7,Relay!$E$8),IF(C38="MD",IF(COUNTIF(G:G,B38)&gt;1,Relay!$E$2,Relay!$E$1),IF(AND(COUNTIF(G:G,B38)&gt;1,COUNTA(A38)&gt;0),Relay!$E$5,Relay!$E$4)))</f>
        <v>#N/A</v>
      </c>
      <c r="I38" s="8">
        <f t="shared" si="1"/>
        <v>0</v>
      </c>
      <c r="J38" s="35"/>
      <c r="K38" s="35"/>
      <c r="L38" s="35"/>
      <c r="M38" s="35"/>
      <c r="N38" s="10" t="e">
        <f>IF(H38=Nov!$E$2,"N",IF(AND(COUNTIF(B:B,B38)=1,D38&gt;14),"Y","N"))</f>
        <v>#N/A</v>
      </c>
      <c r="O38" s="55" t="str">
        <f>IF(COUNT(Nov[[#This Row],[Date]])&gt;0,IF(Nov[[#This Row],[Date]]&gt;14,"Yes","No"),"N/A")</f>
        <v>N/A</v>
      </c>
      <c r="P38" s="55"/>
      <c r="Q38" s="5">
        <f>Relay!A37</f>
        <v>0</v>
      </c>
      <c r="R38" s="5">
        <f>Relay!B37</f>
        <v>36</v>
      </c>
      <c r="S38" s="8">
        <f>IF(Nov[After the 14th?]="No",SUMIF(Nov[SysID],R38,Nov[Pay Amount]),0)+IF(Oct[After the 14th?]="Yes",SUMIF(Oct[SysID],R38,Oct[Pay Amount]),0)</f>
        <v>0</v>
      </c>
      <c r="T38" s="8"/>
      <c r="U38" s="5" t="str">
        <f t="shared" si="2"/>
        <v>N</v>
      </c>
      <c r="X38" s="56"/>
      <c r="Y38" s="56"/>
      <c r="Z38" s="56"/>
      <c r="AA38" s="56"/>
      <c r="AC38" s="56"/>
    </row>
    <row r="39" spans="1:29" x14ac:dyDescent="0.25">
      <c r="A39" s="35"/>
      <c r="B39" s="5" t="e">
        <f>VLOOKUP(A39,Relay!$A$1:$B$50,2,FALSE)</f>
        <v>#N/A</v>
      </c>
      <c r="C39" s="5" t="e">
        <f>VLOOKUP(A39,Relay!$A$2:$C$51,3,FALSE)</f>
        <v>#N/A</v>
      </c>
      <c r="D39" s="39"/>
      <c r="E39" s="35"/>
      <c r="F39" s="35" t="str">
        <f t="shared" si="0"/>
        <v>INS</v>
      </c>
      <c r="G39" s="5" t="e">
        <f>IF(OR(E39="Jeopardy",E39="APP Moonlighting",E39="Differential Pay"),"",Nov[[#This Row],[SysID]])</f>
        <v>#N/A</v>
      </c>
      <c r="H39" s="5" t="e">
        <f>IF(E39="Jeopardy",IF(C39="MD",Relay!$E$7,Relay!$E$8),IF(C39="MD",IF(COUNTIF(G:G,B39)&gt;1,Relay!$E$2,Relay!$E$1),IF(AND(COUNTIF(G:G,B39)&gt;1,COUNTA(A39)&gt;0),Relay!$E$5,Relay!$E$4)))</f>
        <v>#N/A</v>
      </c>
      <c r="I39" s="8">
        <f t="shared" si="1"/>
        <v>0</v>
      </c>
      <c r="J39" s="35"/>
      <c r="K39" s="35"/>
      <c r="L39" s="35"/>
      <c r="M39" s="35"/>
      <c r="N39" s="10" t="e">
        <f>IF(H39=Nov!$E$2,"N",IF(AND(COUNTIF(B:B,B39)=1,D39&gt;14),"Y","N"))</f>
        <v>#N/A</v>
      </c>
      <c r="O39" s="55" t="str">
        <f>IF(COUNT(Nov[[#This Row],[Date]])&gt;0,IF(Nov[[#This Row],[Date]]&gt;14,"Yes","No"),"N/A")</f>
        <v>N/A</v>
      </c>
      <c r="P39" s="55"/>
      <c r="Q39" s="5">
        <f>Relay!A38</f>
        <v>0</v>
      </c>
      <c r="R39" s="5">
        <f>Relay!B38</f>
        <v>37</v>
      </c>
      <c r="S39" s="8">
        <f>IF(Nov[After the 14th?]="No",SUMIF(Nov[SysID],R39,Nov[Pay Amount]),0)+IF(Oct[After the 14th?]="Yes",SUMIF(Oct[SysID],R39,Oct[Pay Amount]),0)</f>
        <v>0</v>
      </c>
      <c r="T39" s="8"/>
      <c r="U39" s="5" t="str">
        <f t="shared" si="2"/>
        <v>N</v>
      </c>
      <c r="X39" s="56"/>
      <c r="Y39" s="56"/>
      <c r="Z39" s="56"/>
      <c r="AA39" s="56"/>
      <c r="AC39" s="56"/>
    </row>
    <row r="40" spans="1:29" x14ac:dyDescent="0.25">
      <c r="A40" s="35"/>
      <c r="B40" s="5" t="e">
        <f>VLOOKUP(A40,Relay!$A$1:$B$50,2,FALSE)</f>
        <v>#N/A</v>
      </c>
      <c r="C40" s="5" t="e">
        <f>VLOOKUP(A40,Relay!$A$2:$C$51,3,FALSE)</f>
        <v>#N/A</v>
      </c>
      <c r="D40" s="39"/>
      <c r="E40" s="35"/>
      <c r="F40" s="35" t="str">
        <f t="shared" si="0"/>
        <v>INS</v>
      </c>
      <c r="G40" s="5" t="e">
        <f>IF(OR(E40="Jeopardy",E40="APP Moonlighting",E40="Differential Pay"),"",Nov[[#This Row],[SysID]])</f>
        <v>#N/A</v>
      </c>
      <c r="H40" s="5" t="e">
        <f>IF(E40="Jeopardy",IF(C40="MD",Relay!$E$7,Relay!$E$8),IF(C40="MD",IF(COUNTIF(G:G,B40)&gt;1,Relay!$E$2,Relay!$E$1),IF(AND(COUNTIF(G:G,B40)&gt;1,COUNTA(A40)&gt;0),Relay!$E$5,Relay!$E$4)))</f>
        <v>#N/A</v>
      </c>
      <c r="I40" s="8">
        <f t="shared" si="1"/>
        <v>0</v>
      </c>
      <c r="J40" s="35"/>
      <c r="K40" s="35"/>
      <c r="L40" s="35"/>
      <c r="M40" s="35"/>
      <c r="N40" s="10" t="e">
        <f>IF(H40=Nov!$E$2,"N",IF(AND(COUNTIF(B:B,B40)=1,D40&gt;14),"Y","N"))</f>
        <v>#N/A</v>
      </c>
      <c r="O40" s="55" t="str">
        <f>IF(COUNT(Nov[[#This Row],[Date]])&gt;0,IF(Nov[[#This Row],[Date]]&gt;14,"Yes","No"),"N/A")</f>
        <v>N/A</v>
      </c>
      <c r="P40" s="55"/>
      <c r="Q40" s="5">
        <f>Relay!A39</f>
        <v>0</v>
      </c>
      <c r="R40" s="5">
        <f>Relay!B39</f>
        <v>38</v>
      </c>
      <c r="S40" s="8">
        <f>IF(Nov[After the 14th?]="No",SUMIF(Nov[SysID],R40,Nov[Pay Amount]),0)+IF(Oct[After the 14th?]="Yes",SUMIF(Oct[SysID],R40,Oct[Pay Amount]),0)</f>
        <v>0</v>
      </c>
      <c r="T40" s="8"/>
      <c r="U40" s="5" t="str">
        <f t="shared" si="2"/>
        <v>N</v>
      </c>
      <c r="X40" s="56"/>
      <c r="Y40" s="56"/>
      <c r="Z40" s="56"/>
      <c r="AA40" s="56"/>
      <c r="AC40" s="56"/>
    </row>
    <row r="41" spans="1:29" x14ac:dyDescent="0.25">
      <c r="A41" s="35"/>
      <c r="B41" s="5" t="e">
        <f>VLOOKUP(A41,Relay!$A$1:$B$50,2,FALSE)</f>
        <v>#N/A</v>
      </c>
      <c r="C41" s="5" t="e">
        <f>VLOOKUP(A41,Relay!$A$2:$C$51,3,FALSE)</f>
        <v>#N/A</v>
      </c>
      <c r="D41" s="39"/>
      <c r="E41" s="35"/>
      <c r="F41" s="35" t="str">
        <f t="shared" si="0"/>
        <v>INS</v>
      </c>
      <c r="G41" s="5" t="e">
        <f>IF(OR(E41="Jeopardy",E41="APP Moonlighting",E41="Differential Pay"),"",Nov[[#This Row],[SysID]])</f>
        <v>#N/A</v>
      </c>
      <c r="H41" s="5" t="e">
        <f>IF(E41="Jeopardy",IF(C41="MD",Relay!$E$7,Relay!$E$8),IF(C41="MD",IF(COUNTIF(G:G,B41)&gt;1,Relay!$E$2,Relay!$E$1),IF(AND(COUNTIF(G:G,B41)&gt;1,COUNTA(A41)&gt;0),Relay!$E$5,Relay!$E$4)))</f>
        <v>#N/A</v>
      </c>
      <c r="I41" s="8">
        <f t="shared" si="1"/>
        <v>0</v>
      </c>
      <c r="J41" s="35"/>
      <c r="K41" s="35"/>
      <c r="L41" s="35"/>
      <c r="M41" s="35"/>
      <c r="N41" s="10" t="e">
        <f>IF(H41=Nov!$E$2,"N",IF(AND(COUNTIF(B:B,B41)=1,D41&gt;14),"Y","N"))</f>
        <v>#N/A</v>
      </c>
      <c r="O41" s="55" t="str">
        <f>IF(COUNT(Nov[[#This Row],[Date]])&gt;0,IF(Nov[[#This Row],[Date]]&gt;14,"Yes","No"),"N/A")</f>
        <v>N/A</v>
      </c>
      <c r="P41" s="55"/>
      <c r="Q41" s="5">
        <f>Relay!A40</f>
        <v>0</v>
      </c>
      <c r="R41" s="5">
        <f>Relay!B40</f>
        <v>39</v>
      </c>
      <c r="S41" s="8">
        <f>IF(Nov[After the 14th?]="No",SUMIF(Nov[SysID],R41,Nov[Pay Amount]),0)+IF(Oct[After the 14th?]="Yes",SUMIF(Oct[SysID],R41,Oct[Pay Amount]),0)</f>
        <v>0</v>
      </c>
      <c r="T41" s="8"/>
      <c r="U41" s="5" t="str">
        <f t="shared" si="2"/>
        <v>N</v>
      </c>
      <c r="X41" s="56"/>
      <c r="Y41" s="56"/>
      <c r="Z41" s="56"/>
      <c r="AA41" s="56"/>
      <c r="AC41" s="56"/>
    </row>
    <row r="42" spans="1:29" x14ac:dyDescent="0.25">
      <c r="A42" s="35"/>
      <c r="B42" s="5" t="e">
        <f>VLOOKUP(A42,Relay!$A$1:$B$50,2,FALSE)</f>
        <v>#N/A</v>
      </c>
      <c r="C42" s="5" t="e">
        <f>VLOOKUP(A42,Relay!$A$2:$C$51,3,FALSE)</f>
        <v>#N/A</v>
      </c>
      <c r="D42" s="39"/>
      <c r="E42" s="35"/>
      <c r="F42" s="35" t="str">
        <f t="shared" si="0"/>
        <v>INS</v>
      </c>
      <c r="G42" s="5" t="e">
        <f>IF(OR(E42="Jeopardy",E42="APP Moonlighting",E42="Differential Pay"),"",Nov[[#This Row],[SysID]])</f>
        <v>#N/A</v>
      </c>
      <c r="H42" s="5" t="e">
        <f>IF(E42="Jeopardy",IF(C42="MD",Relay!$E$7,Relay!$E$8),IF(C42="MD",IF(COUNTIF(G:G,B42)&gt;1,Relay!$E$2,Relay!$E$1),IF(AND(COUNTIF(G:G,B42)&gt;1,COUNTA(A42)&gt;0),Relay!$E$5,Relay!$E$4)))</f>
        <v>#N/A</v>
      </c>
      <c r="I42" s="8">
        <f t="shared" si="1"/>
        <v>0</v>
      </c>
      <c r="J42" s="35"/>
      <c r="K42" s="35"/>
      <c r="L42" s="35"/>
      <c r="M42" s="35"/>
      <c r="N42" s="10" t="e">
        <f>IF(H42=Nov!$E$2,"N",IF(AND(COUNTIF(B:B,B42)=1,D42&gt;14),"Y","N"))</f>
        <v>#N/A</v>
      </c>
      <c r="O42" s="55" t="str">
        <f>IF(COUNT(Nov[[#This Row],[Date]])&gt;0,IF(Nov[[#This Row],[Date]]&gt;14,"Yes","No"),"N/A")</f>
        <v>N/A</v>
      </c>
      <c r="P42" s="55"/>
      <c r="Q42" s="5">
        <f>Relay!A41</f>
        <v>0</v>
      </c>
      <c r="R42" s="5">
        <f>Relay!B41</f>
        <v>40</v>
      </c>
      <c r="S42" s="8">
        <f>IF(Nov[After the 14th?]="No",SUMIF(Nov[SysID],R42,Nov[Pay Amount]),0)+IF(Oct[After the 14th?]="Yes",SUMIF(Oct[SysID],R42,Oct[Pay Amount]),0)</f>
        <v>0</v>
      </c>
      <c r="T42" s="8"/>
      <c r="U42" s="5" t="str">
        <f t="shared" si="2"/>
        <v>N</v>
      </c>
      <c r="X42" s="56"/>
      <c r="Y42" s="56"/>
      <c r="Z42" s="56"/>
      <c r="AA42" s="56"/>
      <c r="AC42" s="56"/>
    </row>
    <row r="43" spans="1:29" x14ac:dyDescent="0.25">
      <c r="A43" s="35"/>
      <c r="B43" s="5" t="e">
        <f>VLOOKUP(A43,Relay!$A$1:$B$50,2,FALSE)</f>
        <v>#N/A</v>
      </c>
      <c r="C43" s="5" t="e">
        <f>VLOOKUP(A43,Relay!$A$2:$C$51,3,FALSE)</f>
        <v>#N/A</v>
      </c>
      <c r="D43" s="39"/>
      <c r="E43" s="35"/>
      <c r="F43" s="35" t="str">
        <f t="shared" si="0"/>
        <v>INS</v>
      </c>
      <c r="G43" s="5" t="e">
        <f>IF(OR(E43="Jeopardy",E43="APP Moonlighting",E43="Differential Pay"),"",Nov[[#This Row],[SysID]])</f>
        <v>#N/A</v>
      </c>
      <c r="H43" s="5" t="e">
        <f>IF(E43="Jeopardy",IF(C43="MD",Relay!$E$7,Relay!$E$8),IF(C43="MD",IF(COUNTIF(G:G,B43)&gt;1,Relay!$E$2,Relay!$E$1),IF(AND(COUNTIF(G:G,B43)&gt;1,COUNTA(A43)&gt;0),Relay!$E$5,Relay!$E$4)))</f>
        <v>#N/A</v>
      </c>
      <c r="I43" s="8">
        <f t="shared" si="1"/>
        <v>0</v>
      </c>
      <c r="J43" s="35"/>
      <c r="K43" s="35"/>
      <c r="L43" s="35"/>
      <c r="M43" s="35"/>
      <c r="N43" s="10" t="e">
        <f>IF(H43=Nov!$E$2,"N",IF(AND(COUNTIF(B:B,B43)=1,D43&gt;14),"Y","N"))</f>
        <v>#N/A</v>
      </c>
      <c r="O43" s="55" t="str">
        <f>IF(COUNT(Nov[[#This Row],[Date]])&gt;0,IF(Nov[[#This Row],[Date]]&gt;14,"Yes","No"),"N/A")</f>
        <v>N/A</v>
      </c>
      <c r="P43" s="55"/>
      <c r="Q43" s="5">
        <f>Relay!A42</f>
        <v>0</v>
      </c>
      <c r="R43" s="5">
        <f>Relay!B42</f>
        <v>41</v>
      </c>
      <c r="S43" s="8">
        <f>IF(Nov[After the 14th?]="No",SUMIF(Nov[SysID],R43,Nov[Pay Amount]),0)+IF(Oct[After the 14th?]="Yes",SUMIF(Oct[SysID],R43,Oct[Pay Amount]),0)</f>
        <v>0</v>
      </c>
      <c r="T43" s="8"/>
      <c r="U43" s="5" t="str">
        <f t="shared" si="2"/>
        <v>N</v>
      </c>
      <c r="X43" s="56"/>
      <c r="Y43" s="56"/>
      <c r="Z43" s="56"/>
      <c r="AA43" s="56"/>
      <c r="AC43" s="56"/>
    </row>
    <row r="44" spans="1:29" x14ac:dyDescent="0.25">
      <c r="A44" s="35"/>
      <c r="B44" s="5" t="e">
        <f>VLOOKUP(A44,Relay!$A$1:$B$50,2,FALSE)</f>
        <v>#N/A</v>
      </c>
      <c r="C44" s="5" t="e">
        <f>VLOOKUP(A44,Relay!$A$2:$C$51,3,FALSE)</f>
        <v>#N/A</v>
      </c>
      <c r="D44" s="39"/>
      <c r="E44" s="35"/>
      <c r="F44" s="35" t="str">
        <f t="shared" si="0"/>
        <v>INS</v>
      </c>
      <c r="G44" s="5" t="e">
        <f>IF(OR(E44="Jeopardy",E44="APP Moonlighting",E44="Differential Pay"),"",Nov[[#This Row],[SysID]])</f>
        <v>#N/A</v>
      </c>
      <c r="H44" s="5" t="e">
        <f>IF(E44="Jeopardy",IF(C44="MD",Relay!$E$7,Relay!$E$8),IF(C44="MD",IF(COUNTIF(G:G,B44)&gt;1,Relay!$E$2,Relay!$E$1),IF(AND(COUNTIF(G:G,B44)&gt;1,COUNTA(A44)&gt;0),Relay!$E$5,Relay!$E$4)))</f>
        <v>#N/A</v>
      </c>
      <c r="I44" s="8">
        <f t="shared" si="1"/>
        <v>0</v>
      </c>
      <c r="J44" s="35"/>
      <c r="K44" s="35"/>
      <c r="L44" s="35"/>
      <c r="M44" s="35"/>
      <c r="N44" s="10" t="e">
        <f>IF(H44=Nov!$E$2,"N",IF(AND(COUNTIF(B:B,B44)=1,D44&gt;14),"Y","N"))</f>
        <v>#N/A</v>
      </c>
      <c r="O44" s="55" t="str">
        <f>IF(COUNT(Nov[[#This Row],[Date]])&gt;0,IF(Nov[[#This Row],[Date]]&gt;14,"Yes","No"),"N/A")</f>
        <v>N/A</v>
      </c>
      <c r="P44" s="55"/>
      <c r="Q44" s="5">
        <f>Relay!A43</f>
        <v>0</v>
      </c>
      <c r="R44" s="5">
        <f>Relay!B43</f>
        <v>42</v>
      </c>
      <c r="S44" s="8">
        <f>IF(Nov[After the 14th?]="No",SUMIF(Nov[SysID],R44,Nov[Pay Amount]),0)+IF(Oct[After the 14th?]="Yes",SUMIF(Oct[SysID],R44,Oct[Pay Amount]),0)</f>
        <v>0</v>
      </c>
      <c r="T44" s="8"/>
      <c r="U44" s="5" t="str">
        <f t="shared" si="2"/>
        <v>N</v>
      </c>
      <c r="X44" s="56"/>
      <c r="Y44" s="56"/>
      <c r="Z44" s="56"/>
      <c r="AA44" s="56"/>
      <c r="AC44" s="56"/>
    </row>
    <row r="45" spans="1:29" x14ac:dyDescent="0.25">
      <c r="A45" s="35"/>
      <c r="B45" s="5" t="e">
        <f>VLOOKUP(A45,Relay!$A$1:$B$50,2,FALSE)</f>
        <v>#N/A</v>
      </c>
      <c r="C45" s="5" t="e">
        <f>VLOOKUP(A45,Relay!$A$2:$C$51,3,FALSE)</f>
        <v>#N/A</v>
      </c>
      <c r="D45" s="39"/>
      <c r="E45" s="35"/>
      <c r="F45" s="35" t="str">
        <f t="shared" si="0"/>
        <v>INS</v>
      </c>
      <c r="G45" s="5" t="e">
        <f>IF(OR(E45="Jeopardy",E45="APP Moonlighting",E45="Differential Pay"),"",Nov[[#This Row],[SysID]])</f>
        <v>#N/A</v>
      </c>
      <c r="H45" s="5" t="e">
        <f>IF(E45="Jeopardy",IF(C45="MD",Relay!$E$7,Relay!$E$8),IF(C45="MD",IF(COUNTIF(G:G,B45)&gt;1,Relay!$E$2,Relay!$E$1),IF(AND(COUNTIF(G:G,B45)&gt;1,COUNTA(A45)&gt;0),Relay!$E$5,Relay!$E$4)))</f>
        <v>#N/A</v>
      </c>
      <c r="I45" s="8">
        <f t="shared" si="1"/>
        <v>0</v>
      </c>
      <c r="J45" s="35"/>
      <c r="K45" s="35"/>
      <c r="L45" s="35"/>
      <c r="M45" s="35"/>
      <c r="N45" s="10" t="e">
        <f>IF(H45=Nov!$E$2,"N",IF(AND(COUNTIF(B:B,B45)=1,D45&gt;14),"Y","N"))</f>
        <v>#N/A</v>
      </c>
      <c r="O45" s="55" t="str">
        <f>IF(COUNT(Nov[[#This Row],[Date]])&gt;0,IF(Nov[[#This Row],[Date]]&gt;14,"Yes","No"),"N/A")</f>
        <v>N/A</v>
      </c>
      <c r="P45" s="55"/>
      <c r="Q45" s="5">
        <f>Relay!A44</f>
        <v>0</v>
      </c>
      <c r="R45" s="5">
        <f>Relay!B44</f>
        <v>43</v>
      </c>
      <c r="S45" s="8">
        <f>IF(Nov[After the 14th?]="No",SUMIF(Nov[SysID],R45,Nov[Pay Amount]),0)+IF(Oct[After the 14th?]="Yes",SUMIF(Oct[SysID],R45,Oct[Pay Amount]),0)</f>
        <v>0</v>
      </c>
      <c r="T45" s="8"/>
      <c r="U45" s="5" t="str">
        <f t="shared" si="2"/>
        <v>N</v>
      </c>
      <c r="X45" s="56"/>
      <c r="Y45" s="56"/>
      <c r="Z45" s="56"/>
      <c r="AA45" s="56"/>
      <c r="AC45" s="56"/>
    </row>
    <row r="46" spans="1:29" x14ac:dyDescent="0.25">
      <c r="A46" s="35"/>
      <c r="B46" s="5" t="e">
        <f>VLOOKUP(A46,Relay!$A$1:$B$50,2,FALSE)</f>
        <v>#N/A</v>
      </c>
      <c r="C46" s="5" t="e">
        <f>VLOOKUP(A46,Relay!$A$2:$C$51,3,FALSE)</f>
        <v>#N/A</v>
      </c>
      <c r="D46" s="39"/>
      <c r="E46" s="35"/>
      <c r="F46" s="35" t="str">
        <f t="shared" si="0"/>
        <v>INS</v>
      </c>
      <c r="G46" s="5" t="e">
        <f>IF(OR(E46="Jeopardy",E46="APP Moonlighting",E46="Differential Pay"),"",Nov[[#This Row],[SysID]])</f>
        <v>#N/A</v>
      </c>
      <c r="H46" s="5" t="e">
        <f>IF(E46="Jeopardy",IF(C46="MD",Relay!$E$7,Relay!$E$8),IF(C46="MD",IF(COUNTIF(G:G,B46)&gt;1,Relay!$E$2,Relay!$E$1),IF(AND(COUNTIF(G:G,B46)&gt;1,COUNTA(A46)&gt;0),Relay!$E$5,Relay!$E$4)))</f>
        <v>#N/A</v>
      </c>
      <c r="I46" s="8">
        <f t="shared" si="1"/>
        <v>0</v>
      </c>
      <c r="J46" s="35"/>
      <c r="K46" s="35"/>
      <c r="L46" s="35"/>
      <c r="M46" s="35"/>
      <c r="N46" s="10" t="e">
        <f>IF(H46=Nov!$E$2,"N",IF(AND(COUNTIF(B:B,B46)=1,D46&gt;14),"Y","N"))</f>
        <v>#N/A</v>
      </c>
      <c r="O46" s="55" t="str">
        <f>IF(COUNT(Nov[[#This Row],[Date]])&gt;0,IF(Nov[[#This Row],[Date]]&gt;14,"Yes","No"),"N/A")</f>
        <v>N/A</v>
      </c>
      <c r="P46" s="55"/>
      <c r="Q46" s="5">
        <f>Relay!A45</f>
        <v>0</v>
      </c>
      <c r="R46" s="5">
        <f>Relay!B45</f>
        <v>44</v>
      </c>
      <c r="S46" s="8">
        <f>IF(Nov[After the 14th?]="No",SUMIF(Nov[SysID],R46,Nov[Pay Amount]),0)+IF(Oct[After the 14th?]="Yes",SUMIF(Oct[SysID],R46,Oct[Pay Amount]),0)</f>
        <v>0</v>
      </c>
      <c r="T46" s="8"/>
      <c r="U46" s="5" t="str">
        <f t="shared" si="2"/>
        <v>N</v>
      </c>
      <c r="X46" s="56"/>
      <c r="Y46" s="56"/>
      <c r="Z46" s="56"/>
      <c r="AA46" s="56"/>
      <c r="AC46" s="56"/>
    </row>
    <row r="47" spans="1:29" x14ac:dyDescent="0.25">
      <c r="A47" s="35"/>
      <c r="B47" s="5" t="e">
        <f>VLOOKUP(A47,Relay!$A$1:$B$50,2,FALSE)</f>
        <v>#N/A</v>
      </c>
      <c r="C47" s="5" t="e">
        <f>VLOOKUP(A47,Relay!$A$2:$C$51,3,FALSE)</f>
        <v>#N/A</v>
      </c>
      <c r="D47" s="39"/>
      <c r="E47" s="35"/>
      <c r="F47" s="35" t="str">
        <f t="shared" si="0"/>
        <v>INS</v>
      </c>
      <c r="G47" s="5" t="e">
        <f>IF(OR(E47="Jeopardy",E47="APP Moonlighting",E47="Differential Pay"),"",Nov[[#This Row],[SysID]])</f>
        <v>#N/A</v>
      </c>
      <c r="H47" s="5" t="e">
        <f>IF(E47="Jeopardy",IF(C47="MD",Relay!$E$7,Relay!$E$8),IF(C47="MD",IF(COUNTIF(G:G,B47)&gt;1,Relay!$E$2,Relay!$E$1),IF(AND(COUNTIF(G:G,B47)&gt;1,COUNTA(A47)&gt;0),Relay!$E$5,Relay!$E$4)))</f>
        <v>#N/A</v>
      </c>
      <c r="I47" s="8">
        <f t="shared" si="1"/>
        <v>0</v>
      </c>
      <c r="J47" s="35"/>
      <c r="K47" s="35"/>
      <c r="L47" s="35"/>
      <c r="M47" s="35"/>
      <c r="N47" s="10" t="e">
        <f>IF(H47=Nov!$E$2,"N",IF(AND(COUNTIF(B:B,B47)=1,D47&gt;14),"Y","N"))</f>
        <v>#N/A</v>
      </c>
      <c r="O47" s="55" t="str">
        <f>IF(COUNT(Nov[[#This Row],[Date]])&gt;0,IF(Nov[[#This Row],[Date]]&gt;14,"Yes","No"),"N/A")</f>
        <v>N/A</v>
      </c>
      <c r="P47" s="55"/>
      <c r="Q47" s="5">
        <f>Relay!A46</f>
        <v>0</v>
      </c>
      <c r="R47" s="5">
        <f>Relay!B46</f>
        <v>45</v>
      </c>
      <c r="S47" s="8">
        <f>IF(Nov[After the 14th?]="No",SUMIF(Nov[SysID],R47,Nov[Pay Amount]),0)+IF(Oct[After the 14th?]="Yes",SUMIF(Oct[SysID],R47,Oct[Pay Amount]),0)</f>
        <v>0</v>
      </c>
      <c r="T47" s="8"/>
      <c r="U47" s="5" t="str">
        <f t="shared" si="2"/>
        <v>N</v>
      </c>
      <c r="X47" s="56"/>
      <c r="Y47" s="56"/>
      <c r="Z47" s="56"/>
      <c r="AA47" s="56"/>
      <c r="AC47" s="56"/>
    </row>
    <row r="48" spans="1:29" x14ac:dyDescent="0.25">
      <c r="A48" s="35"/>
      <c r="B48" s="5" t="e">
        <f>VLOOKUP(A48,Relay!$A$1:$B$50,2,FALSE)</f>
        <v>#N/A</v>
      </c>
      <c r="C48" s="5" t="e">
        <f>VLOOKUP(A48,Relay!$A$2:$C$51,3,FALSE)</f>
        <v>#N/A</v>
      </c>
      <c r="D48" s="39"/>
      <c r="E48" s="35"/>
      <c r="F48" s="35" t="str">
        <f t="shared" si="0"/>
        <v>INS</v>
      </c>
      <c r="G48" s="5" t="e">
        <f>IF(OR(E48="Jeopardy",E48="APP Moonlighting",E48="Differential Pay"),"",Nov[[#This Row],[SysID]])</f>
        <v>#N/A</v>
      </c>
      <c r="H48" s="5" t="e">
        <f>IF(E48="Jeopardy",IF(C48="MD",Relay!$E$7,Relay!$E$8),IF(C48="MD",IF(COUNTIF(G:G,B48)&gt;1,Relay!$E$2,Relay!$E$1),IF(AND(COUNTIF(G:G,B48)&gt;1,COUNTA(A48)&gt;0),Relay!$E$5,Relay!$E$4)))</f>
        <v>#N/A</v>
      </c>
      <c r="I48" s="8">
        <f t="shared" si="1"/>
        <v>0</v>
      </c>
      <c r="J48" s="35"/>
      <c r="K48" s="35"/>
      <c r="L48" s="35"/>
      <c r="M48" s="35"/>
      <c r="N48" s="10" t="e">
        <f>IF(H48=Nov!$E$2,"N",IF(AND(COUNTIF(B:B,B48)=1,D48&gt;14),"Y","N"))</f>
        <v>#N/A</v>
      </c>
      <c r="O48" s="55" t="str">
        <f>IF(COUNT(Nov[[#This Row],[Date]])&gt;0,IF(Nov[[#This Row],[Date]]&gt;14,"Yes","No"),"N/A")</f>
        <v>N/A</v>
      </c>
      <c r="P48" s="55"/>
      <c r="Q48" s="5">
        <f>Relay!A47</f>
        <v>0</v>
      </c>
      <c r="R48" s="5">
        <f>Relay!B47</f>
        <v>46</v>
      </c>
      <c r="S48" s="8">
        <f>IF(Nov[After the 14th?]="No",SUMIF(Nov[SysID],R48,Nov[Pay Amount]),0)+IF(Oct[After the 14th?]="Yes",SUMIF(Oct[SysID],R48,Oct[Pay Amount]),0)</f>
        <v>0</v>
      </c>
      <c r="T48" s="8"/>
      <c r="U48" s="5" t="str">
        <f t="shared" si="2"/>
        <v>N</v>
      </c>
      <c r="X48" s="56"/>
      <c r="Y48" s="56"/>
      <c r="Z48" s="56"/>
      <c r="AA48" s="56"/>
      <c r="AC48" s="56"/>
    </row>
    <row r="49" spans="1:29" x14ac:dyDescent="0.25">
      <c r="A49" s="35"/>
      <c r="B49" s="5" t="e">
        <f>VLOOKUP(A49,Relay!$A$1:$B$50,2,FALSE)</f>
        <v>#N/A</v>
      </c>
      <c r="C49" s="5" t="e">
        <f>VLOOKUP(A49,Relay!$A$2:$C$51,3,FALSE)</f>
        <v>#N/A</v>
      </c>
      <c r="D49" s="39"/>
      <c r="E49" s="35"/>
      <c r="F49" s="35" t="str">
        <f t="shared" si="0"/>
        <v>INS</v>
      </c>
      <c r="G49" s="5" t="e">
        <f>IF(OR(E49="Jeopardy",E49="APP Moonlighting",E49="Differential Pay"),"",Nov[[#This Row],[SysID]])</f>
        <v>#N/A</v>
      </c>
      <c r="H49" s="5" t="e">
        <f>IF(E49="Jeopardy",IF(C49="MD",Relay!$E$7,Relay!$E$8),IF(C49="MD",IF(COUNTIF(G:G,B49)&gt;1,Relay!$E$2,Relay!$E$1),IF(AND(COUNTIF(G:G,B49)&gt;1,COUNTA(A49)&gt;0),Relay!$E$5,Relay!$E$4)))</f>
        <v>#N/A</v>
      </c>
      <c r="I49" s="8">
        <f t="shared" si="1"/>
        <v>0</v>
      </c>
      <c r="J49" s="35"/>
      <c r="K49" s="35"/>
      <c r="L49" s="35"/>
      <c r="M49" s="35"/>
      <c r="N49" s="10" t="e">
        <f>IF(H49=Nov!$E$2,"N",IF(AND(COUNTIF(B:B,B49)=1,D49&gt;14),"Y","N"))</f>
        <v>#N/A</v>
      </c>
      <c r="O49" s="55" t="str">
        <f>IF(COUNT(Nov[[#This Row],[Date]])&gt;0,IF(Nov[[#This Row],[Date]]&gt;14,"Yes","No"),"N/A")</f>
        <v>N/A</v>
      </c>
      <c r="P49" s="55"/>
      <c r="Q49" s="5">
        <f>Relay!A48</f>
        <v>0</v>
      </c>
      <c r="R49" s="5">
        <f>Relay!B48</f>
        <v>47</v>
      </c>
      <c r="S49" s="8">
        <f>IF(Nov[After the 14th?]="No",SUMIF(Nov[SysID],R49,Nov[Pay Amount]),0)+IF(Oct[After the 14th?]="Yes",SUMIF(Oct[SysID],R49,Oct[Pay Amount]),0)</f>
        <v>0</v>
      </c>
      <c r="T49" s="8"/>
      <c r="U49" s="5" t="str">
        <f t="shared" si="2"/>
        <v>N</v>
      </c>
      <c r="X49" s="56"/>
      <c r="Y49" s="56"/>
      <c r="Z49" s="56"/>
      <c r="AA49" s="56"/>
      <c r="AC49" s="56"/>
    </row>
    <row r="50" spans="1:29" x14ac:dyDescent="0.25">
      <c r="A50" s="35"/>
      <c r="B50" s="5" t="e">
        <f>VLOOKUP(A50,Relay!$A$1:$B$50,2,FALSE)</f>
        <v>#N/A</v>
      </c>
      <c r="C50" s="5" t="e">
        <f>VLOOKUP(A50,Relay!$A$2:$C$51,3,FALSE)</f>
        <v>#N/A</v>
      </c>
      <c r="D50" s="39"/>
      <c r="E50" s="35"/>
      <c r="F50" s="35" t="str">
        <f t="shared" si="0"/>
        <v>INS</v>
      </c>
      <c r="G50" s="5" t="e">
        <f>IF(OR(E50="Jeopardy",E50="APP Moonlighting",E50="Differential Pay"),"",Nov[[#This Row],[SysID]])</f>
        <v>#N/A</v>
      </c>
      <c r="H50" s="5" t="e">
        <f>IF(E50="Jeopardy",IF(C50="MD",Relay!$E$7,Relay!$E$8),IF(C50="MD",IF(COUNTIF(G:G,B50)&gt;1,Relay!$E$2,Relay!$E$1),IF(AND(COUNTIF(G:G,B50)&gt;1,COUNTA(A50)&gt;0),Relay!$E$5,Relay!$E$4)))</f>
        <v>#N/A</v>
      </c>
      <c r="I50" s="8">
        <f t="shared" si="1"/>
        <v>0</v>
      </c>
      <c r="J50" s="35"/>
      <c r="K50" s="35"/>
      <c r="L50" s="35"/>
      <c r="M50" s="35"/>
      <c r="N50" s="10" t="e">
        <f>IF(H50=Nov!$E$2,"N",IF(AND(COUNTIF(B:B,B50)=1,D50&gt;14),"Y","N"))</f>
        <v>#N/A</v>
      </c>
      <c r="O50" s="55" t="str">
        <f>IF(COUNT(Nov[[#This Row],[Date]])&gt;0,IF(Nov[[#This Row],[Date]]&gt;14,"Yes","No"),"N/A")</f>
        <v>N/A</v>
      </c>
      <c r="P50" s="55"/>
      <c r="Q50" s="5">
        <f>Relay!A49</f>
        <v>0</v>
      </c>
      <c r="R50" s="5">
        <f>Relay!B49</f>
        <v>48</v>
      </c>
      <c r="S50" s="8">
        <f>IF(Nov[After the 14th?]="No",SUMIF(Nov[SysID],R50,Nov[Pay Amount]),0)+IF(Oct[After the 14th?]="Yes",SUMIF(Oct[SysID],R50,Oct[Pay Amount]),0)</f>
        <v>0</v>
      </c>
      <c r="T50" s="8"/>
      <c r="U50" s="5" t="str">
        <f t="shared" si="2"/>
        <v>N</v>
      </c>
      <c r="X50" s="56"/>
      <c r="Y50" s="56"/>
      <c r="Z50" s="56"/>
      <c r="AA50" s="56"/>
      <c r="AC50" s="56"/>
    </row>
    <row r="51" spans="1:29" x14ac:dyDescent="0.25">
      <c r="A51" s="35"/>
      <c r="B51" s="32" t="e">
        <f>VLOOKUP(A51,Relay!$A$1:$B$50,2,FALSE)</f>
        <v>#N/A</v>
      </c>
      <c r="C51" s="32" t="e">
        <f>VLOOKUP(A51,Relay!$A$2:$C$101,3,FALSE)</f>
        <v>#N/A</v>
      </c>
      <c r="D51" s="39"/>
      <c r="E51" s="35"/>
      <c r="F51" s="58" t="str">
        <f t="shared" si="0"/>
        <v>INS</v>
      </c>
      <c r="G51" s="32" t="e">
        <f>IF(OR(E51="Jeopardy",E51="APP Moonlighting",E51="Differential Pay"),"",Nov[[#This Row],[SysID]])</f>
        <v>#N/A</v>
      </c>
      <c r="H51" s="32" t="e">
        <f>IF(E51="Jeopardy",IF(C51="MD",Relay!$E$7,Relay!$E$8),IF(C51="MD",IF(COUNTIF(G:G,B51)&gt;1,Relay!$E$2,Relay!$E$1),IF(AND(COUNTIF(G:G,B51)&gt;1,COUNTA(A51)&gt;0),Relay!$E$5,Relay!$E$4)))</f>
        <v>#N/A</v>
      </c>
      <c r="I51" s="8">
        <f t="shared" si="1"/>
        <v>0</v>
      </c>
      <c r="J51" s="35"/>
      <c r="K51" s="35"/>
      <c r="L51" s="35"/>
      <c r="M51" s="35"/>
      <c r="N51" s="32" t="e">
        <f>IF(H51=Nov!$E$2,"N",IF(AND(COUNTIF(B:B,B51)=1,D51&gt;14),"Y","N"))</f>
        <v>#N/A</v>
      </c>
      <c r="O51" s="55" t="str">
        <f>IF(COUNT(Nov[[#This Row],[Date]])&gt;0,IF(Nov[[#This Row],[Date]]&gt;14,"Yes","No"),"N/A")</f>
        <v>N/A</v>
      </c>
      <c r="P51" s="55"/>
      <c r="Q51" s="5">
        <f>Relay!A50</f>
        <v>0</v>
      </c>
      <c r="R51" s="5">
        <f>Relay!B50</f>
        <v>49</v>
      </c>
      <c r="S51" s="8">
        <f>IF(Nov[After the 14th?]="No",SUMIF(Nov[SysID],R51,Nov[Pay Amount]),0)+IF(Oct[After the 14th?]="Yes",SUMIF(Oct[SysID],R51,Oct[Pay Amount]),0)</f>
        <v>0</v>
      </c>
      <c r="T51" s="8"/>
      <c r="U51" s="5" t="str">
        <f t="shared" si="2"/>
        <v>N</v>
      </c>
      <c r="X51" s="56"/>
      <c r="Y51" s="56"/>
      <c r="Z51" s="56"/>
      <c r="AA51" s="56"/>
      <c r="AC51" s="56"/>
    </row>
    <row r="52" spans="1:29" x14ac:dyDescent="0.25">
      <c r="A52" s="35"/>
      <c r="B52" s="32" t="e">
        <f>VLOOKUP(A52,Relay!$A$1:$B$50,2,FALSE)</f>
        <v>#N/A</v>
      </c>
      <c r="C52" s="32" t="e">
        <f>VLOOKUP(A52,Relay!$A$2:$C$101,3,FALSE)</f>
        <v>#N/A</v>
      </c>
      <c r="D52" s="39"/>
      <c r="E52" s="35"/>
      <c r="F52" s="58" t="str">
        <f t="shared" si="0"/>
        <v>INS</v>
      </c>
      <c r="G52" s="32" t="e">
        <f>IF(OR(E52="Jeopardy",E52="APP Moonlighting",E52="Differential Pay"),"",Nov[[#This Row],[SysID]])</f>
        <v>#N/A</v>
      </c>
      <c r="H52" s="32" t="e">
        <f>IF(E52="Jeopardy",IF(C52="MD",Relay!$E$7,Relay!$E$8),IF(C52="MD",IF(COUNTIF(G:G,B52)&gt;1,Relay!$E$2,Relay!$E$1),IF(AND(COUNTIF(G:G,B52)&gt;1,COUNTA(A52)&gt;0),Relay!$E$5,Relay!$E$4)))</f>
        <v>#N/A</v>
      </c>
      <c r="I52" s="8">
        <f t="shared" si="1"/>
        <v>0</v>
      </c>
      <c r="J52" s="35"/>
      <c r="K52" s="35"/>
      <c r="L52" s="35"/>
      <c r="M52" s="35"/>
      <c r="N52" s="32" t="e">
        <f>IF(H52=Nov!$E$2,"N",IF(AND(COUNTIF(B:B,B52)=1,D52&gt;14),"Y","N"))</f>
        <v>#N/A</v>
      </c>
      <c r="O52" s="55" t="str">
        <f>IF(COUNT(Nov[[#This Row],[Date]])&gt;0,IF(Nov[[#This Row],[Date]]&gt;14,"Yes","No"),"N/A")</f>
        <v>N/A</v>
      </c>
      <c r="P52" s="55"/>
      <c r="Q52" s="5">
        <f>Relay!A51</f>
        <v>0</v>
      </c>
      <c r="R52" s="5">
        <f>Relay!B51</f>
        <v>50</v>
      </c>
      <c r="S52" s="8">
        <f>IF(Nov[After the 14th?]="No",SUMIF(Nov[SysID],R52,Nov[Pay Amount]),0)+IF(Oct[After the 14th?]="Yes",SUMIF(Oct[SysID],R52,Oct[Pay Amount]),0)</f>
        <v>0</v>
      </c>
      <c r="T52" s="8"/>
      <c r="U52" s="5" t="str">
        <f t="shared" si="2"/>
        <v>N</v>
      </c>
      <c r="X52" s="56"/>
      <c r="Y52" s="56"/>
      <c r="Z52" s="56"/>
      <c r="AA52" s="56"/>
      <c r="AC52" s="56"/>
    </row>
    <row r="53" spans="1:29" x14ac:dyDescent="0.25">
      <c r="A53" s="35"/>
      <c r="B53" s="32" t="e">
        <f>VLOOKUP(A53,Relay!$A$1:$B$50,2,FALSE)</f>
        <v>#N/A</v>
      </c>
      <c r="C53" s="32" t="e">
        <f>VLOOKUP(A53,Relay!$A$2:$C$101,3,FALSE)</f>
        <v>#N/A</v>
      </c>
      <c r="D53" s="39"/>
      <c r="E53" s="35"/>
      <c r="F53" s="58" t="str">
        <f t="shared" si="0"/>
        <v>INS</v>
      </c>
      <c r="G53" s="32" t="e">
        <f>IF(OR(E53="Jeopardy",E53="APP Moonlighting",E53="Differential Pay"),"",Nov[[#This Row],[SysID]])</f>
        <v>#N/A</v>
      </c>
      <c r="H53" s="32" t="e">
        <f>IF(E53="Jeopardy",IF(C53="MD",Relay!$E$7,Relay!$E$8),IF(C53="MD",IF(COUNTIF(G:G,B53)&gt;1,Relay!$E$2,Relay!$E$1),IF(AND(COUNTIF(G:G,B53)&gt;1,COUNTA(A53)&gt;0),Relay!$E$5,Relay!$E$4)))</f>
        <v>#N/A</v>
      </c>
      <c r="I53" s="8">
        <f t="shared" si="1"/>
        <v>0</v>
      </c>
      <c r="J53" s="35"/>
      <c r="K53" s="35"/>
      <c r="L53" s="35"/>
      <c r="M53" s="35"/>
      <c r="N53" s="32" t="e">
        <f>IF(H53=Nov!$E$2,"N",IF(AND(COUNTIF(B:B,B53)=1,D53&gt;14),"Y","N"))</f>
        <v>#N/A</v>
      </c>
      <c r="O53" s="55" t="str">
        <f>IF(COUNT(Nov[[#This Row],[Date]])&gt;0,IF(Nov[[#This Row],[Date]]&gt;14,"Yes","No"),"N/A")</f>
        <v>N/A</v>
      </c>
      <c r="P53" s="55"/>
      <c r="Q53" s="5">
        <f>Relay!A52</f>
        <v>0</v>
      </c>
      <c r="R53" s="5">
        <f>Relay!B52</f>
        <v>51</v>
      </c>
      <c r="S53" s="8">
        <f>IF(Nov[After the 14th?]="No",SUMIF(Nov[SysID],R53,Nov[Pay Amount]),0)+IF(Oct[After the 14th?]="Yes",SUMIF(Oct[SysID],R53,Oct[Pay Amount]),0)</f>
        <v>0</v>
      </c>
      <c r="T53" s="8"/>
      <c r="U53" s="5" t="str">
        <f t="shared" si="2"/>
        <v>N</v>
      </c>
      <c r="X53" s="56"/>
      <c r="Y53" s="56"/>
      <c r="Z53" s="56"/>
      <c r="AA53" s="56"/>
      <c r="AC53" s="56"/>
    </row>
    <row r="54" spans="1:29" x14ac:dyDescent="0.25">
      <c r="A54" s="35"/>
      <c r="B54" s="32" t="e">
        <f>VLOOKUP(A54,Relay!$A$1:$B$50,2,FALSE)</f>
        <v>#N/A</v>
      </c>
      <c r="C54" s="32" t="e">
        <f>VLOOKUP(A54,Relay!$A$2:$C$101,3,FALSE)</f>
        <v>#N/A</v>
      </c>
      <c r="D54" s="39"/>
      <c r="E54" s="35"/>
      <c r="F54" s="58" t="str">
        <f t="shared" si="0"/>
        <v>INS</v>
      </c>
      <c r="G54" s="32" t="e">
        <f>IF(OR(E54="Jeopardy",E54="APP Moonlighting",E54="Differential Pay"),"",Nov[[#This Row],[SysID]])</f>
        <v>#N/A</v>
      </c>
      <c r="H54" s="32" t="e">
        <f>IF(E54="Jeopardy",IF(C54="MD",Relay!$E$7,Relay!$E$8),IF(C54="MD",IF(COUNTIF(G:G,B54)&gt;1,Relay!$E$2,Relay!$E$1),IF(AND(COUNTIF(G:G,B54)&gt;1,COUNTA(A54)&gt;0),Relay!$E$5,Relay!$E$4)))</f>
        <v>#N/A</v>
      </c>
      <c r="I54" s="8">
        <f t="shared" si="1"/>
        <v>0</v>
      </c>
      <c r="J54" s="35"/>
      <c r="K54" s="35"/>
      <c r="L54" s="35"/>
      <c r="M54" s="35"/>
      <c r="N54" s="32" t="e">
        <f>IF(H54=Nov!$E$2,"N",IF(AND(COUNTIF(B:B,B54)=1,D54&gt;14),"Y","N"))</f>
        <v>#N/A</v>
      </c>
      <c r="O54" s="55" t="str">
        <f>IF(COUNT(Nov[[#This Row],[Date]])&gt;0,IF(Nov[[#This Row],[Date]]&gt;14,"Yes","No"),"N/A")</f>
        <v>N/A</v>
      </c>
      <c r="P54" s="55"/>
      <c r="Q54" s="5">
        <f>Relay!A53</f>
        <v>0</v>
      </c>
      <c r="R54" s="5">
        <f>Relay!B53</f>
        <v>52</v>
      </c>
      <c r="S54" s="8">
        <f>IF(Nov[After the 14th?]="No",SUMIF(Nov[SysID],R54,Nov[Pay Amount]),0)+IF(Oct[After the 14th?]="Yes",SUMIF(Oct[SysID],R54,Oct[Pay Amount]),0)</f>
        <v>0</v>
      </c>
      <c r="T54" s="8"/>
      <c r="U54" s="5" t="str">
        <f t="shared" si="2"/>
        <v>N</v>
      </c>
      <c r="X54" s="56"/>
      <c r="Y54" s="56"/>
      <c r="Z54" s="56"/>
      <c r="AA54" s="56"/>
      <c r="AC54" s="56"/>
    </row>
    <row r="55" spans="1:29" x14ac:dyDescent="0.25">
      <c r="A55" s="35"/>
      <c r="B55" s="32" t="e">
        <f>VLOOKUP(A55,Relay!$A$1:$B$50,2,FALSE)</f>
        <v>#N/A</v>
      </c>
      <c r="C55" s="32" t="e">
        <f>VLOOKUP(A55,Relay!$A$2:$C$101,3,FALSE)</f>
        <v>#N/A</v>
      </c>
      <c r="D55" s="39"/>
      <c r="E55" s="35"/>
      <c r="F55" s="58" t="str">
        <f t="shared" si="0"/>
        <v>INS</v>
      </c>
      <c r="G55" s="32" t="e">
        <f>IF(OR(E55="Jeopardy",E55="APP Moonlighting",E55="Differential Pay"),"",Nov[[#This Row],[SysID]])</f>
        <v>#N/A</v>
      </c>
      <c r="H55" s="32" t="e">
        <f>IF(E55="Jeopardy",IF(C55="MD",Relay!$E$7,Relay!$E$8),IF(C55="MD",IF(COUNTIF(G:G,B55)&gt;1,Relay!$E$2,Relay!$E$1),IF(AND(COUNTIF(G:G,B55)&gt;1,COUNTA(A55)&gt;0),Relay!$E$5,Relay!$E$4)))</f>
        <v>#N/A</v>
      </c>
      <c r="I55" s="8">
        <f t="shared" si="1"/>
        <v>0</v>
      </c>
      <c r="J55" s="35"/>
      <c r="K55" s="35"/>
      <c r="L55" s="35"/>
      <c r="M55" s="35"/>
      <c r="N55" s="32" t="e">
        <f>IF(H55=Nov!$E$2,"N",IF(AND(COUNTIF(B:B,B55)=1,D55&gt;14),"Y","N"))</f>
        <v>#N/A</v>
      </c>
      <c r="O55" s="55" t="str">
        <f>IF(COUNT(Nov[[#This Row],[Date]])&gt;0,IF(Nov[[#This Row],[Date]]&gt;14,"Yes","No"),"N/A")</f>
        <v>N/A</v>
      </c>
      <c r="P55" s="55"/>
      <c r="Q55" s="5">
        <f>Relay!A54</f>
        <v>0</v>
      </c>
      <c r="R55" s="5">
        <f>Relay!B54</f>
        <v>53</v>
      </c>
      <c r="S55" s="8">
        <f>IF(Nov[After the 14th?]="No",SUMIF(Nov[SysID],R55,Nov[Pay Amount]),0)+IF(Oct[After the 14th?]="Yes",SUMIF(Oct[SysID],R55,Oct[Pay Amount]),0)</f>
        <v>0</v>
      </c>
      <c r="T55" s="8"/>
      <c r="U55" s="5" t="str">
        <f t="shared" si="2"/>
        <v>N</v>
      </c>
      <c r="X55" s="56"/>
      <c r="Y55" s="56"/>
      <c r="Z55" s="56"/>
      <c r="AA55" s="56"/>
      <c r="AC55" s="56"/>
    </row>
    <row r="56" spans="1:29" x14ac:dyDescent="0.25">
      <c r="A56" s="35"/>
      <c r="B56" s="32" t="e">
        <f>VLOOKUP(A56,Relay!$A$1:$B$50,2,FALSE)</f>
        <v>#N/A</v>
      </c>
      <c r="C56" s="32" t="e">
        <f>VLOOKUP(A56,Relay!$A$2:$C$101,3,FALSE)</f>
        <v>#N/A</v>
      </c>
      <c r="D56" s="39"/>
      <c r="E56" s="35"/>
      <c r="F56" s="58" t="str">
        <f t="shared" si="0"/>
        <v>INS</v>
      </c>
      <c r="G56" s="32" t="e">
        <f>IF(OR(E56="Jeopardy",E56="APP Moonlighting",E56="Differential Pay"),"",Nov[[#This Row],[SysID]])</f>
        <v>#N/A</v>
      </c>
      <c r="H56" s="32" t="e">
        <f>IF(E56="Jeopardy",IF(C56="MD",Relay!$E$7,Relay!$E$8),IF(C56="MD",IF(COUNTIF(G:G,B56)&gt;1,Relay!$E$2,Relay!$E$1),IF(AND(COUNTIF(G:G,B56)&gt;1,COUNTA(A56)&gt;0),Relay!$E$5,Relay!$E$4)))</f>
        <v>#N/A</v>
      </c>
      <c r="I56" s="8">
        <f t="shared" si="1"/>
        <v>0</v>
      </c>
      <c r="J56" s="35"/>
      <c r="K56" s="35"/>
      <c r="L56" s="35"/>
      <c r="M56" s="35"/>
      <c r="N56" s="32" t="e">
        <f>IF(H56=Nov!$E$2,"N",IF(AND(COUNTIF(B:B,B56)=1,D56&gt;14),"Y","N"))</f>
        <v>#N/A</v>
      </c>
      <c r="O56" s="55" t="str">
        <f>IF(COUNT(Nov[[#This Row],[Date]])&gt;0,IF(Nov[[#This Row],[Date]]&gt;14,"Yes","No"),"N/A")</f>
        <v>N/A</v>
      </c>
      <c r="P56" s="55"/>
      <c r="Q56" s="5">
        <f>Relay!A55</f>
        <v>0</v>
      </c>
      <c r="R56" s="5">
        <f>Relay!B55</f>
        <v>54</v>
      </c>
      <c r="S56" s="8">
        <f>IF(Nov[After the 14th?]="No",SUMIF(Nov[SysID],R56,Nov[Pay Amount]),0)+IF(Oct[After the 14th?]="Yes",SUMIF(Oct[SysID],R56,Oct[Pay Amount]),0)</f>
        <v>0</v>
      </c>
      <c r="T56" s="8"/>
      <c r="U56" s="5" t="str">
        <f t="shared" si="2"/>
        <v>N</v>
      </c>
      <c r="X56" s="56"/>
      <c r="Y56" s="56"/>
      <c r="Z56" s="56"/>
      <c r="AA56" s="56"/>
      <c r="AC56" s="56"/>
    </row>
    <row r="57" spans="1:29" x14ac:dyDescent="0.25">
      <c r="A57" s="35"/>
      <c r="B57" s="32" t="e">
        <f>VLOOKUP(A57,Relay!$A$1:$B$50,2,FALSE)</f>
        <v>#N/A</v>
      </c>
      <c r="C57" s="32" t="e">
        <f>VLOOKUP(A57,Relay!$A$2:$C$101,3,FALSE)</f>
        <v>#N/A</v>
      </c>
      <c r="D57" s="39"/>
      <c r="E57" s="35"/>
      <c r="F57" s="58" t="str">
        <f t="shared" si="0"/>
        <v>INS</v>
      </c>
      <c r="G57" s="32" t="e">
        <f>IF(OR(E57="Jeopardy",E57="APP Moonlighting",E57="Differential Pay"),"",Nov[[#This Row],[SysID]])</f>
        <v>#N/A</v>
      </c>
      <c r="H57" s="32" t="e">
        <f>IF(E57="Jeopardy",IF(C57="MD",Relay!$E$7,Relay!$E$8),IF(C57="MD",IF(COUNTIF(G:G,B57)&gt;1,Relay!$E$2,Relay!$E$1),IF(AND(COUNTIF(G:G,B57)&gt;1,COUNTA(A57)&gt;0),Relay!$E$5,Relay!$E$4)))</f>
        <v>#N/A</v>
      </c>
      <c r="I57" s="8">
        <f t="shared" si="1"/>
        <v>0</v>
      </c>
      <c r="J57" s="35"/>
      <c r="K57" s="35"/>
      <c r="L57" s="35"/>
      <c r="M57" s="35"/>
      <c r="N57" s="32" t="e">
        <f>IF(H57=Nov!$E$2,"N",IF(AND(COUNTIF(B:B,B57)=1,D57&gt;14),"Y","N"))</f>
        <v>#N/A</v>
      </c>
      <c r="O57" s="55" t="str">
        <f>IF(COUNT(Nov[[#This Row],[Date]])&gt;0,IF(Nov[[#This Row],[Date]]&gt;14,"Yes","No"),"N/A")</f>
        <v>N/A</v>
      </c>
      <c r="P57" s="55"/>
      <c r="Q57" s="5">
        <f>Relay!A56</f>
        <v>0</v>
      </c>
      <c r="R57" s="5">
        <f>Relay!B56</f>
        <v>55</v>
      </c>
      <c r="S57" s="8">
        <f>IF(Nov[After the 14th?]="No",SUMIF(Nov[SysID],R57,Nov[Pay Amount]),0)+IF(Oct[After the 14th?]="Yes",SUMIF(Oct[SysID],R57,Oct[Pay Amount]),0)</f>
        <v>0</v>
      </c>
      <c r="T57" s="8"/>
      <c r="U57" s="5" t="str">
        <f t="shared" si="2"/>
        <v>N</v>
      </c>
      <c r="X57" s="56"/>
      <c r="Y57" s="56"/>
      <c r="Z57" s="56"/>
      <c r="AA57" s="56"/>
      <c r="AC57" s="56"/>
    </row>
    <row r="58" spans="1:29" x14ac:dyDescent="0.25">
      <c r="A58" s="35"/>
      <c r="B58" s="32" t="e">
        <f>VLOOKUP(A58,Relay!$A$1:$B$50,2,FALSE)</f>
        <v>#N/A</v>
      </c>
      <c r="C58" s="32" t="e">
        <f>VLOOKUP(A58,Relay!$A$2:$C$101,3,FALSE)</f>
        <v>#N/A</v>
      </c>
      <c r="D58" s="39"/>
      <c r="E58" s="35"/>
      <c r="F58" s="58" t="str">
        <f t="shared" si="0"/>
        <v>INS</v>
      </c>
      <c r="G58" s="32" t="e">
        <f>IF(OR(E58="Jeopardy",E58="APP Moonlighting",E58="Differential Pay"),"",Nov[[#This Row],[SysID]])</f>
        <v>#N/A</v>
      </c>
      <c r="H58" s="32" t="e">
        <f>IF(E58="Jeopardy",IF(C58="MD",Relay!$E$7,Relay!$E$8),IF(C58="MD",IF(COUNTIF(G:G,B58)&gt;1,Relay!$E$2,Relay!$E$1),IF(AND(COUNTIF(G:G,B58)&gt;1,COUNTA(A58)&gt;0),Relay!$E$5,Relay!$E$4)))</f>
        <v>#N/A</v>
      </c>
      <c r="I58" s="8">
        <f t="shared" si="1"/>
        <v>0</v>
      </c>
      <c r="J58" s="35"/>
      <c r="K58" s="35"/>
      <c r="L58" s="35"/>
      <c r="M58" s="35"/>
      <c r="N58" s="32" t="e">
        <f>IF(H58=Nov!$E$2,"N",IF(AND(COUNTIF(B:B,B58)=1,D58&gt;14),"Y","N"))</f>
        <v>#N/A</v>
      </c>
      <c r="O58" s="55" t="str">
        <f>IF(COUNT(Nov[[#This Row],[Date]])&gt;0,IF(Nov[[#This Row],[Date]]&gt;14,"Yes","No"),"N/A")</f>
        <v>N/A</v>
      </c>
      <c r="P58" s="55"/>
      <c r="Q58" s="5">
        <f>Relay!A57</f>
        <v>0</v>
      </c>
      <c r="R58" s="5">
        <f>Relay!B57</f>
        <v>56</v>
      </c>
      <c r="S58" s="8">
        <f>IF(Nov[After the 14th?]="No",SUMIF(Nov[SysID],R58,Nov[Pay Amount]),0)+IF(Oct[After the 14th?]="Yes",SUMIF(Oct[SysID],R58,Oct[Pay Amount]),0)</f>
        <v>0</v>
      </c>
      <c r="T58" s="8"/>
      <c r="U58" s="5" t="str">
        <f t="shared" si="2"/>
        <v>N</v>
      </c>
      <c r="X58" s="56"/>
      <c r="Y58" s="56"/>
      <c r="Z58" s="56"/>
      <c r="AA58" s="56"/>
      <c r="AC58" s="56"/>
    </row>
    <row r="59" spans="1:29" x14ac:dyDescent="0.25">
      <c r="A59" s="35"/>
      <c r="B59" s="32" t="e">
        <f>VLOOKUP(A59,Relay!$A$1:$B$50,2,FALSE)</f>
        <v>#N/A</v>
      </c>
      <c r="C59" s="32" t="e">
        <f>VLOOKUP(A59,Relay!$A$2:$C$101,3,FALSE)</f>
        <v>#N/A</v>
      </c>
      <c r="D59" s="39"/>
      <c r="E59" s="35"/>
      <c r="F59" s="58" t="str">
        <f t="shared" si="0"/>
        <v>INS</v>
      </c>
      <c r="G59" s="32" t="e">
        <f>IF(OR(E59="Jeopardy",E59="APP Moonlighting",E59="Differential Pay"),"",Nov[[#This Row],[SysID]])</f>
        <v>#N/A</v>
      </c>
      <c r="H59" s="32" t="e">
        <f>IF(E59="Jeopardy",IF(C59="MD",Relay!$E$7,Relay!$E$8),IF(C59="MD",IF(COUNTIF(G:G,B59)&gt;1,Relay!$E$2,Relay!$E$1),IF(AND(COUNTIF(G:G,B59)&gt;1,COUNTA(A59)&gt;0),Relay!$E$5,Relay!$E$4)))</f>
        <v>#N/A</v>
      </c>
      <c r="I59" s="8">
        <f t="shared" si="1"/>
        <v>0</v>
      </c>
      <c r="J59" s="35"/>
      <c r="K59" s="35"/>
      <c r="L59" s="35"/>
      <c r="M59" s="35"/>
      <c r="N59" s="32" t="e">
        <f>IF(H59=Nov!$E$2,"N",IF(AND(COUNTIF(B:B,B59)=1,D59&gt;14),"Y","N"))</f>
        <v>#N/A</v>
      </c>
      <c r="O59" s="55" t="str">
        <f>IF(COUNT(Nov[[#This Row],[Date]])&gt;0,IF(Nov[[#This Row],[Date]]&gt;14,"Yes","No"),"N/A")</f>
        <v>N/A</v>
      </c>
      <c r="P59" s="55"/>
      <c r="Q59" s="5">
        <f>Relay!A58</f>
        <v>0</v>
      </c>
      <c r="R59" s="5">
        <f>Relay!B58</f>
        <v>57</v>
      </c>
      <c r="S59" s="8">
        <f>IF(Nov[After the 14th?]="No",SUMIF(Nov[SysID],R59,Nov[Pay Amount]),0)+IF(Oct[After the 14th?]="Yes",SUMIF(Oct[SysID],R59,Oct[Pay Amount]),0)</f>
        <v>0</v>
      </c>
      <c r="T59" s="8"/>
      <c r="U59" s="5" t="str">
        <f t="shared" si="2"/>
        <v>N</v>
      </c>
      <c r="X59" s="56"/>
      <c r="Y59" s="56"/>
      <c r="Z59" s="56"/>
      <c r="AA59" s="56"/>
      <c r="AC59" s="56"/>
    </row>
    <row r="60" spans="1:29" x14ac:dyDescent="0.25">
      <c r="A60" s="35"/>
      <c r="B60" s="32" t="e">
        <f>VLOOKUP(A60,Relay!$A$1:$B$50,2,FALSE)</f>
        <v>#N/A</v>
      </c>
      <c r="C60" s="32" t="e">
        <f>VLOOKUP(A60,Relay!$A$2:$C$101,3,FALSE)</f>
        <v>#N/A</v>
      </c>
      <c r="D60" s="39"/>
      <c r="E60" s="35"/>
      <c r="F60" s="58" t="str">
        <f t="shared" si="0"/>
        <v>INS</v>
      </c>
      <c r="G60" s="32" t="e">
        <f>IF(OR(E60="Jeopardy",E60="APP Moonlighting",E60="Differential Pay"),"",Nov[[#This Row],[SysID]])</f>
        <v>#N/A</v>
      </c>
      <c r="H60" s="32" t="e">
        <f>IF(E60="Jeopardy",IF(C60="MD",Relay!$E$7,Relay!$E$8),IF(C60="MD",IF(COUNTIF(G:G,B60)&gt;1,Relay!$E$2,Relay!$E$1),IF(AND(COUNTIF(G:G,B60)&gt;1,COUNTA(A60)&gt;0),Relay!$E$5,Relay!$E$4)))</f>
        <v>#N/A</v>
      </c>
      <c r="I60" s="8">
        <f t="shared" si="1"/>
        <v>0</v>
      </c>
      <c r="J60" s="35"/>
      <c r="K60" s="35"/>
      <c r="L60" s="35"/>
      <c r="M60" s="35"/>
      <c r="N60" s="32" t="e">
        <f>IF(H60=Nov!$E$2,"N",IF(AND(COUNTIF(B:B,B60)=1,D60&gt;14),"Y","N"))</f>
        <v>#N/A</v>
      </c>
      <c r="O60" s="55" t="str">
        <f>IF(COUNT(Nov[[#This Row],[Date]])&gt;0,IF(Nov[[#This Row],[Date]]&gt;14,"Yes","No"),"N/A")</f>
        <v>N/A</v>
      </c>
      <c r="P60" s="55"/>
      <c r="Q60" s="5">
        <f>Relay!A59</f>
        <v>0</v>
      </c>
      <c r="R60" s="5">
        <f>Relay!B59</f>
        <v>58</v>
      </c>
      <c r="S60" s="8">
        <f>IF(Nov[After the 14th?]="No",SUMIF(Nov[SysID],R60,Nov[Pay Amount]),0)+IF(Oct[After the 14th?]="Yes",SUMIF(Oct[SysID],R60,Oct[Pay Amount]),0)</f>
        <v>0</v>
      </c>
      <c r="T60" s="8"/>
      <c r="U60" s="5" t="str">
        <f t="shared" si="2"/>
        <v>N</v>
      </c>
      <c r="X60" s="56"/>
      <c r="Y60" s="56"/>
      <c r="Z60" s="56"/>
      <c r="AA60" s="56"/>
      <c r="AC60" s="56"/>
    </row>
    <row r="61" spans="1:29" x14ac:dyDescent="0.25">
      <c r="A61" s="35"/>
      <c r="B61" s="32" t="e">
        <f>VLOOKUP(A61,Relay!$A$1:$B$50,2,FALSE)</f>
        <v>#N/A</v>
      </c>
      <c r="C61" s="32" t="e">
        <f>VLOOKUP(A61,Relay!$A$2:$C$101,3,FALSE)</f>
        <v>#N/A</v>
      </c>
      <c r="D61" s="39"/>
      <c r="E61" s="35"/>
      <c r="F61" s="58" t="str">
        <f t="shared" si="0"/>
        <v>INS</v>
      </c>
      <c r="G61" s="32" t="e">
        <f>IF(OR(E61="Jeopardy",E61="APP Moonlighting",E61="Differential Pay"),"",Nov[[#This Row],[SysID]])</f>
        <v>#N/A</v>
      </c>
      <c r="H61" s="32" t="e">
        <f>IF(E61="Jeopardy",IF(C61="MD",Relay!$E$7,Relay!$E$8),IF(C61="MD",IF(COUNTIF(G:G,B61)&gt;1,Relay!$E$2,Relay!$E$1),IF(AND(COUNTIF(G:G,B61)&gt;1,COUNTA(A61)&gt;0),Relay!$E$5,Relay!$E$4)))</f>
        <v>#N/A</v>
      </c>
      <c r="I61" s="8">
        <f t="shared" si="1"/>
        <v>0</v>
      </c>
      <c r="J61" s="35"/>
      <c r="K61" s="35"/>
      <c r="L61" s="35"/>
      <c r="M61" s="35"/>
      <c r="N61" s="32" t="e">
        <f>IF(H61=Nov!$E$2,"N",IF(AND(COUNTIF(B:B,B61)=1,D61&gt;14),"Y","N"))</f>
        <v>#N/A</v>
      </c>
      <c r="O61" s="55" t="str">
        <f>IF(COUNT(Nov[[#This Row],[Date]])&gt;0,IF(Nov[[#This Row],[Date]]&gt;14,"Yes","No"),"N/A")</f>
        <v>N/A</v>
      </c>
      <c r="P61" s="55"/>
      <c r="Q61" s="5">
        <f>Relay!A60</f>
        <v>0</v>
      </c>
      <c r="R61" s="5">
        <f>Relay!B60</f>
        <v>59</v>
      </c>
      <c r="S61" s="8">
        <f>IF(Nov[After the 14th?]="No",SUMIF(Nov[SysID],R61,Nov[Pay Amount]),0)+IF(Oct[After the 14th?]="Yes",SUMIF(Oct[SysID],R61,Oct[Pay Amount]),0)</f>
        <v>0</v>
      </c>
      <c r="T61" s="8"/>
      <c r="U61" s="5" t="str">
        <f t="shared" si="2"/>
        <v>N</v>
      </c>
      <c r="X61" s="56"/>
      <c r="Y61" s="56"/>
      <c r="Z61" s="56"/>
      <c r="AA61" s="56"/>
      <c r="AC61" s="56"/>
    </row>
    <row r="62" spans="1:29" x14ac:dyDescent="0.25">
      <c r="A62" s="35"/>
      <c r="B62" s="32" t="e">
        <f>VLOOKUP(A62,Relay!$A$1:$B$50,2,FALSE)</f>
        <v>#N/A</v>
      </c>
      <c r="C62" s="32" t="e">
        <f>VLOOKUP(A62,Relay!$A$2:$C$101,3,FALSE)</f>
        <v>#N/A</v>
      </c>
      <c r="D62" s="39"/>
      <c r="E62" s="35"/>
      <c r="F62" s="58" t="str">
        <f t="shared" si="0"/>
        <v>INS</v>
      </c>
      <c r="G62" s="32" t="e">
        <f>IF(OR(E62="Jeopardy",E62="APP Moonlighting",E62="Differential Pay"),"",Nov[[#This Row],[SysID]])</f>
        <v>#N/A</v>
      </c>
      <c r="H62" s="32" t="e">
        <f>IF(E62="Jeopardy",IF(C62="MD",Relay!$E$7,Relay!$E$8),IF(C62="MD",IF(COUNTIF(G:G,B62)&gt;1,Relay!$E$2,Relay!$E$1),IF(AND(COUNTIF(G:G,B62)&gt;1,COUNTA(A62)&gt;0),Relay!$E$5,Relay!$E$4)))</f>
        <v>#N/A</v>
      </c>
      <c r="I62" s="8">
        <f t="shared" si="1"/>
        <v>0</v>
      </c>
      <c r="J62" s="35"/>
      <c r="K62" s="35"/>
      <c r="L62" s="35"/>
      <c r="M62" s="35"/>
      <c r="N62" s="32" t="e">
        <f>IF(H62=Nov!$E$2,"N",IF(AND(COUNTIF(B:B,B62)=1,D62&gt;14),"Y","N"))</f>
        <v>#N/A</v>
      </c>
      <c r="O62" s="55" t="str">
        <f>IF(COUNT(Nov[[#This Row],[Date]])&gt;0,IF(Nov[[#This Row],[Date]]&gt;14,"Yes","No"),"N/A")</f>
        <v>N/A</v>
      </c>
      <c r="P62" s="55"/>
      <c r="Q62" s="5">
        <f>Relay!A61</f>
        <v>0</v>
      </c>
      <c r="R62" s="5">
        <f>Relay!B61</f>
        <v>60</v>
      </c>
      <c r="S62" s="8">
        <f>IF(Nov[After the 14th?]="No",SUMIF(Nov[SysID],R62,Nov[Pay Amount]),0)+IF(Oct[After the 14th?]="Yes",SUMIF(Oct[SysID],R62,Oct[Pay Amount]),0)</f>
        <v>0</v>
      </c>
      <c r="T62" s="8"/>
      <c r="U62" s="5" t="str">
        <f t="shared" si="2"/>
        <v>N</v>
      </c>
      <c r="X62" s="56"/>
      <c r="Y62" s="56"/>
      <c r="Z62" s="56"/>
      <c r="AA62" s="56"/>
      <c r="AC62" s="56"/>
    </row>
    <row r="63" spans="1:29" x14ac:dyDescent="0.25">
      <c r="A63" s="35"/>
      <c r="B63" s="32" t="e">
        <f>VLOOKUP(A63,Relay!$A$1:$B$50,2,FALSE)</f>
        <v>#N/A</v>
      </c>
      <c r="C63" s="32" t="e">
        <f>VLOOKUP(A63,Relay!$A$2:$C$101,3,FALSE)</f>
        <v>#N/A</v>
      </c>
      <c r="D63" s="39"/>
      <c r="E63" s="35"/>
      <c r="F63" s="58" t="str">
        <f t="shared" si="0"/>
        <v>INS</v>
      </c>
      <c r="G63" s="32" t="e">
        <f>IF(OR(E63="Jeopardy",E63="APP Moonlighting",E63="Differential Pay"),"",Nov[[#This Row],[SysID]])</f>
        <v>#N/A</v>
      </c>
      <c r="H63" s="32" t="e">
        <f>IF(E63="Jeopardy",IF(C63="MD",Relay!$E$7,Relay!$E$8),IF(C63="MD",IF(COUNTIF(G:G,B63)&gt;1,Relay!$E$2,Relay!$E$1),IF(AND(COUNTIF(G:G,B63)&gt;1,COUNTA(A63)&gt;0),Relay!$E$5,Relay!$E$4)))</f>
        <v>#N/A</v>
      </c>
      <c r="I63" s="8">
        <f t="shared" si="1"/>
        <v>0</v>
      </c>
      <c r="J63" s="35"/>
      <c r="K63" s="35"/>
      <c r="L63" s="35"/>
      <c r="M63" s="35"/>
      <c r="N63" s="32" t="e">
        <f>IF(H63=Nov!$E$2,"N",IF(AND(COUNTIF(B:B,B63)=1,D63&gt;14),"Y","N"))</f>
        <v>#N/A</v>
      </c>
      <c r="O63" s="55" t="str">
        <f>IF(COUNT(Nov[[#This Row],[Date]])&gt;0,IF(Nov[[#This Row],[Date]]&gt;14,"Yes","No"),"N/A")</f>
        <v>N/A</v>
      </c>
      <c r="P63" s="55"/>
      <c r="Q63" s="5">
        <f>Relay!A62</f>
        <v>0</v>
      </c>
      <c r="R63" s="5">
        <f>Relay!B62</f>
        <v>61</v>
      </c>
      <c r="S63" s="8">
        <f>IF(Nov[After the 14th?]="No",SUMIF(Nov[SysID],R63,Nov[Pay Amount]),0)+IF(Oct[After the 14th?]="Yes",SUMIF(Oct[SysID],R63,Oct[Pay Amount]),0)</f>
        <v>0</v>
      </c>
      <c r="T63" s="8"/>
      <c r="U63" s="5" t="str">
        <f t="shared" si="2"/>
        <v>N</v>
      </c>
      <c r="X63" s="56"/>
      <c r="Y63" s="56"/>
      <c r="Z63" s="56"/>
      <c r="AA63" s="56"/>
      <c r="AC63" s="56"/>
    </row>
    <row r="64" spans="1:29" x14ac:dyDescent="0.25">
      <c r="A64" s="35"/>
      <c r="B64" s="32" t="e">
        <f>VLOOKUP(A64,Relay!$A$1:$B$50,2,FALSE)</f>
        <v>#N/A</v>
      </c>
      <c r="C64" s="32" t="e">
        <f>VLOOKUP(A64,Relay!$A$2:$C$101,3,FALSE)</f>
        <v>#N/A</v>
      </c>
      <c r="D64" s="39"/>
      <c r="E64" s="35"/>
      <c r="F64" s="58" t="str">
        <f t="shared" si="0"/>
        <v>INS</v>
      </c>
      <c r="G64" s="32" t="e">
        <f>IF(OR(E64="Jeopardy",E64="APP Moonlighting",E64="Differential Pay"),"",Nov[[#This Row],[SysID]])</f>
        <v>#N/A</v>
      </c>
      <c r="H64" s="32" t="e">
        <f>IF(E64="Jeopardy",IF(C64="MD",Relay!$E$7,Relay!$E$8),IF(C64="MD",IF(COUNTIF(G:G,B64)&gt;1,Relay!$E$2,Relay!$E$1),IF(AND(COUNTIF(G:G,B64)&gt;1,COUNTA(A64)&gt;0),Relay!$E$5,Relay!$E$4)))</f>
        <v>#N/A</v>
      </c>
      <c r="I64" s="8">
        <f t="shared" si="1"/>
        <v>0</v>
      </c>
      <c r="J64" s="35"/>
      <c r="K64" s="35"/>
      <c r="L64" s="35"/>
      <c r="M64" s="35"/>
      <c r="N64" s="32" t="e">
        <f>IF(H64=Nov!$E$2,"N",IF(AND(COUNTIF(B:B,B64)=1,D64&gt;14),"Y","N"))</f>
        <v>#N/A</v>
      </c>
      <c r="O64" s="55" t="str">
        <f>IF(COUNT(Nov[[#This Row],[Date]])&gt;0,IF(Nov[[#This Row],[Date]]&gt;14,"Yes","No"),"N/A")</f>
        <v>N/A</v>
      </c>
      <c r="P64" s="55"/>
      <c r="Q64" s="5">
        <f>Relay!A63</f>
        <v>0</v>
      </c>
      <c r="R64" s="5">
        <f>Relay!B63</f>
        <v>62</v>
      </c>
      <c r="S64" s="8">
        <f>IF(Nov[After the 14th?]="No",SUMIF(Nov[SysID],R64,Nov[Pay Amount]),0)+IF(Oct[After the 14th?]="Yes",SUMIF(Oct[SysID],R64,Oct[Pay Amount]),0)</f>
        <v>0</v>
      </c>
      <c r="T64" s="8"/>
      <c r="U64" s="5" t="str">
        <f t="shared" si="2"/>
        <v>N</v>
      </c>
      <c r="X64" s="56"/>
      <c r="Y64" s="56"/>
      <c r="Z64" s="56"/>
      <c r="AA64" s="56"/>
      <c r="AC64" s="56"/>
    </row>
    <row r="65" spans="1:29" x14ac:dyDescent="0.25">
      <c r="A65" s="35"/>
      <c r="B65" s="32" t="e">
        <f>VLOOKUP(A65,Relay!$A$1:$B$50,2,FALSE)</f>
        <v>#N/A</v>
      </c>
      <c r="C65" s="32" t="e">
        <f>VLOOKUP(A65,Relay!$A$2:$C$101,3,FALSE)</f>
        <v>#N/A</v>
      </c>
      <c r="D65" s="39"/>
      <c r="E65" s="35"/>
      <c r="F65" s="58" t="str">
        <f t="shared" si="0"/>
        <v>INS</v>
      </c>
      <c r="G65" s="32" t="e">
        <f>IF(OR(E65="Jeopardy",E65="APP Moonlighting",E65="Differential Pay"),"",Nov[[#This Row],[SysID]])</f>
        <v>#N/A</v>
      </c>
      <c r="H65" s="32" t="e">
        <f>IF(E65="Jeopardy",IF(C65="MD",Relay!$E$7,Relay!$E$8),IF(C65="MD",IF(COUNTIF(G:G,B65)&gt;1,Relay!$E$2,Relay!$E$1),IF(AND(COUNTIF(G:G,B65)&gt;1,COUNTA(A65)&gt;0),Relay!$E$5,Relay!$E$4)))</f>
        <v>#N/A</v>
      </c>
      <c r="I65" s="8">
        <f t="shared" si="1"/>
        <v>0</v>
      </c>
      <c r="J65" s="35"/>
      <c r="K65" s="35"/>
      <c r="L65" s="35"/>
      <c r="M65" s="35"/>
      <c r="N65" s="32" t="e">
        <f>IF(H65=Nov!$E$2,"N",IF(AND(COUNTIF(B:B,B65)=1,D65&gt;14),"Y","N"))</f>
        <v>#N/A</v>
      </c>
      <c r="O65" s="55" t="str">
        <f>IF(COUNT(Nov[[#This Row],[Date]])&gt;0,IF(Nov[[#This Row],[Date]]&gt;14,"Yes","No"),"N/A")</f>
        <v>N/A</v>
      </c>
      <c r="P65" s="55"/>
      <c r="Q65" s="5">
        <f>Relay!A64</f>
        <v>0</v>
      </c>
      <c r="R65" s="5">
        <f>Relay!B64</f>
        <v>63</v>
      </c>
      <c r="S65" s="8">
        <f>IF(Nov[After the 14th?]="No",SUMIF(Nov[SysID],R65,Nov[Pay Amount]),0)+IF(Oct[After the 14th?]="Yes",SUMIF(Oct[SysID],R65,Oct[Pay Amount]),0)</f>
        <v>0</v>
      </c>
      <c r="T65" s="8"/>
      <c r="U65" s="5" t="str">
        <f t="shared" si="2"/>
        <v>N</v>
      </c>
      <c r="X65" s="56"/>
      <c r="Y65" s="56"/>
      <c r="Z65" s="56"/>
      <c r="AA65" s="56"/>
      <c r="AC65" s="56"/>
    </row>
    <row r="66" spans="1:29" x14ac:dyDescent="0.25">
      <c r="A66" s="35"/>
      <c r="B66" s="32" t="e">
        <f>VLOOKUP(A66,Relay!$A$1:$B$50,2,FALSE)</f>
        <v>#N/A</v>
      </c>
      <c r="C66" s="32" t="e">
        <f>VLOOKUP(A66,Relay!$A$2:$C$101,3,FALSE)</f>
        <v>#N/A</v>
      </c>
      <c r="D66" s="39"/>
      <c r="E66" s="35"/>
      <c r="F66" s="58" t="str">
        <f t="shared" si="0"/>
        <v>INS</v>
      </c>
      <c r="G66" s="32" t="e">
        <f>IF(OR(E66="Jeopardy",E66="APP Moonlighting",E66="Differential Pay"),"",Nov[[#This Row],[SysID]])</f>
        <v>#N/A</v>
      </c>
      <c r="H66" s="32" t="e">
        <f>IF(E66="Jeopardy",IF(C66="MD",Relay!$E$7,Relay!$E$8),IF(C66="MD",IF(COUNTIF(G:G,B66)&gt;1,Relay!$E$2,Relay!$E$1),IF(AND(COUNTIF(G:G,B66)&gt;1,COUNTA(A66)&gt;0),Relay!$E$5,Relay!$E$4)))</f>
        <v>#N/A</v>
      </c>
      <c r="I66" s="8">
        <f t="shared" si="1"/>
        <v>0</v>
      </c>
      <c r="J66" s="35"/>
      <c r="K66" s="35"/>
      <c r="L66" s="35"/>
      <c r="M66" s="35"/>
      <c r="N66" s="32" t="e">
        <f>IF(H66=Nov!$E$2,"N",IF(AND(COUNTIF(B:B,B66)=1,D66&gt;14),"Y","N"))</f>
        <v>#N/A</v>
      </c>
      <c r="O66" s="55" t="str">
        <f>IF(COUNT(Nov[[#This Row],[Date]])&gt;0,IF(Nov[[#This Row],[Date]]&gt;14,"Yes","No"),"N/A")</f>
        <v>N/A</v>
      </c>
      <c r="P66" s="55"/>
      <c r="Q66" s="5">
        <f>Relay!A65</f>
        <v>0</v>
      </c>
      <c r="R66" s="5">
        <f>Relay!B65</f>
        <v>64</v>
      </c>
      <c r="S66" s="8">
        <f>IF(Nov[After the 14th?]="No",SUMIF(Nov[SysID],R66,Nov[Pay Amount]),0)+IF(Oct[After the 14th?]="Yes",SUMIF(Oct[SysID],R66,Oct[Pay Amount]),0)</f>
        <v>0</v>
      </c>
      <c r="T66" s="8"/>
      <c r="U66" s="5" t="str">
        <f t="shared" si="2"/>
        <v>N</v>
      </c>
      <c r="X66" s="56"/>
      <c r="Y66" s="56"/>
      <c r="Z66" s="56"/>
      <c r="AA66" s="56"/>
      <c r="AC66" s="56"/>
    </row>
    <row r="67" spans="1:29" x14ac:dyDescent="0.25">
      <c r="A67" s="35"/>
      <c r="B67" s="32" t="e">
        <f>VLOOKUP(A67,Relay!$A$1:$B$50,2,FALSE)</f>
        <v>#N/A</v>
      </c>
      <c r="C67" s="32" t="e">
        <f>VLOOKUP(A67,Relay!$A$2:$C$101,3,FALSE)</f>
        <v>#N/A</v>
      </c>
      <c r="D67" s="39"/>
      <c r="E67" s="35"/>
      <c r="F67" s="58" t="str">
        <f t="shared" ref="F67:F103" si="3">IF(E67="Moonlighting", 12, "INS")</f>
        <v>INS</v>
      </c>
      <c r="G67" s="32" t="e">
        <f>IF(OR(E67="Jeopardy",E67="APP Moonlighting",E67="Differential Pay"),"",Nov[[#This Row],[SysID]])</f>
        <v>#N/A</v>
      </c>
      <c r="H67" s="32" t="e">
        <f>IF(E67="Jeopardy",IF(C67="MD",Relay!$E$7,Relay!$E$8),IF(C67="MD",IF(COUNTIF(G:G,B67)&gt;1,Relay!$E$2,Relay!$E$1),IF(AND(COUNTIF(G:G,B67)&gt;1,COUNTA(A67)&gt;0),Relay!$E$5,Relay!$E$4)))</f>
        <v>#N/A</v>
      </c>
      <c r="I67" s="8">
        <f t="shared" ref="I67:I103" si="4">IF(COUNTA(A67)&gt;0,H67*F67,0)</f>
        <v>0</v>
      </c>
      <c r="J67" s="35"/>
      <c r="K67" s="35"/>
      <c r="L67" s="35"/>
      <c r="M67" s="35"/>
      <c r="N67" s="32" t="e">
        <f>IF(H67=Nov!$E$2,"N",IF(AND(COUNTIF(B:B,B67)=1,D67&gt;14),"Y","N"))</f>
        <v>#N/A</v>
      </c>
      <c r="O67" s="55" t="str">
        <f>IF(COUNT(Nov[[#This Row],[Date]])&gt;0,IF(Nov[[#This Row],[Date]]&gt;14,"Yes","No"),"N/A")</f>
        <v>N/A</v>
      </c>
      <c r="P67" s="55"/>
      <c r="Q67" s="5">
        <f>Relay!A66</f>
        <v>0</v>
      </c>
      <c r="R67" s="5">
        <f>Relay!B66</f>
        <v>65</v>
      </c>
      <c r="S67" s="8">
        <f>IF(Nov[After the 14th?]="No",SUMIF(Nov[SysID],R67,Nov[Pay Amount]),0)+IF(Oct[After the 14th?]="Yes",SUMIF(Oct[SysID],R67,Oct[Pay Amount]),0)</f>
        <v>0</v>
      </c>
      <c r="T67" s="8"/>
      <c r="U67" s="5" t="str">
        <f t="shared" ref="U67:U103" si="5">IF(S67=T67,"N","Y")</f>
        <v>N</v>
      </c>
      <c r="X67" s="56"/>
      <c r="Y67" s="56"/>
      <c r="Z67" s="56"/>
      <c r="AA67" s="56"/>
      <c r="AC67" s="56"/>
    </row>
    <row r="68" spans="1:29" x14ac:dyDescent="0.25">
      <c r="A68" s="35"/>
      <c r="B68" s="32" t="e">
        <f>VLOOKUP(A68,Relay!$A$1:$B$50,2,FALSE)</f>
        <v>#N/A</v>
      </c>
      <c r="C68" s="32" t="e">
        <f>VLOOKUP(A68,Relay!$A$2:$C$101,3,FALSE)</f>
        <v>#N/A</v>
      </c>
      <c r="D68" s="39"/>
      <c r="E68" s="35"/>
      <c r="F68" s="58" t="str">
        <f t="shared" si="3"/>
        <v>INS</v>
      </c>
      <c r="G68" s="32" t="e">
        <f>IF(OR(E68="Jeopardy",E68="APP Moonlighting",E68="Differential Pay"),"",Nov[[#This Row],[SysID]])</f>
        <v>#N/A</v>
      </c>
      <c r="H68" s="32" t="e">
        <f>IF(E68="Jeopardy",IF(C68="MD",Relay!$E$7,Relay!$E$8),IF(C68="MD",IF(COUNTIF(G:G,B68)&gt;1,Relay!$E$2,Relay!$E$1),IF(AND(COUNTIF(G:G,B68)&gt;1,COUNTA(A68)&gt;0),Relay!$E$5,Relay!$E$4)))</f>
        <v>#N/A</v>
      </c>
      <c r="I68" s="8">
        <f t="shared" si="4"/>
        <v>0</v>
      </c>
      <c r="J68" s="35"/>
      <c r="K68" s="35"/>
      <c r="L68" s="35"/>
      <c r="M68" s="35"/>
      <c r="N68" s="32" t="e">
        <f>IF(H68=Nov!$E$2,"N",IF(AND(COUNTIF(B:B,B68)=1,D68&gt;14),"Y","N"))</f>
        <v>#N/A</v>
      </c>
      <c r="O68" s="55" t="str">
        <f>IF(COUNT(Nov[[#This Row],[Date]])&gt;0,IF(Nov[[#This Row],[Date]]&gt;14,"Yes","No"),"N/A")</f>
        <v>N/A</v>
      </c>
      <c r="P68" s="55"/>
      <c r="Q68" s="5">
        <f>Relay!A67</f>
        <v>0</v>
      </c>
      <c r="R68" s="5">
        <f>Relay!B67</f>
        <v>66</v>
      </c>
      <c r="S68" s="8">
        <f>IF(Nov[After the 14th?]="No",SUMIF(Nov[SysID],R68,Nov[Pay Amount]),0)+IF(Oct[After the 14th?]="Yes",SUMIF(Oct[SysID],R68,Oct[Pay Amount]),0)</f>
        <v>0</v>
      </c>
      <c r="T68" s="8"/>
      <c r="U68" s="5" t="str">
        <f t="shared" si="5"/>
        <v>N</v>
      </c>
      <c r="X68" s="56"/>
      <c r="Y68" s="56"/>
      <c r="Z68" s="56"/>
      <c r="AA68" s="56"/>
      <c r="AC68" s="56"/>
    </row>
    <row r="69" spans="1:29" x14ac:dyDescent="0.25">
      <c r="A69" s="35"/>
      <c r="B69" s="32" t="e">
        <f>VLOOKUP(A69,Relay!$A$1:$B$50,2,FALSE)</f>
        <v>#N/A</v>
      </c>
      <c r="C69" s="32" t="e">
        <f>VLOOKUP(A69,Relay!$A$2:$C$101,3,FALSE)</f>
        <v>#N/A</v>
      </c>
      <c r="D69" s="39"/>
      <c r="E69" s="35"/>
      <c r="F69" s="58" t="str">
        <f t="shared" si="3"/>
        <v>INS</v>
      </c>
      <c r="G69" s="32" t="e">
        <f>IF(OR(E69="Jeopardy",E69="APP Moonlighting",E69="Differential Pay"),"",Nov[[#This Row],[SysID]])</f>
        <v>#N/A</v>
      </c>
      <c r="H69" s="32" t="e">
        <f>IF(E69="Jeopardy",IF(C69="MD",Relay!$E$7,Relay!$E$8),IF(C69="MD",IF(COUNTIF(G:G,B69)&gt;1,Relay!$E$2,Relay!$E$1),IF(AND(COUNTIF(G:G,B69)&gt;1,COUNTA(A69)&gt;0),Relay!$E$5,Relay!$E$4)))</f>
        <v>#N/A</v>
      </c>
      <c r="I69" s="8">
        <f t="shared" si="4"/>
        <v>0</v>
      </c>
      <c r="J69" s="35"/>
      <c r="K69" s="35"/>
      <c r="L69" s="35"/>
      <c r="M69" s="35"/>
      <c r="N69" s="32" t="e">
        <f>IF(H69=Nov!$E$2,"N",IF(AND(COUNTIF(B:B,B69)=1,D69&gt;14),"Y","N"))</f>
        <v>#N/A</v>
      </c>
      <c r="O69" s="55" t="str">
        <f>IF(COUNT(Nov[[#This Row],[Date]])&gt;0,IF(Nov[[#This Row],[Date]]&gt;14,"Yes","No"),"N/A")</f>
        <v>N/A</v>
      </c>
      <c r="P69" s="55"/>
      <c r="Q69" s="5">
        <f>Relay!A68</f>
        <v>0</v>
      </c>
      <c r="R69" s="5">
        <f>Relay!B68</f>
        <v>67</v>
      </c>
      <c r="S69" s="8">
        <f>IF(Nov[After the 14th?]="No",SUMIF(Nov[SysID],R69,Nov[Pay Amount]),0)+IF(Oct[After the 14th?]="Yes",SUMIF(Oct[SysID],R69,Oct[Pay Amount]),0)</f>
        <v>0</v>
      </c>
      <c r="T69" s="8"/>
      <c r="U69" s="5" t="str">
        <f t="shared" si="5"/>
        <v>N</v>
      </c>
      <c r="X69" s="56"/>
      <c r="Y69" s="56"/>
      <c r="Z69" s="56"/>
      <c r="AA69" s="56"/>
      <c r="AC69" s="56"/>
    </row>
    <row r="70" spans="1:29" x14ac:dyDescent="0.25">
      <c r="A70" s="35"/>
      <c r="B70" s="32" t="e">
        <f>VLOOKUP(A70,Relay!$A$1:$B$50,2,FALSE)</f>
        <v>#N/A</v>
      </c>
      <c r="C70" s="32" t="e">
        <f>VLOOKUP(A70,Relay!$A$2:$C$101,3,FALSE)</f>
        <v>#N/A</v>
      </c>
      <c r="D70" s="39"/>
      <c r="E70" s="35"/>
      <c r="F70" s="58" t="str">
        <f t="shared" si="3"/>
        <v>INS</v>
      </c>
      <c r="G70" s="32" t="e">
        <f>IF(OR(E70="Jeopardy",E70="APP Moonlighting",E70="Differential Pay"),"",Nov[[#This Row],[SysID]])</f>
        <v>#N/A</v>
      </c>
      <c r="H70" s="32" t="e">
        <f>IF(E70="Jeopardy",IF(C70="MD",Relay!$E$7,Relay!$E$8),IF(C70="MD",IF(COUNTIF(G:G,B70)&gt;1,Relay!$E$2,Relay!$E$1),IF(AND(COUNTIF(G:G,B70)&gt;1,COUNTA(A70)&gt;0),Relay!$E$5,Relay!$E$4)))</f>
        <v>#N/A</v>
      </c>
      <c r="I70" s="8">
        <f t="shared" si="4"/>
        <v>0</v>
      </c>
      <c r="J70" s="35"/>
      <c r="K70" s="35"/>
      <c r="L70" s="35"/>
      <c r="M70" s="35"/>
      <c r="N70" s="32" t="e">
        <f>IF(H70=Nov!$E$2,"N",IF(AND(COUNTIF(B:B,B70)=1,D70&gt;14),"Y","N"))</f>
        <v>#N/A</v>
      </c>
      <c r="O70" s="55" t="str">
        <f>IF(COUNT(Nov[[#This Row],[Date]])&gt;0,IF(Nov[[#This Row],[Date]]&gt;14,"Yes","No"),"N/A")</f>
        <v>N/A</v>
      </c>
      <c r="P70" s="55"/>
      <c r="Q70" s="5">
        <f>Relay!A69</f>
        <v>0</v>
      </c>
      <c r="R70" s="5">
        <f>Relay!B69</f>
        <v>68</v>
      </c>
      <c r="S70" s="8">
        <f>IF(Nov[After the 14th?]="No",SUMIF(Nov[SysID],R70,Nov[Pay Amount]),0)+IF(Oct[After the 14th?]="Yes",SUMIF(Oct[SysID],R70,Oct[Pay Amount]),0)</f>
        <v>0</v>
      </c>
      <c r="T70" s="8"/>
      <c r="U70" s="5" t="str">
        <f t="shared" si="5"/>
        <v>N</v>
      </c>
      <c r="X70" s="56"/>
      <c r="Y70" s="56"/>
      <c r="Z70" s="56"/>
      <c r="AA70" s="56"/>
      <c r="AC70" s="56"/>
    </row>
    <row r="71" spans="1:29" x14ac:dyDescent="0.25">
      <c r="A71" s="35"/>
      <c r="B71" s="32" t="e">
        <f>VLOOKUP(A71,Relay!$A$1:$B$50,2,FALSE)</f>
        <v>#N/A</v>
      </c>
      <c r="C71" s="32" t="e">
        <f>VLOOKUP(A71,Relay!$A$2:$C$101,3,FALSE)</f>
        <v>#N/A</v>
      </c>
      <c r="D71" s="39"/>
      <c r="E71" s="35"/>
      <c r="F71" s="58" t="str">
        <f t="shared" si="3"/>
        <v>INS</v>
      </c>
      <c r="G71" s="32" t="e">
        <f>IF(OR(E71="Jeopardy",E71="APP Moonlighting",E71="Differential Pay"),"",Nov[[#This Row],[SysID]])</f>
        <v>#N/A</v>
      </c>
      <c r="H71" s="32" t="e">
        <f>IF(E71="Jeopardy",IF(C71="MD",Relay!$E$7,Relay!$E$8),IF(C71="MD",IF(COUNTIF(G:G,B71)&gt;1,Relay!$E$2,Relay!$E$1),IF(AND(COUNTIF(G:G,B71)&gt;1,COUNTA(A71)&gt;0),Relay!$E$5,Relay!$E$4)))</f>
        <v>#N/A</v>
      </c>
      <c r="I71" s="8">
        <f t="shared" si="4"/>
        <v>0</v>
      </c>
      <c r="J71" s="35"/>
      <c r="K71" s="35"/>
      <c r="L71" s="35"/>
      <c r="M71" s="35"/>
      <c r="N71" s="32" t="e">
        <f>IF(H71=Nov!$E$2,"N",IF(AND(COUNTIF(B:B,B71)=1,D71&gt;14),"Y","N"))</f>
        <v>#N/A</v>
      </c>
      <c r="O71" s="55" t="str">
        <f>IF(COUNT(Nov[[#This Row],[Date]])&gt;0,IF(Nov[[#This Row],[Date]]&gt;14,"Yes","No"),"N/A")</f>
        <v>N/A</v>
      </c>
      <c r="P71" s="55"/>
      <c r="Q71" s="5">
        <f>Relay!A70</f>
        <v>0</v>
      </c>
      <c r="R71" s="5">
        <f>Relay!B70</f>
        <v>69</v>
      </c>
      <c r="S71" s="8">
        <f>IF(Nov[After the 14th?]="No",SUMIF(Nov[SysID],R71,Nov[Pay Amount]),0)+IF(Oct[After the 14th?]="Yes",SUMIF(Oct[SysID],R71,Oct[Pay Amount]),0)</f>
        <v>0</v>
      </c>
      <c r="T71" s="8"/>
      <c r="U71" s="5" t="str">
        <f t="shared" si="5"/>
        <v>N</v>
      </c>
      <c r="X71" s="56"/>
      <c r="Y71" s="56"/>
      <c r="Z71" s="56"/>
      <c r="AA71" s="56"/>
      <c r="AC71" s="56"/>
    </row>
    <row r="72" spans="1:29" x14ac:dyDescent="0.25">
      <c r="A72" s="35"/>
      <c r="B72" s="32" t="e">
        <f>VLOOKUP(A72,Relay!$A$1:$B$50,2,FALSE)</f>
        <v>#N/A</v>
      </c>
      <c r="C72" s="32" t="e">
        <f>VLOOKUP(A72,Relay!$A$2:$C$101,3,FALSE)</f>
        <v>#N/A</v>
      </c>
      <c r="D72" s="39"/>
      <c r="E72" s="35"/>
      <c r="F72" s="58" t="str">
        <f t="shared" si="3"/>
        <v>INS</v>
      </c>
      <c r="G72" s="32" t="e">
        <f>IF(OR(E72="Jeopardy",E72="APP Moonlighting",E72="Differential Pay"),"",Nov[[#This Row],[SysID]])</f>
        <v>#N/A</v>
      </c>
      <c r="H72" s="32" t="e">
        <f>IF(E72="Jeopardy",IF(C72="MD",Relay!$E$7,Relay!$E$8),IF(C72="MD",IF(COUNTIF(G:G,B72)&gt;1,Relay!$E$2,Relay!$E$1),IF(AND(COUNTIF(G:G,B72)&gt;1,COUNTA(A72)&gt;0),Relay!$E$5,Relay!$E$4)))</f>
        <v>#N/A</v>
      </c>
      <c r="I72" s="8">
        <f t="shared" si="4"/>
        <v>0</v>
      </c>
      <c r="J72" s="35"/>
      <c r="K72" s="35"/>
      <c r="L72" s="35"/>
      <c r="M72" s="35"/>
      <c r="N72" s="32" t="e">
        <f>IF(H72=Nov!$E$2,"N",IF(AND(COUNTIF(B:B,B72)=1,D72&gt;14),"Y","N"))</f>
        <v>#N/A</v>
      </c>
      <c r="O72" s="55" t="str">
        <f>IF(COUNT(Nov[[#This Row],[Date]])&gt;0,IF(Nov[[#This Row],[Date]]&gt;14,"Yes","No"),"N/A")</f>
        <v>N/A</v>
      </c>
      <c r="P72" s="55"/>
      <c r="Q72" s="5">
        <f>Relay!A71</f>
        <v>0</v>
      </c>
      <c r="R72" s="5">
        <f>Relay!B71</f>
        <v>70</v>
      </c>
      <c r="S72" s="8">
        <f>IF(Nov[After the 14th?]="No",SUMIF(Nov[SysID],R72,Nov[Pay Amount]),0)+IF(Oct[After the 14th?]="Yes",SUMIF(Oct[SysID],R72,Oct[Pay Amount]),0)</f>
        <v>0</v>
      </c>
      <c r="T72" s="8"/>
      <c r="U72" s="5" t="str">
        <f t="shared" si="5"/>
        <v>N</v>
      </c>
      <c r="X72" s="56"/>
      <c r="Y72" s="56"/>
      <c r="Z72" s="56"/>
      <c r="AA72" s="56"/>
      <c r="AC72" s="56"/>
    </row>
    <row r="73" spans="1:29" x14ac:dyDescent="0.25">
      <c r="A73" s="35"/>
      <c r="B73" s="32" t="e">
        <f>VLOOKUP(A73,Relay!$A$1:$B$50,2,FALSE)</f>
        <v>#N/A</v>
      </c>
      <c r="C73" s="32" t="e">
        <f>VLOOKUP(A73,Relay!$A$2:$C$101,3,FALSE)</f>
        <v>#N/A</v>
      </c>
      <c r="D73" s="39"/>
      <c r="E73" s="35"/>
      <c r="F73" s="58" t="str">
        <f t="shared" si="3"/>
        <v>INS</v>
      </c>
      <c r="G73" s="32" t="e">
        <f>IF(OR(E73="Jeopardy",E73="APP Moonlighting",E73="Differential Pay"),"",Nov[[#This Row],[SysID]])</f>
        <v>#N/A</v>
      </c>
      <c r="H73" s="32" t="e">
        <f>IF(E73="Jeopardy",IF(C73="MD",Relay!$E$7,Relay!$E$8),IF(C73="MD",IF(COUNTIF(G:G,B73)&gt;1,Relay!$E$2,Relay!$E$1),IF(AND(COUNTIF(G:G,B73)&gt;1,COUNTA(A73)&gt;0),Relay!$E$5,Relay!$E$4)))</f>
        <v>#N/A</v>
      </c>
      <c r="I73" s="8">
        <f t="shared" si="4"/>
        <v>0</v>
      </c>
      <c r="J73" s="35"/>
      <c r="K73" s="35"/>
      <c r="L73" s="35"/>
      <c r="M73" s="35"/>
      <c r="N73" s="32" t="e">
        <f>IF(H73=Nov!$E$2,"N",IF(AND(COUNTIF(B:B,B73)=1,D73&gt;14),"Y","N"))</f>
        <v>#N/A</v>
      </c>
      <c r="O73" s="55" t="str">
        <f>IF(COUNT(Nov[[#This Row],[Date]])&gt;0,IF(Nov[[#This Row],[Date]]&gt;14,"Yes","No"),"N/A")</f>
        <v>N/A</v>
      </c>
      <c r="P73" s="55"/>
      <c r="Q73" s="5">
        <f>Relay!A72</f>
        <v>0</v>
      </c>
      <c r="R73" s="5">
        <f>Relay!B72</f>
        <v>71</v>
      </c>
      <c r="S73" s="8">
        <f>IF(Nov[After the 14th?]="No",SUMIF(Nov[SysID],R73,Nov[Pay Amount]),0)+IF(Oct[After the 14th?]="Yes",SUMIF(Oct[SysID],R73,Oct[Pay Amount]),0)</f>
        <v>0</v>
      </c>
      <c r="T73" s="8"/>
      <c r="U73" s="5" t="str">
        <f t="shared" si="5"/>
        <v>N</v>
      </c>
      <c r="X73" s="56"/>
      <c r="Y73" s="56"/>
      <c r="Z73" s="56"/>
      <c r="AA73" s="56"/>
      <c r="AC73" s="56"/>
    </row>
    <row r="74" spans="1:29" x14ac:dyDescent="0.25">
      <c r="A74" s="35"/>
      <c r="B74" s="32" t="e">
        <f>VLOOKUP(A74,Relay!$A$1:$B$50,2,FALSE)</f>
        <v>#N/A</v>
      </c>
      <c r="C74" s="32" t="e">
        <f>VLOOKUP(A74,Relay!$A$2:$C$101,3,FALSE)</f>
        <v>#N/A</v>
      </c>
      <c r="D74" s="39"/>
      <c r="E74" s="35"/>
      <c r="F74" s="58" t="str">
        <f t="shared" si="3"/>
        <v>INS</v>
      </c>
      <c r="G74" s="32" t="e">
        <f>IF(OR(E74="Jeopardy",E74="APP Moonlighting",E74="Differential Pay"),"",Nov[[#This Row],[SysID]])</f>
        <v>#N/A</v>
      </c>
      <c r="H74" s="32" t="e">
        <f>IF(E74="Jeopardy",IF(C74="MD",Relay!$E$7,Relay!$E$8),IF(C74="MD",IF(COUNTIF(G:G,B74)&gt;1,Relay!$E$2,Relay!$E$1),IF(AND(COUNTIF(G:G,B74)&gt;1,COUNTA(A74)&gt;0),Relay!$E$5,Relay!$E$4)))</f>
        <v>#N/A</v>
      </c>
      <c r="I74" s="8">
        <f t="shared" si="4"/>
        <v>0</v>
      </c>
      <c r="J74" s="35"/>
      <c r="K74" s="35"/>
      <c r="L74" s="35"/>
      <c r="M74" s="35"/>
      <c r="N74" s="32" t="e">
        <f>IF(H74=Nov!$E$2,"N",IF(AND(COUNTIF(B:B,B74)=1,D74&gt;14),"Y","N"))</f>
        <v>#N/A</v>
      </c>
      <c r="O74" s="55" t="str">
        <f>IF(COUNT(Nov[[#This Row],[Date]])&gt;0,IF(Nov[[#This Row],[Date]]&gt;14,"Yes","No"),"N/A")</f>
        <v>N/A</v>
      </c>
      <c r="P74" s="55"/>
      <c r="Q74" s="5">
        <f>Relay!A73</f>
        <v>0</v>
      </c>
      <c r="R74" s="5">
        <f>Relay!B73</f>
        <v>72</v>
      </c>
      <c r="S74" s="8">
        <f>IF(Nov[After the 14th?]="No",SUMIF(Nov[SysID],R74,Nov[Pay Amount]),0)+IF(Oct[After the 14th?]="Yes",SUMIF(Oct[SysID],R74,Oct[Pay Amount]),0)</f>
        <v>0</v>
      </c>
      <c r="T74" s="8"/>
      <c r="U74" s="5" t="str">
        <f t="shared" si="5"/>
        <v>N</v>
      </c>
      <c r="X74" s="56"/>
      <c r="Y74" s="56"/>
      <c r="Z74" s="56"/>
      <c r="AA74" s="56"/>
      <c r="AC74" s="56"/>
    </row>
    <row r="75" spans="1:29" x14ac:dyDescent="0.25">
      <c r="A75" s="35"/>
      <c r="B75" s="32" t="e">
        <f>VLOOKUP(A75,Relay!$A$1:$B$50,2,FALSE)</f>
        <v>#N/A</v>
      </c>
      <c r="C75" s="32" t="e">
        <f>VLOOKUP(A75,Relay!$A$2:$C$101,3,FALSE)</f>
        <v>#N/A</v>
      </c>
      <c r="D75" s="39"/>
      <c r="E75" s="35"/>
      <c r="F75" s="58" t="str">
        <f t="shared" si="3"/>
        <v>INS</v>
      </c>
      <c r="G75" s="32" t="e">
        <f>IF(OR(E75="Jeopardy",E75="APP Moonlighting",E75="Differential Pay"),"",Nov[[#This Row],[SysID]])</f>
        <v>#N/A</v>
      </c>
      <c r="H75" s="32" t="e">
        <f>IF(E75="Jeopardy",IF(C75="MD",Relay!$E$7,Relay!$E$8),IF(C75="MD",IF(COUNTIF(G:G,B75)&gt;1,Relay!$E$2,Relay!$E$1),IF(AND(COUNTIF(G:G,B75)&gt;1,COUNTA(A75)&gt;0),Relay!$E$5,Relay!$E$4)))</f>
        <v>#N/A</v>
      </c>
      <c r="I75" s="8">
        <f t="shared" si="4"/>
        <v>0</v>
      </c>
      <c r="J75" s="35"/>
      <c r="K75" s="35"/>
      <c r="L75" s="35"/>
      <c r="M75" s="35"/>
      <c r="N75" s="32" t="e">
        <f>IF(H75=Nov!$E$2,"N",IF(AND(COUNTIF(B:B,B75)=1,D75&gt;14),"Y","N"))</f>
        <v>#N/A</v>
      </c>
      <c r="O75" s="55" t="str">
        <f>IF(COUNT(Nov[[#This Row],[Date]])&gt;0,IF(Nov[[#This Row],[Date]]&gt;14,"Yes","No"),"N/A")</f>
        <v>N/A</v>
      </c>
      <c r="P75" s="55"/>
      <c r="Q75" s="5">
        <f>Relay!A74</f>
        <v>0</v>
      </c>
      <c r="R75" s="5">
        <f>Relay!B74</f>
        <v>73</v>
      </c>
      <c r="S75" s="8">
        <f>IF(Nov[After the 14th?]="No",SUMIF(Nov[SysID],R75,Nov[Pay Amount]),0)+IF(Oct[After the 14th?]="Yes",SUMIF(Oct[SysID],R75,Oct[Pay Amount]),0)</f>
        <v>0</v>
      </c>
      <c r="T75" s="8"/>
      <c r="U75" s="5" t="str">
        <f t="shared" si="5"/>
        <v>N</v>
      </c>
      <c r="X75" s="56"/>
      <c r="Y75" s="56"/>
      <c r="Z75" s="56"/>
      <c r="AA75" s="56"/>
      <c r="AC75" s="56"/>
    </row>
    <row r="76" spans="1:29" x14ac:dyDescent="0.25">
      <c r="A76" s="35"/>
      <c r="B76" s="32" t="e">
        <f>VLOOKUP(A76,Relay!$A$1:$B$50,2,FALSE)</f>
        <v>#N/A</v>
      </c>
      <c r="C76" s="32" t="e">
        <f>VLOOKUP(A76,Relay!$A$2:$C$101,3,FALSE)</f>
        <v>#N/A</v>
      </c>
      <c r="D76" s="39"/>
      <c r="E76" s="35"/>
      <c r="F76" s="58" t="str">
        <f t="shared" si="3"/>
        <v>INS</v>
      </c>
      <c r="G76" s="32" t="e">
        <f>IF(OR(E76="Jeopardy",E76="APP Moonlighting",E76="Differential Pay"),"",Nov[[#This Row],[SysID]])</f>
        <v>#N/A</v>
      </c>
      <c r="H76" s="32" t="e">
        <f>IF(E76="Jeopardy",IF(C76="MD",Relay!$E$7,Relay!$E$8),IF(C76="MD",IF(COUNTIF(G:G,B76)&gt;1,Relay!$E$2,Relay!$E$1),IF(AND(COUNTIF(G:G,B76)&gt;1,COUNTA(A76)&gt;0),Relay!$E$5,Relay!$E$4)))</f>
        <v>#N/A</v>
      </c>
      <c r="I76" s="8">
        <f t="shared" si="4"/>
        <v>0</v>
      </c>
      <c r="J76" s="35"/>
      <c r="K76" s="35"/>
      <c r="L76" s="35"/>
      <c r="M76" s="35"/>
      <c r="N76" s="32" t="e">
        <f>IF(H76=Nov!$E$2,"N",IF(AND(COUNTIF(B:B,B76)=1,D76&gt;14),"Y","N"))</f>
        <v>#N/A</v>
      </c>
      <c r="O76" s="55" t="str">
        <f>IF(COUNT(Nov[[#This Row],[Date]])&gt;0,IF(Nov[[#This Row],[Date]]&gt;14,"Yes","No"),"N/A")</f>
        <v>N/A</v>
      </c>
      <c r="P76" s="55"/>
      <c r="Q76" s="5">
        <f>Relay!A75</f>
        <v>0</v>
      </c>
      <c r="R76" s="5">
        <f>Relay!B75</f>
        <v>74</v>
      </c>
      <c r="S76" s="8">
        <f>IF(Nov[After the 14th?]="No",SUMIF(Nov[SysID],R76,Nov[Pay Amount]),0)+IF(Oct[After the 14th?]="Yes",SUMIF(Oct[SysID],R76,Oct[Pay Amount]),0)</f>
        <v>0</v>
      </c>
      <c r="T76" s="8"/>
      <c r="U76" s="5" t="str">
        <f t="shared" si="5"/>
        <v>N</v>
      </c>
      <c r="X76" s="56"/>
      <c r="Y76" s="56"/>
      <c r="Z76" s="56"/>
      <c r="AA76" s="56"/>
      <c r="AC76" s="56"/>
    </row>
    <row r="77" spans="1:29" x14ac:dyDescent="0.25">
      <c r="A77" s="35"/>
      <c r="B77" s="32" t="e">
        <f>VLOOKUP(A77,Relay!$A$1:$B$50,2,FALSE)</f>
        <v>#N/A</v>
      </c>
      <c r="C77" s="32" t="e">
        <f>VLOOKUP(A77,Relay!$A$2:$C$101,3,FALSE)</f>
        <v>#N/A</v>
      </c>
      <c r="D77" s="39"/>
      <c r="E77" s="35"/>
      <c r="F77" s="58" t="str">
        <f t="shared" si="3"/>
        <v>INS</v>
      </c>
      <c r="G77" s="32" t="e">
        <f>IF(OR(E77="Jeopardy",E77="APP Moonlighting",E77="Differential Pay"),"",Nov[[#This Row],[SysID]])</f>
        <v>#N/A</v>
      </c>
      <c r="H77" s="32" t="e">
        <f>IF(E77="Jeopardy",IF(C77="MD",Relay!$E$7,Relay!$E$8),IF(C77="MD",IF(COUNTIF(G:G,B77)&gt;1,Relay!$E$2,Relay!$E$1),IF(AND(COUNTIF(G:G,B77)&gt;1,COUNTA(A77)&gt;0),Relay!$E$5,Relay!$E$4)))</f>
        <v>#N/A</v>
      </c>
      <c r="I77" s="8">
        <f t="shared" si="4"/>
        <v>0</v>
      </c>
      <c r="J77" s="35"/>
      <c r="K77" s="35"/>
      <c r="L77" s="35"/>
      <c r="M77" s="35"/>
      <c r="N77" s="32" t="e">
        <f>IF(H77=Nov!$E$2,"N",IF(AND(COUNTIF(B:B,B77)=1,D77&gt;14),"Y","N"))</f>
        <v>#N/A</v>
      </c>
      <c r="O77" s="55" t="str">
        <f>IF(COUNT(Nov[[#This Row],[Date]])&gt;0,IF(Nov[[#This Row],[Date]]&gt;14,"Yes","No"),"N/A")</f>
        <v>N/A</v>
      </c>
      <c r="P77" s="55"/>
      <c r="Q77" s="5">
        <f>Relay!A76</f>
        <v>0</v>
      </c>
      <c r="R77" s="5">
        <f>Relay!B76</f>
        <v>75</v>
      </c>
      <c r="S77" s="8">
        <f>IF(Nov[After the 14th?]="No",SUMIF(Nov[SysID],R77,Nov[Pay Amount]),0)+IF(Oct[After the 14th?]="Yes",SUMIF(Oct[SysID],R77,Oct[Pay Amount]),0)</f>
        <v>0</v>
      </c>
      <c r="T77" s="8"/>
      <c r="U77" s="5" t="str">
        <f t="shared" si="5"/>
        <v>N</v>
      </c>
      <c r="X77" s="56"/>
      <c r="Y77" s="56"/>
      <c r="Z77" s="56"/>
      <c r="AA77" s="56"/>
      <c r="AC77" s="56"/>
    </row>
    <row r="78" spans="1:29" x14ac:dyDescent="0.25">
      <c r="A78" s="35"/>
      <c r="B78" s="32" t="e">
        <f>VLOOKUP(A78,Relay!$A$1:$B$50,2,FALSE)</f>
        <v>#N/A</v>
      </c>
      <c r="C78" s="32" t="e">
        <f>VLOOKUP(A78,Relay!$A$2:$C$101,3,FALSE)</f>
        <v>#N/A</v>
      </c>
      <c r="D78" s="39"/>
      <c r="E78" s="35"/>
      <c r="F78" s="58" t="str">
        <f t="shared" si="3"/>
        <v>INS</v>
      </c>
      <c r="G78" s="32" t="e">
        <f>IF(OR(E78="Jeopardy",E78="APP Moonlighting",E78="Differential Pay"),"",Nov[[#This Row],[SysID]])</f>
        <v>#N/A</v>
      </c>
      <c r="H78" s="32" t="e">
        <f>IF(E78="Jeopardy",IF(C78="MD",Relay!$E$7,Relay!$E$8),IF(C78="MD",IF(COUNTIF(G:G,B78)&gt;1,Relay!$E$2,Relay!$E$1),IF(AND(COUNTIF(G:G,B78)&gt;1,COUNTA(A78)&gt;0),Relay!$E$5,Relay!$E$4)))</f>
        <v>#N/A</v>
      </c>
      <c r="I78" s="8">
        <f t="shared" si="4"/>
        <v>0</v>
      </c>
      <c r="J78" s="35"/>
      <c r="K78" s="35"/>
      <c r="L78" s="35"/>
      <c r="M78" s="35"/>
      <c r="N78" s="32" t="e">
        <f>IF(H78=Nov!$E$2,"N",IF(AND(COUNTIF(B:B,B78)=1,D78&gt;14),"Y","N"))</f>
        <v>#N/A</v>
      </c>
      <c r="O78" s="55" t="str">
        <f>IF(COUNT(Nov[[#This Row],[Date]])&gt;0,IF(Nov[[#This Row],[Date]]&gt;14,"Yes","No"),"N/A")</f>
        <v>N/A</v>
      </c>
      <c r="P78" s="55"/>
      <c r="Q78" s="5">
        <f>Relay!A77</f>
        <v>0</v>
      </c>
      <c r="R78" s="5">
        <f>Relay!B77</f>
        <v>76</v>
      </c>
      <c r="S78" s="8">
        <f>IF(Nov[After the 14th?]="No",SUMIF(Nov[SysID],R78,Nov[Pay Amount]),0)+IF(Oct[After the 14th?]="Yes",SUMIF(Oct[SysID],R78,Oct[Pay Amount]),0)</f>
        <v>0</v>
      </c>
      <c r="T78" s="8"/>
      <c r="U78" s="5" t="str">
        <f t="shared" si="5"/>
        <v>N</v>
      </c>
      <c r="X78" s="56"/>
      <c r="Y78" s="56"/>
      <c r="Z78" s="56"/>
      <c r="AA78" s="56"/>
      <c r="AC78" s="56"/>
    </row>
    <row r="79" spans="1:29" x14ac:dyDescent="0.25">
      <c r="A79" s="35"/>
      <c r="B79" s="32" t="e">
        <f>VLOOKUP(A79,Relay!$A$1:$B$50,2,FALSE)</f>
        <v>#N/A</v>
      </c>
      <c r="C79" s="32" t="e">
        <f>VLOOKUP(A79,Relay!$A$2:$C$101,3,FALSE)</f>
        <v>#N/A</v>
      </c>
      <c r="D79" s="39"/>
      <c r="E79" s="35"/>
      <c r="F79" s="58" t="str">
        <f t="shared" si="3"/>
        <v>INS</v>
      </c>
      <c r="G79" s="32" t="e">
        <f>IF(OR(E79="Jeopardy",E79="APP Moonlighting",E79="Differential Pay"),"",Nov[[#This Row],[SysID]])</f>
        <v>#N/A</v>
      </c>
      <c r="H79" s="32" t="e">
        <f>IF(E79="Jeopardy",IF(C79="MD",Relay!$E$7,Relay!$E$8),IF(C79="MD",IF(COUNTIF(G:G,B79)&gt;1,Relay!$E$2,Relay!$E$1),IF(AND(COUNTIF(G:G,B79)&gt;1,COUNTA(A79)&gt;0),Relay!$E$5,Relay!$E$4)))</f>
        <v>#N/A</v>
      </c>
      <c r="I79" s="8">
        <f t="shared" si="4"/>
        <v>0</v>
      </c>
      <c r="J79" s="35"/>
      <c r="K79" s="35"/>
      <c r="L79" s="35"/>
      <c r="M79" s="35"/>
      <c r="N79" s="32" t="e">
        <f>IF(H79=Nov!$E$2,"N",IF(AND(COUNTIF(B:B,B79)=1,D79&gt;14),"Y","N"))</f>
        <v>#N/A</v>
      </c>
      <c r="O79" s="55" t="str">
        <f>IF(COUNT(Nov[[#This Row],[Date]])&gt;0,IF(Nov[[#This Row],[Date]]&gt;14,"Yes","No"),"N/A")</f>
        <v>N/A</v>
      </c>
      <c r="P79" s="55"/>
      <c r="Q79" s="5">
        <f>Relay!A78</f>
        <v>0</v>
      </c>
      <c r="R79" s="5">
        <f>Relay!B78</f>
        <v>77</v>
      </c>
      <c r="S79" s="8">
        <f>IF(Nov[After the 14th?]="No",SUMIF(Nov[SysID],R79,Nov[Pay Amount]),0)+IF(Oct[After the 14th?]="Yes",SUMIF(Oct[SysID],R79,Oct[Pay Amount]),0)</f>
        <v>0</v>
      </c>
      <c r="T79" s="8"/>
      <c r="U79" s="5" t="str">
        <f t="shared" si="5"/>
        <v>N</v>
      </c>
      <c r="X79" s="56"/>
      <c r="Y79" s="56"/>
      <c r="Z79" s="56"/>
      <c r="AA79" s="56"/>
      <c r="AC79" s="56"/>
    </row>
    <row r="80" spans="1:29" x14ac:dyDescent="0.25">
      <c r="A80" s="35"/>
      <c r="B80" s="32" t="e">
        <f>VLOOKUP(A80,Relay!$A$1:$B$50,2,FALSE)</f>
        <v>#N/A</v>
      </c>
      <c r="C80" s="32" t="e">
        <f>VLOOKUP(A80,Relay!$A$2:$C$101,3,FALSE)</f>
        <v>#N/A</v>
      </c>
      <c r="D80" s="39"/>
      <c r="E80" s="35"/>
      <c r="F80" s="58" t="str">
        <f t="shared" si="3"/>
        <v>INS</v>
      </c>
      <c r="G80" s="32" t="e">
        <f>IF(OR(E80="Jeopardy",E80="APP Moonlighting",E80="Differential Pay"),"",Nov[[#This Row],[SysID]])</f>
        <v>#N/A</v>
      </c>
      <c r="H80" s="32" t="e">
        <f>IF(E80="Jeopardy",IF(C80="MD",Relay!$E$7,Relay!$E$8),IF(C80="MD",IF(COUNTIF(G:G,B80)&gt;1,Relay!$E$2,Relay!$E$1),IF(AND(COUNTIF(G:G,B80)&gt;1,COUNTA(A80)&gt;0),Relay!$E$5,Relay!$E$4)))</f>
        <v>#N/A</v>
      </c>
      <c r="I80" s="8">
        <f t="shared" si="4"/>
        <v>0</v>
      </c>
      <c r="J80" s="35"/>
      <c r="K80" s="35"/>
      <c r="L80" s="35"/>
      <c r="M80" s="35"/>
      <c r="N80" s="32" t="e">
        <f>IF(H80=Nov!$E$2,"N",IF(AND(COUNTIF(B:B,B80)=1,D80&gt;14),"Y","N"))</f>
        <v>#N/A</v>
      </c>
      <c r="O80" s="55" t="str">
        <f>IF(COUNT(Nov[[#This Row],[Date]])&gt;0,IF(Nov[[#This Row],[Date]]&gt;14,"Yes","No"),"N/A")</f>
        <v>N/A</v>
      </c>
      <c r="P80" s="55"/>
      <c r="Q80" s="5">
        <f>Relay!A79</f>
        <v>0</v>
      </c>
      <c r="R80" s="5">
        <f>Relay!B79</f>
        <v>78</v>
      </c>
      <c r="S80" s="8">
        <f>IF(Nov[After the 14th?]="No",SUMIF(Nov[SysID],R80,Nov[Pay Amount]),0)+IF(Oct[After the 14th?]="Yes",SUMIF(Oct[SysID],R80,Oct[Pay Amount]),0)</f>
        <v>0</v>
      </c>
      <c r="T80" s="8"/>
      <c r="U80" s="5" t="str">
        <f t="shared" si="5"/>
        <v>N</v>
      </c>
      <c r="X80" s="56"/>
      <c r="Y80" s="56"/>
      <c r="Z80" s="56"/>
      <c r="AA80" s="56"/>
      <c r="AC80" s="56"/>
    </row>
    <row r="81" spans="1:29" x14ac:dyDescent="0.25">
      <c r="A81" s="35"/>
      <c r="B81" s="32" t="e">
        <f>VLOOKUP(A81,Relay!$A$1:$B$50,2,FALSE)</f>
        <v>#N/A</v>
      </c>
      <c r="C81" s="32" t="e">
        <f>VLOOKUP(A81,Relay!$A$2:$C$101,3,FALSE)</f>
        <v>#N/A</v>
      </c>
      <c r="D81" s="39"/>
      <c r="E81" s="35"/>
      <c r="F81" s="58" t="str">
        <f t="shared" si="3"/>
        <v>INS</v>
      </c>
      <c r="G81" s="32" t="e">
        <f>IF(OR(E81="Jeopardy",E81="APP Moonlighting",E81="Differential Pay"),"",Nov[[#This Row],[SysID]])</f>
        <v>#N/A</v>
      </c>
      <c r="H81" s="32" t="e">
        <f>IF(E81="Jeopardy",IF(C81="MD",Relay!$E$7,Relay!$E$8),IF(C81="MD",IF(COUNTIF(G:G,B81)&gt;1,Relay!$E$2,Relay!$E$1),IF(AND(COUNTIF(G:G,B81)&gt;1,COUNTA(A81)&gt;0),Relay!$E$5,Relay!$E$4)))</f>
        <v>#N/A</v>
      </c>
      <c r="I81" s="8">
        <f t="shared" si="4"/>
        <v>0</v>
      </c>
      <c r="J81" s="35"/>
      <c r="K81" s="35"/>
      <c r="L81" s="35"/>
      <c r="M81" s="35"/>
      <c r="N81" s="32" t="e">
        <f>IF(H81=Nov!$E$2,"N",IF(AND(COUNTIF(B:B,B81)=1,D81&gt;14),"Y","N"))</f>
        <v>#N/A</v>
      </c>
      <c r="O81" s="55" t="str">
        <f>IF(COUNT(Nov[[#This Row],[Date]])&gt;0,IF(Nov[[#This Row],[Date]]&gt;14,"Yes","No"),"N/A")</f>
        <v>N/A</v>
      </c>
      <c r="P81" s="55"/>
      <c r="Q81" s="5">
        <f>Relay!A80</f>
        <v>0</v>
      </c>
      <c r="R81" s="5">
        <f>Relay!B80</f>
        <v>79</v>
      </c>
      <c r="S81" s="8">
        <f>IF(Nov[After the 14th?]="No",SUMIF(Nov[SysID],R81,Nov[Pay Amount]),0)+IF(Oct[After the 14th?]="Yes",SUMIF(Oct[SysID],R81,Oct[Pay Amount]),0)</f>
        <v>0</v>
      </c>
      <c r="T81" s="8"/>
      <c r="U81" s="5" t="str">
        <f t="shared" si="5"/>
        <v>N</v>
      </c>
      <c r="X81" s="56"/>
      <c r="Y81" s="56"/>
      <c r="Z81" s="56"/>
      <c r="AA81" s="56"/>
      <c r="AC81" s="56"/>
    </row>
    <row r="82" spans="1:29" x14ac:dyDescent="0.25">
      <c r="A82" s="35"/>
      <c r="B82" s="32" t="e">
        <f>VLOOKUP(A82,Relay!$A$1:$B$50,2,FALSE)</f>
        <v>#N/A</v>
      </c>
      <c r="C82" s="32" t="e">
        <f>VLOOKUP(A82,Relay!$A$2:$C$101,3,FALSE)</f>
        <v>#N/A</v>
      </c>
      <c r="D82" s="39"/>
      <c r="E82" s="35"/>
      <c r="F82" s="58" t="str">
        <f t="shared" si="3"/>
        <v>INS</v>
      </c>
      <c r="G82" s="32" t="e">
        <f>IF(OR(E82="Jeopardy",E82="APP Moonlighting",E82="Differential Pay"),"",Nov[[#This Row],[SysID]])</f>
        <v>#N/A</v>
      </c>
      <c r="H82" s="32" t="e">
        <f>IF(E82="Jeopardy",IF(C82="MD",Relay!$E$7,Relay!$E$8),IF(C82="MD",IF(COUNTIF(G:G,B82)&gt;1,Relay!$E$2,Relay!$E$1),IF(AND(COUNTIF(G:G,B82)&gt;1,COUNTA(A82)&gt;0),Relay!$E$5,Relay!$E$4)))</f>
        <v>#N/A</v>
      </c>
      <c r="I82" s="8">
        <f t="shared" si="4"/>
        <v>0</v>
      </c>
      <c r="J82" s="35"/>
      <c r="K82" s="35"/>
      <c r="L82" s="35"/>
      <c r="M82" s="35"/>
      <c r="N82" s="32" t="e">
        <f>IF(H82=Nov!$E$2,"N",IF(AND(COUNTIF(B:B,B82)=1,D82&gt;14),"Y","N"))</f>
        <v>#N/A</v>
      </c>
      <c r="O82" s="55" t="str">
        <f>IF(COUNT(Nov[[#This Row],[Date]])&gt;0,IF(Nov[[#This Row],[Date]]&gt;14,"Yes","No"),"N/A")</f>
        <v>N/A</v>
      </c>
      <c r="P82" s="55"/>
      <c r="Q82" s="5">
        <f>Relay!A81</f>
        <v>0</v>
      </c>
      <c r="R82" s="5">
        <f>Relay!B81</f>
        <v>80</v>
      </c>
      <c r="S82" s="8">
        <f>IF(Nov[After the 14th?]="No",SUMIF(Nov[SysID],R82,Nov[Pay Amount]),0)+IF(Oct[After the 14th?]="Yes",SUMIF(Oct[SysID],R82,Oct[Pay Amount]),0)</f>
        <v>0</v>
      </c>
      <c r="T82" s="8"/>
      <c r="U82" s="5" t="str">
        <f t="shared" si="5"/>
        <v>N</v>
      </c>
      <c r="X82" s="56"/>
      <c r="Y82" s="56"/>
      <c r="Z82" s="56"/>
      <c r="AA82" s="56"/>
      <c r="AC82" s="56"/>
    </row>
    <row r="83" spans="1:29" x14ac:dyDescent="0.25">
      <c r="A83" s="35"/>
      <c r="B83" s="32" t="e">
        <f>VLOOKUP(A83,Relay!$A$1:$B$50,2,FALSE)</f>
        <v>#N/A</v>
      </c>
      <c r="C83" s="32" t="e">
        <f>VLOOKUP(A83,Relay!$A$2:$C$101,3,FALSE)</f>
        <v>#N/A</v>
      </c>
      <c r="D83" s="39"/>
      <c r="E83" s="35"/>
      <c r="F83" s="58" t="str">
        <f t="shared" si="3"/>
        <v>INS</v>
      </c>
      <c r="G83" s="32" t="e">
        <f>IF(OR(E83="Jeopardy",E83="APP Moonlighting",E83="Differential Pay"),"",Nov[[#This Row],[SysID]])</f>
        <v>#N/A</v>
      </c>
      <c r="H83" s="32" t="e">
        <f>IF(E83="Jeopardy",IF(C83="MD",Relay!$E$7,Relay!$E$8),IF(C83="MD",IF(COUNTIF(G:G,B83)&gt;1,Relay!$E$2,Relay!$E$1),IF(AND(COUNTIF(G:G,B83)&gt;1,COUNTA(A83)&gt;0),Relay!$E$5,Relay!$E$4)))</f>
        <v>#N/A</v>
      </c>
      <c r="I83" s="8">
        <f t="shared" si="4"/>
        <v>0</v>
      </c>
      <c r="J83" s="35"/>
      <c r="K83" s="35"/>
      <c r="L83" s="35"/>
      <c r="M83" s="35"/>
      <c r="N83" s="32" t="e">
        <f>IF(H83=Nov!$E$2,"N",IF(AND(COUNTIF(B:B,B83)=1,D83&gt;14),"Y","N"))</f>
        <v>#N/A</v>
      </c>
      <c r="O83" s="55" t="str">
        <f>IF(COUNT(Nov[[#This Row],[Date]])&gt;0,IF(Nov[[#This Row],[Date]]&gt;14,"Yes","No"),"N/A")</f>
        <v>N/A</v>
      </c>
      <c r="P83" s="55"/>
      <c r="Q83" s="5">
        <f>Relay!A82</f>
        <v>0</v>
      </c>
      <c r="R83" s="5">
        <f>Relay!B82</f>
        <v>81</v>
      </c>
      <c r="S83" s="8">
        <f>IF(Nov[After the 14th?]="No",SUMIF(Nov[SysID],R83,Nov[Pay Amount]),0)+IF(Oct[After the 14th?]="Yes",SUMIF(Oct[SysID],R83,Oct[Pay Amount]),0)</f>
        <v>0</v>
      </c>
      <c r="T83" s="8"/>
      <c r="U83" s="5" t="str">
        <f t="shared" si="5"/>
        <v>N</v>
      </c>
      <c r="X83" s="56"/>
      <c r="Y83" s="56"/>
      <c r="Z83" s="56"/>
      <c r="AA83" s="56"/>
      <c r="AC83" s="56"/>
    </row>
    <row r="84" spans="1:29" x14ac:dyDescent="0.25">
      <c r="A84" s="35"/>
      <c r="B84" s="32" t="e">
        <f>VLOOKUP(A84,Relay!$A$1:$B$50,2,FALSE)</f>
        <v>#N/A</v>
      </c>
      <c r="C84" s="32" t="e">
        <f>VLOOKUP(A84,Relay!$A$2:$C$101,3,FALSE)</f>
        <v>#N/A</v>
      </c>
      <c r="D84" s="39"/>
      <c r="E84" s="35"/>
      <c r="F84" s="58" t="str">
        <f t="shared" si="3"/>
        <v>INS</v>
      </c>
      <c r="G84" s="32" t="e">
        <f>IF(OR(E84="Jeopardy",E84="APP Moonlighting",E84="Differential Pay"),"",Nov[[#This Row],[SysID]])</f>
        <v>#N/A</v>
      </c>
      <c r="H84" s="32" t="e">
        <f>IF(E84="Jeopardy",IF(C84="MD",Relay!$E$7,Relay!$E$8),IF(C84="MD",IF(COUNTIF(G:G,B84)&gt;1,Relay!$E$2,Relay!$E$1),IF(AND(COUNTIF(G:G,B84)&gt;1,COUNTA(A84)&gt;0),Relay!$E$5,Relay!$E$4)))</f>
        <v>#N/A</v>
      </c>
      <c r="I84" s="8">
        <f t="shared" si="4"/>
        <v>0</v>
      </c>
      <c r="J84" s="35"/>
      <c r="K84" s="35"/>
      <c r="L84" s="35"/>
      <c r="M84" s="35"/>
      <c r="N84" s="32" t="e">
        <f>IF(H84=Nov!$E$2,"N",IF(AND(COUNTIF(B:B,B84)=1,D84&gt;14),"Y","N"))</f>
        <v>#N/A</v>
      </c>
      <c r="O84" s="55" t="str">
        <f>IF(COUNT(Nov[[#This Row],[Date]])&gt;0,IF(Nov[[#This Row],[Date]]&gt;14,"Yes","No"),"N/A")</f>
        <v>N/A</v>
      </c>
      <c r="P84" s="55"/>
      <c r="Q84" s="5">
        <f>Relay!A83</f>
        <v>0</v>
      </c>
      <c r="R84" s="5">
        <f>Relay!B83</f>
        <v>82</v>
      </c>
      <c r="S84" s="8">
        <f>IF(Nov[After the 14th?]="No",SUMIF(Nov[SysID],R84,Nov[Pay Amount]),0)+IF(Oct[After the 14th?]="Yes",SUMIF(Oct[SysID],R84,Oct[Pay Amount]),0)</f>
        <v>0</v>
      </c>
      <c r="T84" s="8"/>
      <c r="U84" s="5" t="str">
        <f t="shared" si="5"/>
        <v>N</v>
      </c>
      <c r="X84" s="56"/>
      <c r="Y84" s="56"/>
      <c r="Z84" s="56"/>
      <c r="AA84" s="56"/>
      <c r="AC84" s="56"/>
    </row>
    <row r="85" spans="1:29" x14ac:dyDescent="0.25">
      <c r="A85" s="35"/>
      <c r="B85" s="32" t="e">
        <f>VLOOKUP(A85,Relay!$A$1:$B$50,2,FALSE)</f>
        <v>#N/A</v>
      </c>
      <c r="C85" s="32" t="e">
        <f>VLOOKUP(A85,Relay!$A$2:$C$101,3,FALSE)</f>
        <v>#N/A</v>
      </c>
      <c r="D85" s="39"/>
      <c r="E85" s="35"/>
      <c r="F85" s="58" t="str">
        <f t="shared" si="3"/>
        <v>INS</v>
      </c>
      <c r="G85" s="32" t="e">
        <f>IF(OR(E85="Jeopardy",E85="APP Moonlighting",E85="Differential Pay"),"",Nov[[#This Row],[SysID]])</f>
        <v>#N/A</v>
      </c>
      <c r="H85" s="32" t="e">
        <f>IF(E85="Jeopardy",IF(C85="MD",Relay!$E$7,Relay!$E$8),IF(C85="MD",IF(COUNTIF(G:G,B85)&gt;1,Relay!$E$2,Relay!$E$1),IF(AND(COUNTIF(G:G,B85)&gt;1,COUNTA(A85)&gt;0),Relay!$E$5,Relay!$E$4)))</f>
        <v>#N/A</v>
      </c>
      <c r="I85" s="8">
        <f t="shared" si="4"/>
        <v>0</v>
      </c>
      <c r="J85" s="35"/>
      <c r="K85" s="35"/>
      <c r="L85" s="35"/>
      <c r="M85" s="35"/>
      <c r="N85" s="32" t="e">
        <f>IF(H85=Nov!$E$2,"N",IF(AND(COUNTIF(B:B,B85)=1,D85&gt;14),"Y","N"))</f>
        <v>#N/A</v>
      </c>
      <c r="O85" s="55" t="str">
        <f>IF(COUNT(Nov[[#This Row],[Date]])&gt;0,IF(Nov[[#This Row],[Date]]&gt;14,"Yes","No"),"N/A")</f>
        <v>N/A</v>
      </c>
      <c r="P85" s="55"/>
      <c r="Q85" s="5">
        <f>Relay!A84</f>
        <v>0</v>
      </c>
      <c r="R85" s="5">
        <f>Relay!B84</f>
        <v>83</v>
      </c>
      <c r="S85" s="8">
        <f>IF(Nov[After the 14th?]="No",SUMIF(Nov[SysID],R85,Nov[Pay Amount]),0)+IF(Oct[After the 14th?]="Yes",SUMIF(Oct[SysID],R85,Oct[Pay Amount]),0)</f>
        <v>0</v>
      </c>
      <c r="T85" s="8"/>
      <c r="U85" s="5" t="str">
        <f t="shared" si="5"/>
        <v>N</v>
      </c>
      <c r="X85" s="56"/>
      <c r="Y85" s="56"/>
      <c r="Z85" s="56"/>
      <c r="AA85" s="56"/>
      <c r="AC85" s="56"/>
    </row>
    <row r="86" spans="1:29" x14ac:dyDescent="0.25">
      <c r="A86" s="35"/>
      <c r="B86" s="32" t="e">
        <f>VLOOKUP(A86,Relay!$A$1:$B$50,2,FALSE)</f>
        <v>#N/A</v>
      </c>
      <c r="C86" s="32" t="e">
        <f>VLOOKUP(A86,Relay!$A$2:$C$101,3,FALSE)</f>
        <v>#N/A</v>
      </c>
      <c r="D86" s="39"/>
      <c r="E86" s="35"/>
      <c r="F86" s="58" t="str">
        <f t="shared" si="3"/>
        <v>INS</v>
      </c>
      <c r="G86" s="32" t="e">
        <f>IF(OR(E86="Jeopardy",E86="APP Moonlighting",E86="Differential Pay"),"",Nov[[#This Row],[SysID]])</f>
        <v>#N/A</v>
      </c>
      <c r="H86" s="32" t="e">
        <f>IF(E86="Jeopardy",IF(C86="MD",Relay!$E$7,Relay!$E$8),IF(C86="MD",IF(COUNTIF(G:G,B86)&gt;1,Relay!$E$2,Relay!$E$1),IF(AND(COUNTIF(G:G,B86)&gt;1,COUNTA(A86)&gt;0),Relay!$E$5,Relay!$E$4)))</f>
        <v>#N/A</v>
      </c>
      <c r="I86" s="8">
        <f t="shared" si="4"/>
        <v>0</v>
      </c>
      <c r="J86" s="35"/>
      <c r="K86" s="35"/>
      <c r="L86" s="35"/>
      <c r="M86" s="35"/>
      <c r="N86" s="32" t="e">
        <f>IF(H86=Nov!$E$2,"N",IF(AND(COUNTIF(B:B,B86)=1,D86&gt;14),"Y","N"))</f>
        <v>#N/A</v>
      </c>
      <c r="O86" s="55" t="str">
        <f>IF(COUNT(Nov[[#This Row],[Date]])&gt;0,IF(Nov[[#This Row],[Date]]&gt;14,"Yes","No"),"N/A")</f>
        <v>N/A</v>
      </c>
      <c r="P86" s="55"/>
      <c r="Q86" s="5">
        <f>Relay!A85</f>
        <v>0</v>
      </c>
      <c r="R86" s="5">
        <f>Relay!B85</f>
        <v>84</v>
      </c>
      <c r="S86" s="8">
        <f>IF(Nov[After the 14th?]="No",SUMIF(Nov[SysID],R86,Nov[Pay Amount]),0)+IF(Oct[After the 14th?]="Yes",SUMIF(Oct[SysID],R86,Oct[Pay Amount]),0)</f>
        <v>0</v>
      </c>
      <c r="T86" s="8"/>
      <c r="U86" s="5" t="str">
        <f t="shared" si="5"/>
        <v>N</v>
      </c>
      <c r="X86" s="56"/>
      <c r="Y86" s="56"/>
      <c r="Z86" s="56"/>
      <c r="AA86" s="56"/>
      <c r="AC86" s="56"/>
    </row>
    <row r="87" spans="1:29" x14ac:dyDescent="0.25">
      <c r="A87" s="35"/>
      <c r="B87" s="32" t="e">
        <f>VLOOKUP(A87,Relay!$A$1:$B$50,2,FALSE)</f>
        <v>#N/A</v>
      </c>
      <c r="C87" s="32" t="e">
        <f>VLOOKUP(A87,Relay!$A$2:$C$101,3,FALSE)</f>
        <v>#N/A</v>
      </c>
      <c r="D87" s="39"/>
      <c r="E87" s="35"/>
      <c r="F87" s="58" t="str">
        <f t="shared" si="3"/>
        <v>INS</v>
      </c>
      <c r="G87" s="32" t="e">
        <f>IF(OR(E87="Jeopardy",E87="APP Moonlighting",E87="Differential Pay"),"",Nov[[#This Row],[SysID]])</f>
        <v>#N/A</v>
      </c>
      <c r="H87" s="32" t="e">
        <f>IF(E87="Jeopardy",IF(C87="MD",Relay!$E$7,Relay!$E$8),IF(C87="MD",IF(COUNTIF(G:G,B87)&gt;1,Relay!$E$2,Relay!$E$1),IF(AND(COUNTIF(G:G,B87)&gt;1,COUNTA(A87)&gt;0),Relay!$E$5,Relay!$E$4)))</f>
        <v>#N/A</v>
      </c>
      <c r="I87" s="8">
        <f t="shared" si="4"/>
        <v>0</v>
      </c>
      <c r="J87" s="35"/>
      <c r="K87" s="35"/>
      <c r="L87" s="35"/>
      <c r="M87" s="35"/>
      <c r="N87" s="32" t="e">
        <f>IF(H87=Nov!$E$2,"N",IF(AND(COUNTIF(B:B,B87)=1,D87&gt;14),"Y","N"))</f>
        <v>#N/A</v>
      </c>
      <c r="O87" s="55" t="str">
        <f>IF(COUNT(Nov[[#This Row],[Date]])&gt;0,IF(Nov[[#This Row],[Date]]&gt;14,"Yes","No"),"N/A")</f>
        <v>N/A</v>
      </c>
      <c r="P87" s="55"/>
      <c r="Q87" s="5">
        <f>Relay!A86</f>
        <v>0</v>
      </c>
      <c r="R87" s="5">
        <f>Relay!B86</f>
        <v>85</v>
      </c>
      <c r="S87" s="8">
        <f>IF(Nov[After the 14th?]="No",SUMIF(Nov[SysID],R87,Nov[Pay Amount]),0)+IF(Oct[After the 14th?]="Yes",SUMIF(Oct[SysID],R87,Oct[Pay Amount]),0)</f>
        <v>0</v>
      </c>
      <c r="T87" s="8"/>
      <c r="U87" s="5" t="str">
        <f t="shared" si="5"/>
        <v>N</v>
      </c>
      <c r="X87" s="56"/>
      <c r="Y87" s="56"/>
      <c r="Z87" s="56"/>
      <c r="AA87" s="56"/>
      <c r="AC87" s="56"/>
    </row>
    <row r="88" spans="1:29" x14ac:dyDescent="0.25">
      <c r="A88" s="35"/>
      <c r="B88" s="32" t="e">
        <f>VLOOKUP(A88,Relay!$A$1:$B$50,2,FALSE)</f>
        <v>#N/A</v>
      </c>
      <c r="C88" s="32" t="e">
        <f>VLOOKUP(A88,Relay!$A$2:$C$101,3,FALSE)</f>
        <v>#N/A</v>
      </c>
      <c r="D88" s="39"/>
      <c r="E88" s="35"/>
      <c r="F88" s="58" t="str">
        <f t="shared" si="3"/>
        <v>INS</v>
      </c>
      <c r="G88" s="32" t="e">
        <f>IF(OR(E88="Jeopardy",E88="APP Moonlighting",E88="Differential Pay"),"",Nov[[#This Row],[SysID]])</f>
        <v>#N/A</v>
      </c>
      <c r="H88" s="32" t="e">
        <f>IF(E88="Jeopardy",IF(C88="MD",Relay!$E$7,Relay!$E$8),IF(C88="MD",IF(COUNTIF(G:G,B88)&gt;1,Relay!$E$2,Relay!$E$1),IF(AND(COUNTIF(G:G,B88)&gt;1,COUNTA(A88)&gt;0),Relay!$E$5,Relay!$E$4)))</f>
        <v>#N/A</v>
      </c>
      <c r="I88" s="8">
        <f t="shared" si="4"/>
        <v>0</v>
      </c>
      <c r="J88" s="35"/>
      <c r="K88" s="35"/>
      <c r="L88" s="35"/>
      <c r="M88" s="35"/>
      <c r="N88" s="32" t="e">
        <f>IF(H88=Nov!$E$2,"N",IF(AND(COUNTIF(B:B,B88)=1,D88&gt;14),"Y","N"))</f>
        <v>#N/A</v>
      </c>
      <c r="O88" s="55" t="str">
        <f>IF(COUNT(Nov[[#This Row],[Date]])&gt;0,IF(Nov[[#This Row],[Date]]&gt;14,"Yes","No"),"N/A")</f>
        <v>N/A</v>
      </c>
      <c r="P88" s="55"/>
      <c r="Q88" s="5">
        <f>Relay!A87</f>
        <v>0</v>
      </c>
      <c r="R88" s="5">
        <f>Relay!B87</f>
        <v>86</v>
      </c>
      <c r="S88" s="8">
        <f>IF(Nov[After the 14th?]="No",SUMIF(Nov[SysID],R88,Nov[Pay Amount]),0)+IF(Oct[After the 14th?]="Yes",SUMIF(Oct[SysID],R88,Oct[Pay Amount]),0)</f>
        <v>0</v>
      </c>
      <c r="T88" s="8"/>
      <c r="U88" s="5" t="str">
        <f t="shared" si="5"/>
        <v>N</v>
      </c>
      <c r="X88" s="56"/>
      <c r="Y88" s="56"/>
      <c r="Z88" s="56"/>
      <c r="AA88" s="56"/>
      <c r="AC88" s="56"/>
    </row>
    <row r="89" spans="1:29" x14ac:dyDescent="0.25">
      <c r="A89" s="35"/>
      <c r="B89" s="32" t="e">
        <f>VLOOKUP(A89,Relay!$A$1:$B$50,2,FALSE)</f>
        <v>#N/A</v>
      </c>
      <c r="C89" s="32" t="e">
        <f>VLOOKUP(A89,Relay!$A$2:$C$101,3,FALSE)</f>
        <v>#N/A</v>
      </c>
      <c r="D89" s="39"/>
      <c r="E89" s="35"/>
      <c r="F89" s="58" t="str">
        <f t="shared" si="3"/>
        <v>INS</v>
      </c>
      <c r="G89" s="32" t="e">
        <f>IF(OR(E89="Jeopardy",E89="APP Moonlighting",E89="Differential Pay"),"",Nov[[#This Row],[SysID]])</f>
        <v>#N/A</v>
      </c>
      <c r="H89" s="32" t="e">
        <f>IF(E89="Jeopardy",IF(C89="MD",Relay!$E$7,Relay!$E$8),IF(C89="MD",IF(COUNTIF(G:G,B89)&gt;1,Relay!$E$2,Relay!$E$1),IF(AND(COUNTIF(G:G,B89)&gt;1,COUNTA(A89)&gt;0),Relay!$E$5,Relay!$E$4)))</f>
        <v>#N/A</v>
      </c>
      <c r="I89" s="8">
        <f t="shared" si="4"/>
        <v>0</v>
      </c>
      <c r="J89" s="35"/>
      <c r="K89" s="35"/>
      <c r="L89" s="35"/>
      <c r="M89" s="35"/>
      <c r="N89" s="32" t="e">
        <f>IF(H89=Nov!$E$2,"N",IF(AND(COUNTIF(B:B,B89)=1,D89&gt;14),"Y","N"))</f>
        <v>#N/A</v>
      </c>
      <c r="O89" s="55" t="str">
        <f>IF(COUNT(Nov[[#This Row],[Date]])&gt;0,IF(Nov[[#This Row],[Date]]&gt;14,"Yes","No"),"N/A")</f>
        <v>N/A</v>
      </c>
      <c r="P89" s="55"/>
      <c r="Q89" s="5">
        <f>Relay!A88</f>
        <v>0</v>
      </c>
      <c r="R89" s="5">
        <f>Relay!B88</f>
        <v>87</v>
      </c>
      <c r="S89" s="8">
        <f>IF(Nov[After the 14th?]="No",SUMIF(Nov[SysID],R89,Nov[Pay Amount]),0)+IF(Oct[After the 14th?]="Yes",SUMIF(Oct[SysID],R89,Oct[Pay Amount]),0)</f>
        <v>0</v>
      </c>
      <c r="T89" s="8"/>
      <c r="U89" s="5" t="str">
        <f t="shared" si="5"/>
        <v>N</v>
      </c>
      <c r="X89" s="56"/>
      <c r="Y89" s="56"/>
      <c r="Z89" s="56"/>
      <c r="AA89" s="56"/>
      <c r="AC89" s="56"/>
    </row>
    <row r="90" spans="1:29" x14ac:dyDescent="0.25">
      <c r="A90" s="35"/>
      <c r="B90" s="32" t="e">
        <f>VLOOKUP(A90,Relay!$A$1:$B$50,2,FALSE)</f>
        <v>#N/A</v>
      </c>
      <c r="C90" s="32" t="e">
        <f>VLOOKUP(A90,Relay!$A$2:$C$101,3,FALSE)</f>
        <v>#N/A</v>
      </c>
      <c r="D90" s="39"/>
      <c r="E90" s="35"/>
      <c r="F90" s="58" t="str">
        <f t="shared" si="3"/>
        <v>INS</v>
      </c>
      <c r="G90" s="32" t="e">
        <f>IF(OR(E90="Jeopardy",E90="APP Moonlighting",E90="Differential Pay"),"",Nov[[#This Row],[SysID]])</f>
        <v>#N/A</v>
      </c>
      <c r="H90" s="32" t="e">
        <f>IF(E90="Jeopardy",IF(C90="MD",Relay!$E$7,Relay!$E$8),IF(C90="MD",IF(COUNTIF(G:G,B90)&gt;1,Relay!$E$2,Relay!$E$1),IF(AND(COUNTIF(G:G,B90)&gt;1,COUNTA(A90)&gt;0),Relay!$E$5,Relay!$E$4)))</f>
        <v>#N/A</v>
      </c>
      <c r="I90" s="8">
        <f t="shared" si="4"/>
        <v>0</v>
      </c>
      <c r="J90" s="35"/>
      <c r="K90" s="35"/>
      <c r="L90" s="35"/>
      <c r="M90" s="35"/>
      <c r="N90" s="32" t="e">
        <f>IF(H90=Nov!$E$2,"N",IF(AND(COUNTIF(B:B,B90)=1,D90&gt;14),"Y","N"))</f>
        <v>#N/A</v>
      </c>
      <c r="O90" s="55" t="str">
        <f>IF(COUNT(Nov[[#This Row],[Date]])&gt;0,IF(Nov[[#This Row],[Date]]&gt;14,"Yes","No"),"N/A")</f>
        <v>N/A</v>
      </c>
      <c r="P90" s="55"/>
      <c r="Q90" s="5">
        <f>Relay!A89</f>
        <v>0</v>
      </c>
      <c r="R90" s="5">
        <f>Relay!B89</f>
        <v>88</v>
      </c>
      <c r="S90" s="8">
        <f>IF(Nov[After the 14th?]="No",SUMIF(Nov[SysID],R90,Nov[Pay Amount]),0)+IF(Oct[After the 14th?]="Yes",SUMIF(Oct[SysID],R90,Oct[Pay Amount]),0)</f>
        <v>0</v>
      </c>
      <c r="T90" s="8"/>
      <c r="U90" s="5" t="str">
        <f t="shared" si="5"/>
        <v>N</v>
      </c>
      <c r="X90" s="56"/>
      <c r="Y90" s="56"/>
      <c r="Z90" s="56"/>
      <c r="AA90" s="56"/>
      <c r="AC90" s="56"/>
    </row>
    <row r="91" spans="1:29" x14ac:dyDescent="0.25">
      <c r="A91" s="35"/>
      <c r="B91" s="32" t="e">
        <f>VLOOKUP(A91,Relay!$A$1:$B$50,2,FALSE)</f>
        <v>#N/A</v>
      </c>
      <c r="C91" s="32" t="e">
        <f>VLOOKUP(A91,Relay!$A$2:$C$101,3,FALSE)</f>
        <v>#N/A</v>
      </c>
      <c r="D91" s="39"/>
      <c r="E91" s="35"/>
      <c r="F91" s="58" t="str">
        <f t="shared" si="3"/>
        <v>INS</v>
      </c>
      <c r="G91" s="32" t="e">
        <f>IF(OR(E91="Jeopardy",E91="APP Moonlighting",E91="Differential Pay"),"",Nov[[#This Row],[SysID]])</f>
        <v>#N/A</v>
      </c>
      <c r="H91" s="32" t="e">
        <f>IF(E91="Jeopardy",IF(C91="MD",Relay!$E$7,Relay!$E$8),IF(C91="MD",IF(COUNTIF(G:G,B91)&gt;1,Relay!$E$2,Relay!$E$1),IF(AND(COUNTIF(G:G,B91)&gt;1,COUNTA(A91)&gt;0),Relay!$E$5,Relay!$E$4)))</f>
        <v>#N/A</v>
      </c>
      <c r="I91" s="8">
        <f t="shared" si="4"/>
        <v>0</v>
      </c>
      <c r="J91" s="35"/>
      <c r="K91" s="35"/>
      <c r="L91" s="35"/>
      <c r="M91" s="35"/>
      <c r="N91" s="32" t="e">
        <f>IF(H91=Nov!$E$2,"N",IF(AND(COUNTIF(B:B,B91)=1,D91&gt;14),"Y","N"))</f>
        <v>#N/A</v>
      </c>
      <c r="O91" s="55" t="str">
        <f>IF(COUNT(Nov[[#This Row],[Date]])&gt;0,IF(Nov[[#This Row],[Date]]&gt;14,"Yes","No"),"N/A")</f>
        <v>N/A</v>
      </c>
      <c r="P91" s="55"/>
      <c r="Q91" s="5">
        <f>Relay!A90</f>
        <v>0</v>
      </c>
      <c r="R91" s="5">
        <f>Relay!B90</f>
        <v>89</v>
      </c>
      <c r="S91" s="8">
        <f>IF(Nov[After the 14th?]="No",SUMIF(Nov[SysID],R91,Nov[Pay Amount]),0)+IF(Oct[After the 14th?]="Yes",SUMIF(Oct[SysID],R91,Oct[Pay Amount]),0)</f>
        <v>0</v>
      </c>
      <c r="T91" s="8"/>
      <c r="U91" s="5" t="str">
        <f t="shared" si="5"/>
        <v>N</v>
      </c>
      <c r="X91" s="56"/>
      <c r="Y91" s="56"/>
      <c r="Z91" s="56"/>
      <c r="AA91" s="56"/>
      <c r="AC91" s="56"/>
    </row>
    <row r="92" spans="1:29" x14ac:dyDescent="0.25">
      <c r="A92" s="35"/>
      <c r="B92" s="32" t="e">
        <f>VLOOKUP(A92,Relay!$A$1:$B$50,2,FALSE)</f>
        <v>#N/A</v>
      </c>
      <c r="C92" s="32" t="e">
        <f>VLOOKUP(A92,Relay!$A$2:$C$101,3,FALSE)</f>
        <v>#N/A</v>
      </c>
      <c r="D92" s="39"/>
      <c r="E92" s="35"/>
      <c r="F92" s="58" t="str">
        <f t="shared" si="3"/>
        <v>INS</v>
      </c>
      <c r="G92" s="32" t="e">
        <f>IF(OR(E92="Jeopardy",E92="APP Moonlighting",E92="Differential Pay"),"",Nov[[#This Row],[SysID]])</f>
        <v>#N/A</v>
      </c>
      <c r="H92" s="32" t="e">
        <f>IF(E92="Jeopardy",IF(C92="MD",Relay!$E$7,Relay!$E$8),IF(C92="MD",IF(COUNTIF(G:G,B92)&gt;1,Relay!$E$2,Relay!$E$1),IF(AND(COUNTIF(G:G,B92)&gt;1,COUNTA(A92)&gt;0),Relay!$E$5,Relay!$E$4)))</f>
        <v>#N/A</v>
      </c>
      <c r="I92" s="8">
        <f t="shared" si="4"/>
        <v>0</v>
      </c>
      <c r="J92" s="35"/>
      <c r="K92" s="35"/>
      <c r="L92" s="35"/>
      <c r="M92" s="35"/>
      <c r="N92" s="32" t="e">
        <f>IF(H92=Nov!$E$2,"N",IF(AND(COUNTIF(B:B,B92)=1,D92&gt;14),"Y","N"))</f>
        <v>#N/A</v>
      </c>
      <c r="O92" s="55" t="str">
        <f>IF(COUNT(Nov[[#This Row],[Date]])&gt;0,IF(Nov[[#This Row],[Date]]&gt;14,"Yes","No"),"N/A")</f>
        <v>N/A</v>
      </c>
      <c r="P92" s="55"/>
      <c r="Q92" s="5">
        <f>Relay!A91</f>
        <v>0</v>
      </c>
      <c r="R92" s="5">
        <f>Relay!B91</f>
        <v>90</v>
      </c>
      <c r="S92" s="8">
        <f>IF(Nov[After the 14th?]="No",SUMIF(Nov[SysID],R92,Nov[Pay Amount]),0)+IF(Oct[After the 14th?]="Yes",SUMIF(Oct[SysID],R92,Oct[Pay Amount]),0)</f>
        <v>0</v>
      </c>
      <c r="T92" s="8"/>
      <c r="U92" s="5" t="str">
        <f t="shared" si="5"/>
        <v>N</v>
      </c>
      <c r="X92" s="56"/>
      <c r="Y92" s="56"/>
      <c r="Z92" s="56"/>
      <c r="AA92" s="56"/>
      <c r="AC92" s="56"/>
    </row>
    <row r="93" spans="1:29" x14ac:dyDescent="0.25">
      <c r="A93" s="35"/>
      <c r="B93" s="32" t="e">
        <f>VLOOKUP(A93,Relay!$A$1:$B$50,2,FALSE)</f>
        <v>#N/A</v>
      </c>
      <c r="C93" s="32" t="e">
        <f>VLOOKUP(A93,Relay!$A$2:$C$101,3,FALSE)</f>
        <v>#N/A</v>
      </c>
      <c r="D93" s="39"/>
      <c r="E93" s="35"/>
      <c r="F93" s="58" t="str">
        <f t="shared" si="3"/>
        <v>INS</v>
      </c>
      <c r="G93" s="32" t="e">
        <f>IF(OR(E93="Jeopardy",E93="APP Moonlighting",E93="Differential Pay"),"",Nov[[#This Row],[SysID]])</f>
        <v>#N/A</v>
      </c>
      <c r="H93" s="32" t="e">
        <f>IF(E93="Jeopardy",IF(C93="MD",Relay!$E$7,Relay!$E$8),IF(C93="MD",IF(COUNTIF(G:G,B93)&gt;1,Relay!$E$2,Relay!$E$1),IF(AND(COUNTIF(G:G,B93)&gt;1,COUNTA(A93)&gt;0),Relay!$E$5,Relay!$E$4)))</f>
        <v>#N/A</v>
      </c>
      <c r="I93" s="8">
        <f t="shared" si="4"/>
        <v>0</v>
      </c>
      <c r="J93" s="35"/>
      <c r="K93" s="35"/>
      <c r="L93" s="35"/>
      <c r="M93" s="35"/>
      <c r="N93" s="32" t="e">
        <f>IF(H93=Nov!$E$2,"N",IF(AND(COUNTIF(B:B,B93)=1,D93&gt;14),"Y","N"))</f>
        <v>#N/A</v>
      </c>
      <c r="O93" s="55" t="str">
        <f>IF(COUNT(Nov[[#This Row],[Date]])&gt;0,IF(Nov[[#This Row],[Date]]&gt;14,"Yes","No"),"N/A")</f>
        <v>N/A</v>
      </c>
      <c r="P93" s="55"/>
      <c r="Q93" s="5">
        <f>Relay!A92</f>
        <v>0</v>
      </c>
      <c r="R93" s="5">
        <f>Relay!B92</f>
        <v>91</v>
      </c>
      <c r="S93" s="8">
        <f>IF(Nov[After the 14th?]="No",SUMIF(Nov[SysID],R93,Nov[Pay Amount]),0)+IF(Oct[After the 14th?]="Yes",SUMIF(Oct[SysID],R93,Oct[Pay Amount]),0)</f>
        <v>0</v>
      </c>
      <c r="T93" s="8"/>
      <c r="U93" s="5" t="str">
        <f t="shared" si="5"/>
        <v>N</v>
      </c>
      <c r="X93" s="56"/>
      <c r="Y93" s="56"/>
      <c r="Z93" s="56"/>
      <c r="AA93" s="56"/>
      <c r="AC93" s="56"/>
    </row>
    <row r="94" spans="1:29" x14ac:dyDescent="0.25">
      <c r="A94" s="35"/>
      <c r="B94" s="32" t="e">
        <f>VLOOKUP(A94,Relay!$A$1:$B$50,2,FALSE)</f>
        <v>#N/A</v>
      </c>
      <c r="C94" s="32" t="e">
        <f>VLOOKUP(A94,Relay!$A$2:$C$101,3,FALSE)</f>
        <v>#N/A</v>
      </c>
      <c r="D94" s="39"/>
      <c r="E94" s="35"/>
      <c r="F94" s="58" t="str">
        <f t="shared" si="3"/>
        <v>INS</v>
      </c>
      <c r="G94" s="32" t="e">
        <f>IF(OR(E94="Jeopardy",E94="APP Moonlighting",E94="Differential Pay"),"",Nov[[#This Row],[SysID]])</f>
        <v>#N/A</v>
      </c>
      <c r="H94" s="32" t="e">
        <f>IF(E94="Jeopardy",IF(C94="MD",Relay!$E$7,Relay!$E$8),IF(C94="MD",IF(COUNTIF(G:G,B94)&gt;1,Relay!$E$2,Relay!$E$1),IF(AND(COUNTIF(G:G,B94)&gt;1,COUNTA(A94)&gt;0),Relay!$E$5,Relay!$E$4)))</f>
        <v>#N/A</v>
      </c>
      <c r="I94" s="8">
        <f t="shared" si="4"/>
        <v>0</v>
      </c>
      <c r="J94" s="35"/>
      <c r="K94" s="35"/>
      <c r="L94" s="35"/>
      <c r="M94" s="35"/>
      <c r="N94" s="32" t="e">
        <f>IF(H94=Nov!$E$2,"N",IF(AND(COUNTIF(B:B,B94)=1,D94&gt;14),"Y","N"))</f>
        <v>#N/A</v>
      </c>
      <c r="O94" s="55" t="str">
        <f>IF(COUNT(Nov[[#This Row],[Date]])&gt;0,IF(Nov[[#This Row],[Date]]&gt;14,"Yes","No"),"N/A")</f>
        <v>N/A</v>
      </c>
      <c r="P94" s="55"/>
      <c r="Q94" s="5">
        <f>Relay!A93</f>
        <v>0</v>
      </c>
      <c r="R94" s="5">
        <f>Relay!B93</f>
        <v>92</v>
      </c>
      <c r="S94" s="8">
        <f>IF(Nov[After the 14th?]="No",SUMIF(Nov[SysID],R94,Nov[Pay Amount]),0)+IF(Oct[After the 14th?]="Yes",SUMIF(Oct[SysID],R94,Oct[Pay Amount]),0)</f>
        <v>0</v>
      </c>
      <c r="T94" s="8"/>
      <c r="U94" s="5" t="str">
        <f t="shared" si="5"/>
        <v>N</v>
      </c>
      <c r="X94" s="56"/>
      <c r="Y94" s="56"/>
      <c r="Z94" s="56"/>
      <c r="AA94" s="56"/>
      <c r="AC94" s="56"/>
    </row>
    <row r="95" spans="1:29" x14ac:dyDescent="0.25">
      <c r="A95" s="35"/>
      <c r="B95" s="32" t="e">
        <f>VLOOKUP(A95,Relay!$A$1:$B$50,2,FALSE)</f>
        <v>#N/A</v>
      </c>
      <c r="C95" s="32" t="e">
        <f>VLOOKUP(A95,Relay!$A$2:$C$101,3,FALSE)</f>
        <v>#N/A</v>
      </c>
      <c r="D95" s="39"/>
      <c r="E95" s="35"/>
      <c r="F95" s="58" t="str">
        <f t="shared" si="3"/>
        <v>INS</v>
      </c>
      <c r="G95" s="32" t="e">
        <f>IF(OR(E95="Jeopardy",E95="APP Moonlighting",E95="Differential Pay"),"",Nov[[#This Row],[SysID]])</f>
        <v>#N/A</v>
      </c>
      <c r="H95" s="32" t="e">
        <f>IF(E95="Jeopardy",IF(C95="MD",Relay!$E$7,Relay!$E$8),IF(C95="MD",IF(COUNTIF(G:G,B95)&gt;1,Relay!$E$2,Relay!$E$1),IF(AND(COUNTIF(G:G,B95)&gt;1,COUNTA(A95)&gt;0),Relay!$E$5,Relay!$E$4)))</f>
        <v>#N/A</v>
      </c>
      <c r="I95" s="8">
        <f t="shared" si="4"/>
        <v>0</v>
      </c>
      <c r="J95" s="35"/>
      <c r="K95" s="35"/>
      <c r="L95" s="35"/>
      <c r="M95" s="35"/>
      <c r="N95" s="32" t="e">
        <f>IF(H95=Nov!$E$2,"N",IF(AND(COUNTIF(B:B,B95)=1,D95&gt;14),"Y","N"))</f>
        <v>#N/A</v>
      </c>
      <c r="O95" s="55" t="str">
        <f>IF(COUNT(Nov[[#This Row],[Date]])&gt;0,IF(Nov[[#This Row],[Date]]&gt;14,"Yes","No"),"N/A")</f>
        <v>N/A</v>
      </c>
      <c r="P95" s="55"/>
      <c r="Q95" s="5">
        <f>Relay!A94</f>
        <v>0</v>
      </c>
      <c r="R95" s="5">
        <f>Relay!B94</f>
        <v>93</v>
      </c>
      <c r="S95" s="8">
        <f>IF(Nov[After the 14th?]="No",SUMIF(Nov[SysID],R95,Nov[Pay Amount]),0)+IF(Oct[After the 14th?]="Yes",SUMIF(Oct[SysID],R95,Oct[Pay Amount]),0)</f>
        <v>0</v>
      </c>
      <c r="T95" s="8"/>
      <c r="U95" s="5" t="str">
        <f t="shared" si="5"/>
        <v>N</v>
      </c>
      <c r="X95" s="56"/>
      <c r="Y95" s="56"/>
      <c r="Z95" s="56"/>
      <c r="AA95" s="56"/>
      <c r="AC95" s="56"/>
    </row>
    <row r="96" spans="1:29" x14ac:dyDescent="0.25">
      <c r="A96" s="35"/>
      <c r="B96" s="32" t="e">
        <f>VLOOKUP(A96,Relay!$A$1:$B$50,2,FALSE)</f>
        <v>#N/A</v>
      </c>
      <c r="C96" s="32" t="e">
        <f>VLOOKUP(A96,Relay!$A$2:$C$101,3,FALSE)</f>
        <v>#N/A</v>
      </c>
      <c r="D96" s="39"/>
      <c r="E96" s="35"/>
      <c r="F96" s="58" t="str">
        <f t="shared" si="3"/>
        <v>INS</v>
      </c>
      <c r="G96" s="32" t="e">
        <f>IF(OR(E96="Jeopardy",E96="APP Moonlighting",E96="Differential Pay"),"",Nov[[#This Row],[SysID]])</f>
        <v>#N/A</v>
      </c>
      <c r="H96" s="32" t="e">
        <f>IF(E96="Jeopardy",IF(C96="MD",Relay!$E$7,Relay!$E$8),IF(C96="MD",IF(COUNTIF(G:G,B96)&gt;1,Relay!$E$2,Relay!$E$1),IF(AND(COUNTIF(G:G,B96)&gt;1,COUNTA(A96)&gt;0),Relay!$E$5,Relay!$E$4)))</f>
        <v>#N/A</v>
      </c>
      <c r="I96" s="8">
        <f t="shared" si="4"/>
        <v>0</v>
      </c>
      <c r="J96" s="35"/>
      <c r="K96" s="35"/>
      <c r="L96" s="35"/>
      <c r="M96" s="35"/>
      <c r="N96" s="32" t="e">
        <f>IF(H96=Nov!$E$2,"N",IF(AND(COUNTIF(B:B,B96)=1,D96&gt;14),"Y","N"))</f>
        <v>#N/A</v>
      </c>
      <c r="O96" s="55" t="str">
        <f>IF(COUNT(Nov[[#This Row],[Date]])&gt;0,IF(Nov[[#This Row],[Date]]&gt;14,"Yes","No"),"N/A")</f>
        <v>N/A</v>
      </c>
      <c r="P96" s="55"/>
      <c r="Q96" s="5">
        <f>Relay!A95</f>
        <v>0</v>
      </c>
      <c r="R96" s="5">
        <f>Relay!B95</f>
        <v>94</v>
      </c>
      <c r="S96" s="8">
        <f>IF(Nov[After the 14th?]="No",SUMIF(Nov[SysID],R96,Nov[Pay Amount]),0)+IF(Oct[After the 14th?]="Yes",SUMIF(Oct[SysID],R96,Oct[Pay Amount]),0)</f>
        <v>0</v>
      </c>
      <c r="T96" s="8"/>
      <c r="U96" s="5" t="str">
        <f t="shared" si="5"/>
        <v>N</v>
      </c>
      <c r="X96" s="56"/>
      <c r="Y96" s="56"/>
      <c r="Z96" s="56"/>
      <c r="AA96" s="56"/>
      <c r="AC96" s="56"/>
    </row>
    <row r="97" spans="1:29" x14ac:dyDescent="0.25">
      <c r="A97" s="35"/>
      <c r="B97" s="32" t="e">
        <f>VLOOKUP(A97,Relay!$A$1:$B$50,2,FALSE)</f>
        <v>#N/A</v>
      </c>
      <c r="C97" s="32" t="e">
        <f>VLOOKUP(A97,Relay!$A$2:$C$101,3,FALSE)</f>
        <v>#N/A</v>
      </c>
      <c r="D97" s="39"/>
      <c r="E97" s="35"/>
      <c r="F97" s="58" t="str">
        <f t="shared" si="3"/>
        <v>INS</v>
      </c>
      <c r="G97" s="32" t="e">
        <f>IF(OR(E97="Jeopardy",E97="APP Moonlighting",E97="Differential Pay"),"",Nov[[#This Row],[SysID]])</f>
        <v>#N/A</v>
      </c>
      <c r="H97" s="32" t="e">
        <f>IF(E97="Jeopardy",IF(C97="MD",Relay!$E$7,Relay!$E$8),IF(C97="MD",IF(COUNTIF(G:G,B97)&gt;1,Relay!$E$2,Relay!$E$1),IF(AND(COUNTIF(G:G,B97)&gt;1,COUNTA(A97)&gt;0),Relay!$E$5,Relay!$E$4)))</f>
        <v>#N/A</v>
      </c>
      <c r="I97" s="8">
        <f t="shared" si="4"/>
        <v>0</v>
      </c>
      <c r="J97" s="35"/>
      <c r="K97" s="35"/>
      <c r="L97" s="35"/>
      <c r="M97" s="35"/>
      <c r="N97" s="32" t="e">
        <f>IF(H97=Nov!$E$2,"N",IF(AND(COUNTIF(B:B,B97)=1,D97&gt;14),"Y","N"))</f>
        <v>#N/A</v>
      </c>
      <c r="O97" s="55" t="str">
        <f>IF(COUNT(Nov[[#This Row],[Date]])&gt;0,IF(Nov[[#This Row],[Date]]&gt;14,"Yes","No"),"N/A")</f>
        <v>N/A</v>
      </c>
      <c r="P97" s="55"/>
      <c r="Q97" s="5">
        <f>Relay!A96</f>
        <v>0</v>
      </c>
      <c r="R97" s="5">
        <f>Relay!B96</f>
        <v>95</v>
      </c>
      <c r="S97" s="8">
        <f>IF(Nov[After the 14th?]="No",SUMIF(Nov[SysID],R97,Nov[Pay Amount]),0)+IF(Oct[After the 14th?]="Yes",SUMIF(Oct[SysID],R97,Oct[Pay Amount]),0)</f>
        <v>0</v>
      </c>
      <c r="T97" s="8"/>
      <c r="U97" s="5" t="str">
        <f t="shared" si="5"/>
        <v>N</v>
      </c>
      <c r="X97" s="56"/>
      <c r="Y97" s="56"/>
      <c r="Z97" s="56"/>
      <c r="AA97" s="56"/>
      <c r="AC97" s="56"/>
    </row>
    <row r="98" spans="1:29" x14ac:dyDescent="0.25">
      <c r="A98" s="35"/>
      <c r="B98" s="32" t="e">
        <f>VLOOKUP(A98,Relay!$A$1:$B$50,2,FALSE)</f>
        <v>#N/A</v>
      </c>
      <c r="C98" s="32" t="e">
        <f>VLOOKUP(A98,Relay!$A$2:$C$101,3,FALSE)</f>
        <v>#N/A</v>
      </c>
      <c r="D98" s="39"/>
      <c r="E98" s="35"/>
      <c r="F98" s="58" t="str">
        <f t="shared" si="3"/>
        <v>INS</v>
      </c>
      <c r="G98" s="32" t="e">
        <f>IF(OR(E98="Jeopardy",E98="APP Moonlighting",E98="Differential Pay"),"",Nov[[#This Row],[SysID]])</f>
        <v>#N/A</v>
      </c>
      <c r="H98" s="32" t="e">
        <f>IF(E98="Jeopardy",IF(C98="MD",Relay!$E$7,Relay!$E$8),IF(C98="MD",IF(COUNTIF(G:G,B98)&gt;1,Relay!$E$2,Relay!$E$1),IF(AND(COUNTIF(G:G,B98)&gt;1,COUNTA(A98)&gt;0),Relay!$E$5,Relay!$E$4)))</f>
        <v>#N/A</v>
      </c>
      <c r="I98" s="8">
        <f t="shared" si="4"/>
        <v>0</v>
      </c>
      <c r="J98" s="35"/>
      <c r="K98" s="35"/>
      <c r="L98" s="35"/>
      <c r="M98" s="35"/>
      <c r="N98" s="32" t="e">
        <f>IF(H98=Nov!$E$2,"N",IF(AND(COUNTIF(B:B,B98)=1,D98&gt;14),"Y","N"))</f>
        <v>#N/A</v>
      </c>
      <c r="O98" s="55" t="str">
        <f>IF(COUNT(Nov[[#This Row],[Date]])&gt;0,IF(Nov[[#This Row],[Date]]&gt;14,"Yes","No"),"N/A")</f>
        <v>N/A</v>
      </c>
      <c r="P98" s="55"/>
      <c r="Q98" s="5">
        <f>Relay!A97</f>
        <v>0</v>
      </c>
      <c r="R98" s="5">
        <f>Relay!B97</f>
        <v>96</v>
      </c>
      <c r="S98" s="8">
        <f>IF(Nov[After the 14th?]="No",SUMIF(Nov[SysID],R98,Nov[Pay Amount]),0)+IF(Oct[After the 14th?]="Yes",SUMIF(Oct[SysID],R98,Oct[Pay Amount]),0)</f>
        <v>0</v>
      </c>
      <c r="T98" s="8"/>
      <c r="U98" s="5" t="str">
        <f t="shared" si="5"/>
        <v>N</v>
      </c>
      <c r="X98" s="56"/>
      <c r="Y98" s="56"/>
      <c r="Z98" s="56"/>
      <c r="AA98" s="56"/>
      <c r="AC98" s="56"/>
    </row>
    <row r="99" spans="1:29" x14ac:dyDescent="0.25">
      <c r="A99" s="35"/>
      <c r="B99" s="32" t="e">
        <f>VLOOKUP(A99,Relay!$A$1:$B$50,2,FALSE)</f>
        <v>#N/A</v>
      </c>
      <c r="C99" s="32" t="e">
        <f>VLOOKUP(A99,Relay!$A$2:$C$101,3,FALSE)</f>
        <v>#N/A</v>
      </c>
      <c r="D99" s="39"/>
      <c r="E99" s="35"/>
      <c r="F99" s="58" t="str">
        <f t="shared" si="3"/>
        <v>INS</v>
      </c>
      <c r="G99" s="32" t="e">
        <f>IF(OR(E99="Jeopardy",E99="APP Moonlighting",E99="Differential Pay"),"",Nov[[#This Row],[SysID]])</f>
        <v>#N/A</v>
      </c>
      <c r="H99" s="32" t="e">
        <f>IF(E99="Jeopardy",IF(C99="MD",Relay!$E$7,Relay!$E$8),IF(C99="MD",IF(COUNTIF(G:G,B99)&gt;1,Relay!$E$2,Relay!$E$1),IF(AND(COUNTIF(G:G,B99)&gt;1,COUNTA(A99)&gt;0),Relay!$E$5,Relay!$E$4)))</f>
        <v>#N/A</v>
      </c>
      <c r="I99" s="8">
        <f t="shared" si="4"/>
        <v>0</v>
      </c>
      <c r="J99" s="35"/>
      <c r="K99" s="35"/>
      <c r="L99" s="35"/>
      <c r="M99" s="35"/>
      <c r="N99" s="32" t="e">
        <f>IF(H99=Nov!$E$2,"N",IF(AND(COUNTIF(B:B,B99)=1,D99&gt;14),"Y","N"))</f>
        <v>#N/A</v>
      </c>
      <c r="O99" s="55" t="str">
        <f>IF(COUNT(Nov[[#This Row],[Date]])&gt;0,IF(Nov[[#This Row],[Date]]&gt;14,"Yes","No"),"N/A")</f>
        <v>N/A</v>
      </c>
      <c r="P99" s="55"/>
      <c r="Q99" s="5">
        <f>Relay!A98</f>
        <v>0</v>
      </c>
      <c r="R99" s="5">
        <f>Relay!B98</f>
        <v>97</v>
      </c>
      <c r="S99" s="8">
        <f>IF(Nov[After the 14th?]="No",SUMIF(Nov[SysID],R99,Nov[Pay Amount]),0)+IF(Oct[After the 14th?]="Yes",SUMIF(Oct[SysID],R99,Oct[Pay Amount]),0)</f>
        <v>0</v>
      </c>
      <c r="T99" s="8"/>
      <c r="U99" s="5" t="str">
        <f t="shared" si="5"/>
        <v>N</v>
      </c>
      <c r="X99" s="56"/>
      <c r="Y99" s="56"/>
      <c r="Z99" s="56"/>
      <c r="AA99" s="56"/>
      <c r="AC99" s="56"/>
    </row>
    <row r="100" spans="1:29" x14ac:dyDescent="0.25">
      <c r="A100" s="35"/>
      <c r="B100" s="32" t="e">
        <f>VLOOKUP(A100,Relay!$A$1:$B$50,2,FALSE)</f>
        <v>#N/A</v>
      </c>
      <c r="C100" s="32" t="e">
        <f>VLOOKUP(A100,Relay!$A$2:$C$101,3,FALSE)</f>
        <v>#N/A</v>
      </c>
      <c r="D100" s="39"/>
      <c r="E100" s="35"/>
      <c r="F100" s="58" t="str">
        <f t="shared" si="3"/>
        <v>INS</v>
      </c>
      <c r="G100" s="32" t="e">
        <f>IF(OR(E100="Jeopardy",E100="APP Moonlighting",E100="Differential Pay"),"",Nov[[#This Row],[SysID]])</f>
        <v>#N/A</v>
      </c>
      <c r="H100" s="32" t="e">
        <f>IF(E100="Jeopardy",IF(C100="MD",Relay!$E$7,Relay!$E$8),IF(C100="MD",IF(COUNTIF(G:G,B100)&gt;1,Relay!$E$2,Relay!$E$1),IF(AND(COUNTIF(G:G,B100)&gt;1,COUNTA(A100)&gt;0),Relay!$E$5,Relay!$E$4)))</f>
        <v>#N/A</v>
      </c>
      <c r="I100" s="8">
        <f t="shared" si="4"/>
        <v>0</v>
      </c>
      <c r="J100" s="35"/>
      <c r="K100" s="35"/>
      <c r="L100" s="35"/>
      <c r="M100" s="35"/>
      <c r="N100" s="32" t="e">
        <f>IF(H100=Nov!$E$2,"N",IF(AND(COUNTIF(B:B,B100)=1,D100&gt;14),"Y","N"))</f>
        <v>#N/A</v>
      </c>
      <c r="O100" s="55" t="str">
        <f>IF(COUNT(Nov[[#This Row],[Date]])&gt;0,IF(Nov[[#This Row],[Date]]&gt;14,"Yes","No"),"N/A")</f>
        <v>N/A</v>
      </c>
      <c r="P100" s="55"/>
      <c r="Q100" s="5">
        <f>Relay!A99</f>
        <v>0</v>
      </c>
      <c r="R100" s="5">
        <f>Relay!B99</f>
        <v>98</v>
      </c>
      <c r="S100" s="8">
        <f>IF(Nov[After the 14th?]="No",SUMIF(Nov[SysID],R100,Nov[Pay Amount]),0)+IF(Oct[After the 14th?]="Yes",SUMIF(Oct[SysID],R100,Oct[Pay Amount]),0)</f>
        <v>0</v>
      </c>
      <c r="T100" s="8"/>
      <c r="U100" s="5" t="str">
        <f t="shared" si="5"/>
        <v>N</v>
      </c>
      <c r="X100" s="56"/>
      <c r="Y100" s="56"/>
      <c r="Z100" s="56"/>
      <c r="AA100" s="56"/>
      <c r="AC100" s="56"/>
    </row>
    <row r="101" spans="1:29" x14ac:dyDescent="0.25">
      <c r="A101" s="35"/>
      <c r="B101" s="32" t="e">
        <f>VLOOKUP(A101,Relay!$A$1:$B$50,2,FALSE)</f>
        <v>#N/A</v>
      </c>
      <c r="C101" s="32" t="e">
        <f>VLOOKUP(A101,Relay!$A$2:$C$101,3,FALSE)</f>
        <v>#N/A</v>
      </c>
      <c r="D101" s="39"/>
      <c r="E101" s="35"/>
      <c r="F101" s="58" t="str">
        <f t="shared" si="3"/>
        <v>INS</v>
      </c>
      <c r="G101" s="32" t="e">
        <f>IF(OR(E101="Jeopardy",E101="APP Moonlighting",E101="Differential Pay"),"",Nov[[#This Row],[SysID]])</f>
        <v>#N/A</v>
      </c>
      <c r="H101" s="32" t="e">
        <f>IF(E101="Jeopardy",IF(C101="MD",Relay!$E$7,Relay!$E$8),IF(C101="MD",IF(COUNTIF(G:G,B101)&gt;1,Relay!$E$2,Relay!$E$1),IF(AND(COUNTIF(G:G,B101)&gt;1,COUNTA(A101)&gt;0),Relay!$E$5,Relay!$E$4)))</f>
        <v>#N/A</v>
      </c>
      <c r="I101" s="8">
        <f t="shared" si="4"/>
        <v>0</v>
      </c>
      <c r="J101" s="35"/>
      <c r="K101" s="35"/>
      <c r="L101" s="35"/>
      <c r="M101" s="35"/>
      <c r="N101" s="32" t="e">
        <f>IF(H101=Nov!$E$2,"N",IF(AND(COUNTIF(B:B,B101)=1,D101&gt;14),"Y","N"))</f>
        <v>#N/A</v>
      </c>
      <c r="O101" s="55" t="str">
        <f>IF(COUNT(Nov[[#This Row],[Date]])&gt;0,IF(Nov[[#This Row],[Date]]&gt;14,"Yes","No"),"N/A")</f>
        <v>N/A</v>
      </c>
      <c r="P101" s="55"/>
      <c r="Q101" s="5">
        <f>Relay!A100</f>
        <v>0</v>
      </c>
      <c r="R101" s="5">
        <f>Relay!B100</f>
        <v>99</v>
      </c>
      <c r="S101" s="8">
        <f>IF(Nov[After the 14th?]="No",SUMIF(Nov[SysID],R101,Nov[Pay Amount]),0)+IF(Oct[After the 14th?]="Yes",SUMIF(Oct[SysID],R101,Oct[Pay Amount]),0)</f>
        <v>0</v>
      </c>
      <c r="T101" s="8"/>
      <c r="U101" s="5" t="str">
        <f t="shared" si="5"/>
        <v>N</v>
      </c>
      <c r="X101" s="56"/>
      <c r="Y101" s="56"/>
      <c r="Z101" s="56"/>
      <c r="AA101" s="56"/>
      <c r="AC101" s="56"/>
    </row>
    <row r="102" spans="1:29" x14ac:dyDescent="0.25">
      <c r="A102" s="35"/>
      <c r="B102" s="32" t="e">
        <f>VLOOKUP(A102,Relay!$A$1:$B$50,2,FALSE)</f>
        <v>#N/A</v>
      </c>
      <c r="C102" s="32" t="e">
        <f>VLOOKUP(A102,Relay!$A$2:$C$101,3,FALSE)</f>
        <v>#N/A</v>
      </c>
      <c r="D102" s="39"/>
      <c r="E102" s="35"/>
      <c r="F102" s="58" t="str">
        <f t="shared" si="3"/>
        <v>INS</v>
      </c>
      <c r="G102" s="32" t="e">
        <f>IF(OR(E102="Jeopardy",E102="APP Moonlighting",E102="Differential Pay"),"",Nov[[#This Row],[SysID]])</f>
        <v>#N/A</v>
      </c>
      <c r="H102" s="32" t="e">
        <f>IF(E102="Jeopardy",IF(C102="MD",Relay!$E$7,Relay!$E$8),IF(C102="MD",IF(COUNTIF(G:G,B102)&gt;1,Relay!$E$2,Relay!$E$1),IF(AND(COUNTIF(G:G,B102)&gt;1,COUNTA(A102)&gt;0),Relay!$E$5,Relay!$E$4)))</f>
        <v>#N/A</v>
      </c>
      <c r="I102" s="8">
        <f t="shared" si="4"/>
        <v>0</v>
      </c>
      <c r="J102" s="35"/>
      <c r="K102" s="35"/>
      <c r="L102" s="35"/>
      <c r="M102" s="35"/>
      <c r="N102" s="32" t="e">
        <f>IF(H102=Nov!$E$2,"N",IF(AND(COUNTIF(B:B,B102)=1,D102&gt;14),"Y","N"))</f>
        <v>#N/A</v>
      </c>
      <c r="O102" s="55" t="str">
        <f>IF(COUNT(Nov[[#This Row],[Date]])&gt;0,IF(Nov[[#This Row],[Date]]&gt;14,"Yes","No"),"N/A")</f>
        <v>N/A</v>
      </c>
      <c r="P102" s="55"/>
      <c r="Q102" s="5">
        <f>Relay!A101</f>
        <v>0</v>
      </c>
      <c r="R102" s="5">
        <f>Relay!B101</f>
        <v>100</v>
      </c>
      <c r="S102" s="8">
        <f>IF(Nov[After the 14th?]="No",SUMIF(Nov[SysID],R102,Nov[Pay Amount]),0)+IF(Oct[After the 14th?]="Yes",SUMIF(Oct[SysID],R102,Oct[Pay Amount]),0)</f>
        <v>0</v>
      </c>
      <c r="T102" s="8"/>
      <c r="U102" s="5" t="str">
        <f t="shared" si="5"/>
        <v>N</v>
      </c>
      <c r="X102" s="56"/>
      <c r="Y102" s="56"/>
      <c r="Z102" s="56"/>
      <c r="AA102" s="56"/>
      <c r="AC102" s="56"/>
    </row>
    <row r="103" spans="1:29" x14ac:dyDescent="0.25">
      <c r="A103" s="35"/>
      <c r="B103" s="32" t="e">
        <f>VLOOKUP(A103,Relay!$A$1:$B$50,2,FALSE)</f>
        <v>#N/A</v>
      </c>
      <c r="C103" s="32" t="e">
        <f>VLOOKUP(A103,Relay!$A$2:$C$101,3,FALSE)</f>
        <v>#N/A</v>
      </c>
      <c r="D103" s="39"/>
      <c r="E103" s="35"/>
      <c r="F103" s="58" t="str">
        <f t="shared" si="3"/>
        <v>INS</v>
      </c>
      <c r="G103" s="32" t="e">
        <f>IF(OR(E103="Jeopardy",E103="APP Moonlighting",E103="Differential Pay"),"",Nov[[#This Row],[SysID]])</f>
        <v>#N/A</v>
      </c>
      <c r="H103" s="32" t="e">
        <f>IF(E103="Jeopardy",IF(C103="MD",Relay!$E$7,Relay!$E$8),IF(C103="MD",IF(COUNTIF(G:G,B103)&gt;1,Relay!$E$2,Relay!$E$1),IF(AND(COUNTIF(G:G,B103)&gt;1,COUNTA(A103)&gt;0),Relay!$E$5,Relay!$E$4)))</f>
        <v>#N/A</v>
      </c>
      <c r="I103" s="8">
        <f t="shared" si="4"/>
        <v>0</v>
      </c>
      <c r="J103" s="35"/>
      <c r="K103" s="35"/>
      <c r="L103" s="35"/>
      <c r="M103" s="35"/>
      <c r="N103" s="32" t="e">
        <f>IF(H103=Nov!$E$2,"N",IF(AND(COUNTIF(B:B,B103)=1,D103&gt;14),"Y","N"))</f>
        <v>#N/A</v>
      </c>
      <c r="O103" s="55" t="str">
        <f>IF(COUNT(Nov[[#This Row],[Date]])&gt;0,IF(Nov[[#This Row],[Date]]&gt;14,"Yes","No"),"N/A")</f>
        <v>N/A</v>
      </c>
      <c r="P103" s="55"/>
      <c r="Q103">
        <f>Relay!A102</f>
        <v>0</v>
      </c>
      <c r="R103">
        <f>Relay!B102</f>
        <v>0</v>
      </c>
      <c r="S103" s="9">
        <f>IF(Nov[After the 14th?]="No",SUMIF(Nov[SysID],R103,Nov[Pay Amount]),0)+IF(Oct[After the 14th?]="Yes",SUMIF(Oct[SysID],R103,Oct[Pay Amount]),0)</f>
        <v>0</v>
      </c>
      <c r="U103" s="5" t="str">
        <f t="shared" si="5"/>
        <v>N</v>
      </c>
      <c r="X103" s="56"/>
      <c r="Y103" s="56"/>
      <c r="Z103" s="56"/>
      <c r="AA103" s="56"/>
      <c r="AC103" s="56"/>
    </row>
  </sheetData>
  <conditionalFormatting sqref="N1:N1048576">
    <cfRule type="containsText" dxfId="319" priority="6" operator="containsText" text="Y">
      <formula>NOT(ISERROR(SEARCH("Y",N1)))</formula>
    </cfRule>
  </conditionalFormatting>
  <conditionalFormatting sqref="F1:G1048576">
    <cfRule type="containsText" dxfId="318" priority="5" operator="containsText" text="INS">
      <formula>NOT(ISERROR(SEARCH("INS",F1)))</formula>
    </cfRule>
  </conditionalFormatting>
  <conditionalFormatting sqref="O1:O1048576">
    <cfRule type="containsText" dxfId="317" priority="2" operator="containsText" text="yes">
      <formula>NOT(ISERROR(SEARCH("yes",O1)))</formula>
    </cfRule>
    <cfRule type="containsText" dxfId="316" priority="3" operator="containsText" text="no">
      <formula>NOT(ISERROR(SEARCH("no",O1)))</formula>
    </cfRule>
    <cfRule type="containsText" dxfId="315" priority="4" operator="containsText" text="/">
      <formula>NOT(ISERROR(SEARCH("/",O1)))</formula>
    </cfRule>
  </conditionalFormatting>
  <conditionalFormatting sqref="U1:U1048576">
    <cfRule type="containsText" dxfId="314" priority="1" operator="containsText" text="Y">
      <formula>NOT(ISERROR(SEARCH("Y",U1)))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Relay!$D$11:$D$16</xm:f>
          </x14:formula1>
          <xm:sqref>E3:E103</xm:sqref>
        </x14:dataValidation>
        <x14:dataValidation type="list" allowBlank="1" showInputMessage="1" showErrorMessage="1">
          <x14:formula1>
            <xm:f>Relay!$A$2:$A$101</xm:f>
          </x14:formula1>
          <xm:sqref>A3:A103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103"/>
  <sheetViews>
    <sheetView workbookViewId="0">
      <selection activeCell="B1" sqref="B1:B1048576"/>
    </sheetView>
  </sheetViews>
  <sheetFormatPr defaultRowHeight="15" x14ac:dyDescent="0.25"/>
  <cols>
    <col min="1" max="1" width="21.7109375" style="36" customWidth="1"/>
    <col min="2" max="2" width="9.140625" hidden="1" customWidth="1"/>
    <col min="3" max="3" width="12.85546875" bestFit="1" customWidth="1"/>
    <col min="4" max="4" width="10.7109375" style="40" bestFit="1" customWidth="1"/>
    <col min="5" max="5" width="12.85546875" style="36" bestFit="1" customWidth="1"/>
    <col min="6" max="6" width="12.85546875" style="36" customWidth="1"/>
    <col min="7" max="7" width="12.85546875" customWidth="1"/>
    <col min="8" max="8" width="10.7109375" customWidth="1"/>
    <col min="9" max="9" width="15.5703125" style="9" bestFit="1" customWidth="1"/>
    <col min="10" max="10" width="9.140625" style="36" customWidth="1"/>
    <col min="11" max="11" width="13.140625" style="36" bestFit="1" customWidth="1"/>
    <col min="12" max="12" width="15.5703125" style="36" bestFit="1" customWidth="1"/>
    <col min="13" max="13" width="14.140625" style="36" bestFit="1" customWidth="1"/>
    <col min="14" max="14" width="19.5703125" hidden="1" customWidth="1"/>
    <col min="15" max="16" width="17" customWidth="1"/>
    <col min="17" max="17" width="16.42578125" customWidth="1"/>
    <col min="19" max="19" width="15" style="9" bestFit="1" customWidth="1"/>
    <col min="20" max="20" width="16.28515625" style="9" bestFit="1" customWidth="1"/>
    <col min="21" max="21" width="9.140625" style="5"/>
    <col min="22" max="22" width="14.28515625" bestFit="1" customWidth="1"/>
    <col min="23" max="23" width="21.7109375" customWidth="1"/>
    <col min="27" max="27" width="12.85546875" bestFit="1" customWidth="1"/>
    <col min="28" max="28" width="9" style="9" bestFit="1" customWidth="1"/>
    <col min="29" max="29" width="8.42578125" bestFit="1" customWidth="1"/>
    <col min="30" max="30" width="10.42578125" style="9" bestFit="1" customWidth="1"/>
  </cols>
  <sheetData>
    <row r="1" spans="1:30" s="3" customFormat="1" x14ac:dyDescent="0.25">
      <c r="A1" s="33" t="s">
        <v>54</v>
      </c>
      <c r="D1" s="37"/>
      <c r="E1" s="41"/>
      <c r="F1" s="41"/>
      <c r="I1" s="6"/>
      <c r="J1" s="41"/>
      <c r="K1" s="41"/>
      <c r="L1" s="41"/>
      <c r="M1" s="41"/>
      <c r="Q1" s="2" t="s">
        <v>14</v>
      </c>
      <c r="S1" s="6"/>
      <c r="T1" s="6"/>
      <c r="U1" s="71"/>
      <c r="V1" s="2"/>
      <c r="AB1" s="6"/>
      <c r="AD1" s="6"/>
    </row>
    <row r="2" spans="1:30" x14ac:dyDescent="0.25">
      <c r="A2" s="34" t="s">
        <v>3</v>
      </c>
      <c r="B2" s="4" t="s">
        <v>2</v>
      </c>
      <c r="C2" s="4" t="s">
        <v>4</v>
      </c>
      <c r="D2" s="38" t="s">
        <v>1</v>
      </c>
      <c r="E2" s="34" t="s">
        <v>5</v>
      </c>
      <c r="F2" s="34" t="s">
        <v>6</v>
      </c>
      <c r="G2" s="4" t="s">
        <v>35</v>
      </c>
      <c r="H2" s="4" t="s">
        <v>7</v>
      </c>
      <c r="I2" s="7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11" t="s">
        <v>13</v>
      </c>
      <c r="O2" s="4" t="s">
        <v>70</v>
      </c>
      <c r="P2" s="4"/>
      <c r="Q2" s="5" t="s">
        <v>69</v>
      </c>
      <c r="R2" s="5" t="s">
        <v>2</v>
      </c>
      <c r="S2" s="8" t="s">
        <v>71</v>
      </c>
      <c r="T2" s="8" t="s">
        <v>16</v>
      </c>
      <c r="U2" s="5" t="s">
        <v>13</v>
      </c>
    </row>
    <row r="3" spans="1:30" x14ac:dyDescent="0.25">
      <c r="A3" s="35"/>
      <c r="B3" s="5" t="e">
        <f>VLOOKUP(A3,Relay!$A$1:$B$50,2,FALSE)</f>
        <v>#N/A</v>
      </c>
      <c r="C3" s="5" t="e">
        <f>VLOOKUP(A3,Relay!$A$2:$C$51,3,FALSE)</f>
        <v>#N/A</v>
      </c>
      <c r="D3" s="39"/>
      <c r="E3" s="35"/>
      <c r="F3" s="35" t="str">
        <f t="shared" ref="F3:F66" si="0">IF(E3="Moonlighting", 12, "INS")</f>
        <v>INS</v>
      </c>
      <c r="G3" s="5" t="e">
        <f>IF(OR(E3="Jeopardy",E3="APP Moonlighting",E3="Differential Pay"),"",Dec[[#This Row],[SysID]])</f>
        <v>#N/A</v>
      </c>
      <c r="H3" s="5" t="e">
        <f>IF(E3="Jeopardy",IF(C3="MD",Relay!$E$7,Relay!$E$8),IF(C3="MD",IF(COUNTIF(G:G,B3)&gt;1,Relay!$E$2,Relay!$E$1),IF(AND(COUNTIF(G:G,B3)&gt;1,COUNTA(A3)&gt;0),Relay!$E$5,Relay!$E$4)))</f>
        <v>#N/A</v>
      </c>
      <c r="I3" s="8">
        <f t="shared" ref="I3:I66" si="1">IF(COUNTA(A3)&gt;0,H3*F3,0)</f>
        <v>0</v>
      </c>
      <c r="J3" s="35"/>
      <c r="K3" s="35"/>
      <c r="L3" s="35"/>
      <c r="M3" s="35"/>
      <c r="N3" s="10" t="e">
        <f>IF(H3=Dec!$E$2,"N",IF(AND(COUNTIF(B:B,B3)=1,D3&gt;14),"Y","N"))</f>
        <v>#N/A</v>
      </c>
      <c r="O3" s="55" t="str">
        <f>IF(COUNT(Dec[[#This Row],[Date]])&gt;0,IF(Dec[[#This Row],[Date]]&gt;14,"Yes","No"),"N/A")</f>
        <v>N/A</v>
      </c>
      <c r="P3" s="55"/>
      <c r="Q3" s="5">
        <f>Relay!A2</f>
        <v>0</v>
      </c>
      <c r="R3" s="5">
        <f>Relay!B2</f>
        <v>1</v>
      </c>
      <c r="S3" s="8">
        <f>IF(Dec[After the 14th?]="No",SUMIF(Dec[SysID],R3,Dec[Pay Amount]),0)+IF(Nov[After the 14th?]="Yes",SUMIF(Nov[SysID],R3,Nov[Pay Amount]),0)</f>
        <v>0</v>
      </c>
      <c r="T3" s="8"/>
      <c r="U3" s="5" t="str">
        <f t="shared" ref="U3:U66" si="2">IF(S3=T3,"N","Y")</f>
        <v>N</v>
      </c>
      <c r="V3" s="57"/>
      <c r="W3" s="57"/>
      <c r="X3" s="56"/>
      <c r="Y3" s="56"/>
      <c r="Z3" s="56"/>
      <c r="AA3" s="56"/>
      <c r="AC3" s="56"/>
    </row>
    <row r="4" spans="1:30" x14ac:dyDescent="0.25">
      <c r="A4" s="35"/>
      <c r="B4" s="5" t="e">
        <f>VLOOKUP(A4,Relay!$A$1:$B$50,2,FALSE)</f>
        <v>#N/A</v>
      </c>
      <c r="C4" s="5" t="e">
        <f>VLOOKUP(A4,Relay!$A$2:$C$51,3,FALSE)</f>
        <v>#N/A</v>
      </c>
      <c r="D4" s="39"/>
      <c r="E4" s="35"/>
      <c r="F4" s="35" t="str">
        <f t="shared" si="0"/>
        <v>INS</v>
      </c>
      <c r="G4" s="5" t="e">
        <f>IF(OR(E4="Jeopardy",E4="APP Moonlighting",E4="Differential Pay"),"",Dec[[#This Row],[SysID]])</f>
        <v>#N/A</v>
      </c>
      <c r="H4" s="5" t="e">
        <f>IF(E4="Jeopardy",IF(C4="MD",Relay!$E$7,Relay!$E$8),IF(C4="MD",IF(COUNTIF(G:G,B4)&gt;1,Relay!$E$2,Relay!$E$1),IF(AND(COUNTIF(G:G,B4)&gt;1,COUNTA(A4)&gt;0),Relay!$E$5,Relay!$E$4)))</f>
        <v>#N/A</v>
      </c>
      <c r="I4" s="8">
        <f t="shared" si="1"/>
        <v>0</v>
      </c>
      <c r="J4" s="35"/>
      <c r="K4" s="35"/>
      <c r="L4" s="35"/>
      <c r="M4" s="35"/>
      <c r="N4" s="10" t="e">
        <f>IF(H4=Dec!$E$2,"N",IF(AND(COUNTIF(B:B,B4)=1,D4&gt;14),"Y","N"))</f>
        <v>#N/A</v>
      </c>
      <c r="O4" s="55" t="str">
        <f>IF(COUNT(Dec[[#This Row],[Date]])&gt;0,IF(Dec[[#This Row],[Date]]&gt;14,"Yes","No"),"N/A")</f>
        <v>N/A</v>
      </c>
      <c r="P4" s="55"/>
      <c r="Q4" s="5">
        <f>Relay!A3</f>
        <v>0</v>
      </c>
      <c r="R4" s="5">
        <f>Relay!B3</f>
        <v>2</v>
      </c>
      <c r="S4" s="8">
        <f>IF(Dec[After the 14th?]="No",SUMIF(Dec[SysID],R4,Dec[Pay Amount]),0)+IF(Nov[After the 14th?]="Yes",SUMIF(Nov[SysID],R4,Nov[Pay Amount]),0)</f>
        <v>0</v>
      </c>
      <c r="T4" s="8"/>
      <c r="U4" s="5" t="str">
        <f t="shared" si="2"/>
        <v>N</v>
      </c>
      <c r="X4" s="56"/>
      <c r="Y4" s="56"/>
      <c r="Z4" s="56"/>
      <c r="AA4" s="56"/>
      <c r="AC4" s="56"/>
    </row>
    <row r="5" spans="1:30" x14ac:dyDescent="0.25">
      <c r="A5" s="35"/>
      <c r="B5" s="5" t="e">
        <f>VLOOKUP(A5,Relay!$A$1:$B$50,2,FALSE)</f>
        <v>#N/A</v>
      </c>
      <c r="C5" s="5" t="e">
        <f>VLOOKUP(A5,Relay!$A$2:$C$51,3,FALSE)</f>
        <v>#N/A</v>
      </c>
      <c r="D5" s="39"/>
      <c r="E5" s="35"/>
      <c r="F5" s="35" t="str">
        <f t="shared" si="0"/>
        <v>INS</v>
      </c>
      <c r="G5" s="5" t="e">
        <f>IF(OR(E5="Jeopardy",E5="APP Moonlighting",E5="Differential Pay"),"",Dec[[#This Row],[SysID]])</f>
        <v>#N/A</v>
      </c>
      <c r="H5" s="5" t="e">
        <f>IF(E5="Jeopardy",IF(C5="MD",Relay!$E$7,Relay!$E$8),IF(C5="MD",IF(COUNTIF(G:G,B5)&gt;1,Relay!$E$2,Relay!$E$1),IF(AND(COUNTIF(G:G,B5)&gt;1,COUNTA(A5)&gt;0),Relay!$E$5,Relay!$E$4)))</f>
        <v>#N/A</v>
      </c>
      <c r="I5" s="8">
        <f t="shared" si="1"/>
        <v>0</v>
      </c>
      <c r="J5" s="35"/>
      <c r="K5" s="35"/>
      <c r="L5" s="35"/>
      <c r="M5" s="35"/>
      <c r="N5" s="10" t="e">
        <f>IF(H5=Dec!$E$2,"N",IF(AND(COUNTIF(B:B,B5)=1,D5&gt;14),"Y","N"))</f>
        <v>#N/A</v>
      </c>
      <c r="O5" s="55" t="str">
        <f>IF(COUNT(Dec[[#This Row],[Date]])&gt;0,IF(Dec[[#This Row],[Date]]&gt;14,"Yes","No"),"N/A")</f>
        <v>N/A</v>
      </c>
      <c r="P5" s="55"/>
      <c r="Q5" s="5">
        <f>Relay!A4</f>
        <v>0</v>
      </c>
      <c r="R5" s="5">
        <f>Relay!B4</f>
        <v>3</v>
      </c>
      <c r="S5" s="8">
        <f>IF(Dec[After the 14th?]="No",SUMIF(Dec[SysID],R5,Dec[Pay Amount]),0)+IF(Nov[After the 14th?]="Yes",SUMIF(Nov[SysID],R5,Nov[Pay Amount]),0)</f>
        <v>0</v>
      </c>
      <c r="T5" s="8"/>
      <c r="U5" s="5" t="str">
        <f t="shared" si="2"/>
        <v>N</v>
      </c>
      <c r="X5" s="56"/>
      <c r="Y5" s="56"/>
      <c r="Z5" s="56"/>
      <c r="AA5" s="56"/>
      <c r="AC5" s="56"/>
    </row>
    <row r="6" spans="1:30" x14ac:dyDescent="0.25">
      <c r="A6" s="35"/>
      <c r="B6" s="5" t="e">
        <f>VLOOKUP(A6,Relay!$A$1:$B$50,2,FALSE)</f>
        <v>#N/A</v>
      </c>
      <c r="C6" s="5" t="e">
        <f>VLOOKUP(A6,Relay!$A$2:$C$51,3,FALSE)</f>
        <v>#N/A</v>
      </c>
      <c r="D6" s="39"/>
      <c r="E6" s="35"/>
      <c r="F6" s="35" t="str">
        <f t="shared" si="0"/>
        <v>INS</v>
      </c>
      <c r="G6" s="5" t="e">
        <f>IF(OR(E6="Jeopardy",E6="APP Moonlighting",E6="Differential Pay"),"",Dec[[#This Row],[SysID]])</f>
        <v>#N/A</v>
      </c>
      <c r="H6" s="5" t="e">
        <f>IF(E6="Jeopardy",IF(C6="MD",Relay!$E$7,Relay!$E$8),IF(C6="MD",IF(COUNTIF(G:G,B6)&gt;1,Relay!$E$2,Relay!$E$1),IF(AND(COUNTIF(G:G,B6)&gt;1,COUNTA(A6)&gt;0),Relay!$E$5,Relay!$E$4)))</f>
        <v>#N/A</v>
      </c>
      <c r="I6" s="8">
        <f t="shared" si="1"/>
        <v>0</v>
      </c>
      <c r="J6" s="35"/>
      <c r="K6" s="35"/>
      <c r="L6" s="35"/>
      <c r="M6" s="35"/>
      <c r="N6" s="10" t="e">
        <f>IF(H6=Dec!$E$2,"N",IF(AND(COUNTIF(B:B,B6)=1,D6&gt;14),"Y","N"))</f>
        <v>#N/A</v>
      </c>
      <c r="O6" s="55" t="str">
        <f>IF(COUNT(Dec[[#This Row],[Date]])&gt;0,IF(Dec[[#This Row],[Date]]&gt;14,"Yes","No"),"N/A")</f>
        <v>N/A</v>
      </c>
      <c r="P6" s="55"/>
      <c r="Q6" s="5">
        <f>Relay!A5</f>
        <v>0</v>
      </c>
      <c r="R6" s="5">
        <f>Relay!B5</f>
        <v>4</v>
      </c>
      <c r="S6" s="8">
        <f>IF(Dec[After the 14th?]="No",SUMIF(Dec[SysID],R6,Dec[Pay Amount]),0)+IF(Nov[After the 14th?]="Yes",SUMIF(Nov[SysID],R6,Nov[Pay Amount]),0)</f>
        <v>0</v>
      </c>
      <c r="T6" s="8"/>
      <c r="U6" s="5" t="str">
        <f t="shared" si="2"/>
        <v>N</v>
      </c>
      <c r="X6" s="56"/>
      <c r="Y6" s="56"/>
      <c r="Z6" s="56"/>
      <c r="AA6" s="56"/>
      <c r="AC6" s="56"/>
    </row>
    <row r="7" spans="1:30" x14ac:dyDescent="0.25">
      <c r="A7" s="35"/>
      <c r="B7" s="5" t="e">
        <f>VLOOKUP(A7,Relay!$A$1:$B$50,2,FALSE)</f>
        <v>#N/A</v>
      </c>
      <c r="C7" s="5" t="e">
        <f>VLOOKUP(A7,Relay!$A$2:$C$51,3,FALSE)</f>
        <v>#N/A</v>
      </c>
      <c r="D7" s="39"/>
      <c r="E7" s="35"/>
      <c r="F7" s="35" t="str">
        <f t="shared" si="0"/>
        <v>INS</v>
      </c>
      <c r="G7" s="5" t="e">
        <f>IF(OR(E7="Jeopardy",E7="APP Moonlighting",E7="Differential Pay"),"",Dec[[#This Row],[SysID]])</f>
        <v>#N/A</v>
      </c>
      <c r="H7" s="5" t="e">
        <f>IF(E7="Jeopardy",IF(C7="MD",Relay!$E$7,Relay!$E$8),IF(C7="MD",IF(COUNTIF(G:G,B7)&gt;1,Relay!$E$2,Relay!$E$1),IF(AND(COUNTIF(G:G,B7)&gt;1,COUNTA(A7)&gt;0),Relay!$E$5,Relay!$E$4)))</f>
        <v>#N/A</v>
      </c>
      <c r="I7" s="8">
        <f t="shared" si="1"/>
        <v>0</v>
      </c>
      <c r="J7" s="35"/>
      <c r="K7" s="35"/>
      <c r="L7" s="35"/>
      <c r="M7" s="35"/>
      <c r="N7" s="10" t="e">
        <f>IF(H7=Dec!$E$2,"N",IF(AND(COUNTIF(B:B,B7)=1,D7&gt;14),"Y","N"))</f>
        <v>#N/A</v>
      </c>
      <c r="O7" s="55" t="str">
        <f>IF(COUNT(Dec[[#This Row],[Date]])&gt;0,IF(Dec[[#This Row],[Date]]&gt;14,"Yes","No"),"N/A")</f>
        <v>N/A</v>
      </c>
      <c r="P7" s="55"/>
      <c r="Q7" s="5">
        <f>Relay!A6</f>
        <v>0</v>
      </c>
      <c r="R7" s="5">
        <f>Relay!B6</f>
        <v>5</v>
      </c>
      <c r="S7" s="8">
        <f>IF(Dec[After the 14th?]="No",SUMIF(Dec[SysID],R7,Dec[Pay Amount]),0)+IF(Nov[After the 14th?]="Yes",SUMIF(Nov[SysID],R7,Nov[Pay Amount]),0)</f>
        <v>0</v>
      </c>
      <c r="T7" s="8"/>
      <c r="U7" s="5" t="str">
        <f t="shared" si="2"/>
        <v>N</v>
      </c>
      <c r="X7" s="56"/>
      <c r="Y7" s="56"/>
      <c r="Z7" s="56"/>
      <c r="AA7" s="56"/>
      <c r="AC7" s="56"/>
    </row>
    <row r="8" spans="1:30" x14ac:dyDescent="0.25">
      <c r="A8" s="35"/>
      <c r="B8" s="5" t="e">
        <f>VLOOKUP(A8,Relay!$A$1:$B$50,2,FALSE)</f>
        <v>#N/A</v>
      </c>
      <c r="C8" s="5" t="e">
        <f>VLOOKUP(A8,Relay!$A$2:$C$51,3,FALSE)</f>
        <v>#N/A</v>
      </c>
      <c r="D8" s="39"/>
      <c r="E8" s="35"/>
      <c r="F8" s="35" t="str">
        <f t="shared" si="0"/>
        <v>INS</v>
      </c>
      <c r="G8" s="5" t="e">
        <f>IF(OR(E8="Jeopardy",E8="APP Moonlighting",E8="Differential Pay"),"",Dec[[#This Row],[SysID]])</f>
        <v>#N/A</v>
      </c>
      <c r="H8" s="5" t="e">
        <f>IF(E8="Jeopardy",IF(C8="MD",Relay!$E$7,Relay!$E$8),IF(C8="MD",IF(COUNTIF(G:G,B8)&gt;1,Relay!$E$2,Relay!$E$1),IF(AND(COUNTIF(G:G,B8)&gt;1,COUNTA(A8)&gt;0),Relay!$E$5,Relay!$E$4)))</f>
        <v>#N/A</v>
      </c>
      <c r="I8" s="8">
        <f t="shared" si="1"/>
        <v>0</v>
      </c>
      <c r="J8" s="35"/>
      <c r="K8" s="35"/>
      <c r="L8" s="35"/>
      <c r="M8" s="35"/>
      <c r="N8" s="10" t="e">
        <f>IF(H8=Dec!$E$2,"N",IF(AND(COUNTIF(B:B,B8)=1,D8&gt;14),"Y","N"))</f>
        <v>#N/A</v>
      </c>
      <c r="O8" s="55" t="str">
        <f>IF(COUNT(Dec[[#This Row],[Date]])&gt;0,IF(Dec[[#This Row],[Date]]&gt;14,"Yes","No"),"N/A")</f>
        <v>N/A</v>
      </c>
      <c r="P8" s="55"/>
      <c r="Q8" s="5">
        <f>Relay!A7</f>
        <v>0</v>
      </c>
      <c r="R8" s="5">
        <f>Relay!B7</f>
        <v>6</v>
      </c>
      <c r="S8" s="8">
        <f>IF(Dec[After the 14th?]="No",SUMIF(Dec[SysID],R8,Dec[Pay Amount]),0)+IF(Nov[After the 14th?]="Yes",SUMIF(Nov[SysID],R8,Nov[Pay Amount]),0)</f>
        <v>0</v>
      </c>
      <c r="T8" s="8"/>
      <c r="U8" s="5" t="str">
        <f t="shared" si="2"/>
        <v>N</v>
      </c>
      <c r="X8" s="56"/>
      <c r="Y8" s="56"/>
      <c r="Z8" s="56"/>
      <c r="AA8" s="56"/>
      <c r="AC8" s="56"/>
    </row>
    <row r="9" spans="1:30" x14ac:dyDescent="0.25">
      <c r="A9" s="35"/>
      <c r="B9" s="5" t="e">
        <f>VLOOKUP(A9,Relay!$A$1:$B$50,2,FALSE)</f>
        <v>#N/A</v>
      </c>
      <c r="C9" s="5" t="e">
        <f>VLOOKUP(A9,Relay!$A$2:$C$51,3,FALSE)</f>
        <v>#N/A</v>
      </c>
      <c r="D9" s="39"/>
      <c r="E9" s="35"/>
      <c r="F9" s="35" t="str">
        <f t="shared" si="0"/>
        <v>INS</v>
      </c>
      <c r="G9" s="5" t="e">
        <f>IF(OR(E9="Jeopardy",E9="APP Moonlighting",E9="Differential Pay"),"",Dec[[#This Row],[SysID]])</f>
        <v>#N/A</v>
      </c>
      <c r="H9" s="5" t="e">
        <f>IF(E9="Jeopardy",IF(C9="MD",Relay!$E$7,Relay!$E$8),IF(C9="MD",IF(COUNTIF(G:G,B9)&gt;1,Relay!$E$2,Relay!$E$1),IF(AND(COUNTIF(G:G,B9)&gt;1,COUNTA(A9)&gt;0),Relay!$E$5,Relay!$E$4)))</f>
        <v>#N/A</v>
      </c>
      <c r="I9" s="8">
        <f t="shared" si="1"/>
        <v>0</v>
      </c>
      <c r="J9" s="35"/>
      <c r="K9" s="35"/>
      <c r="L9" s="35"/>
      <c r="M9" s="35"/>
      <c r="N9" s="10" t="e">
        <f>IF(H9=Dec!$E$2,"N",IF(AND(COUNTIF(B:B,B9)=1,D9&gt;14),"Y","N"))</f>
        <v>#N/A</v>
      </c>
      <c r="O9" s="55" t="str">
        <f>IF(COUNT(Dec[[#This Row],[Date]])&gt;0,IF(Dec[[#This Row],[Date]]&gt;14,"Yes","No"),"N/A")</f>
        <v>N/A</v>
      </c>
      <c r="P9" s="55"/>
      <c r="Q9" s="5">
        <f>Relay!A8</f>
        <v>0</v>
      </c>
      <c r="R9" s="5">
        <f>Relay!B8</f>
        <v>7</v>
      </c>
      <c r="S9" s="8">
        <f>IF(Dec[After the 14th?]="No",SUMIF(Dec[SysID],R9,Dec[Pay Amount]),0)+IF(Nov[After the 14th?]="Yes",SUMIF(Nov[SysID],R9,Nov[Pay Amount]),0)</f>
        <v>0</v>
      </c>
      <c r="T9" s="8"/>
      <c r="U9" s="5" t="str">
        <f t="shared" si="2"/>
        <v>N</v>
      </c>
      <c r="X9" s="56"/>
      <c r="Y9" s="56"/>
      <c r="Z9" s="56"/>
      <c r="AA9" s="56"/>
      <c r="AC9" s="56"/>
    </row>
    <row r="10" spans="1:30" x14ac:dyDescent="0.25">
      <c r="A10" s="35"/>
      <c r="B10" s="5" t="e">
        <f>VLOOKUP(A10,Relay!$A$1:$B$50,2,FALSE)</f>
        <v>#N/A</v>
      </c>
      <c r="C10" s="5" t="e">
        <f>VLOOKUP(A10,Relay!$A$2:$C$51,3,FALSE)</f>
        <v>#N/A</v>
      </c>
      <c r="D10" s="39"/>
      <c r="E10" s="35"/>
      <c r="F10" s="35" t="str">
        <f t="shared" si="0"/>
        <v>INS</v>
      </c>
      <c r="G10" s="5" t="e">
        <f>IF(OR(E10="Jeopardy",E10="APP Moonlighting",E10="Differential Pay"),"",Dec[[#This Row],[SysID]])</f>
        <v>#N/A</v>
      </c>
      <c r="H10" s="5" t="e">
        <f>IF(E10="Jeopardy",IF(C10="MD",Relay!$E$7,Relay!$E$8),IF(C10="MD",IF(COUNTIF(G:G,B10)&gt;1,Relay!$E$2,Relay!$E$1),IF(AND(COUNTIF(G:G,B10)&gt;1,COUNTA(A10)&gt;0),Relay!$E$5,Relay!$E$4)))</f>
        <v>#N/A</v>
      </c>
      <c r="I10" s="8">
        <f t="shared" si="1"/>
        <v>0</v>
      </c>
      <c r="J10" s="35"/>
      <c r="K10" s="35"/>
      <c r="L10" s="35"/>
      <c r="M10" s="35"/>
      <c r="N10" s="10" t="e">
        <f>IF(H10=Dec!$E$2,"N",IF(AND(COUNTIF(B:B,B10)=1,D10&gt;14),"Y","N"))</f>
        <v>#N/A</v>
      </c>
      <c r="O10" s="55" t="str">
        <f>IF(COUNT(Dec[[#This Row],[Date]])&gt;0,IF(Dec[[#This Row],[Date]]&gt;14,"Yes","No"),"N/A")</f>
        <v>N/A</v>
      </c>
      <c r="P10" s="55"/>
      <c r="Q10" s="5">
        <f>Relay!A9</f>
        <v>0</v>
      </c>
      <c r="R10" s="5">
        <f>Relay!B9</f>
        <v>8</v>
      </c>
      <c r="S10" s="8">
        <f>IF(Dec[After the 14th?]="No",SUMIF(Dec[SysID],R10,Dec[Pay Amount]),0)+IF(Nov[After the 14th?]="Yes",SUMIF(Nov[SysID],R10,Nov[Pay Amount]),0)</f>
        <v>0</v>
      </c>
      <c r="T10" s="8"/>
      <c r="U10" s="5" t="str">
        <f t="shared" si="2"/>
        <v>N</v>
      </c>
      <c r="X10" s="56"/>
      <c r="Y10" s="56"/>
      <c r="Z10" s="56"/>
      <c r="AA10" s="56"/>
      <c r="AC10" s="56"/>
    </row>
    <row r="11" spans="1:30" x14ac:dyDescent="0.25">
      <c r="A11" s="35"/>
      <c r="B11" s="5" t="e">
        <f>VLOOKUP(A11,Relay!$A$1:$B$50,2,FALSE)</f>
        <v>#N/A</v>
      </c>
      <c r="C11" s="5" t="e">
        <f>VLOOKUP(A11,Relay!$A$2:$C$51,3,FALSE)</f>
        <v>#N/A</v>
      </c>
      <c r="D11" s="39"/>
      <c r="E11" s="35"/>
      <c r="F11" s="35" t="str">
        <f t="shared" si="0"/>
        <v>INS</v>
      </c>
      <c r="G11" s="5" t="e">
        <f>IF(OR(E11="Jeopardy",E11="APP Moonlighting",E11="Differential Pay"),"",Dec[[#This Row],[SysID]])</f>
        <v>#N/A</v>
      </c>
      <c r="H11" s="5" t="e">
        <f>IF(E11="Jeopardy",IF(C11="MD",Relay!$E$7,Relay!$E$8),IF(C11="MD",IF(COUNTIF(G:G,B11)&gt;1,Relay!$E$2,Relay!$E$1),IF(AND(COUNTIF(G:G,B11)&gt;1,COUNTA(A11)&gt;0),Relay!$E$5,Relay!$E$4)))</f>
        <v>#N/A</v>
      </c>
      <c r="I11" s="8">
        <f t="shared" si="1"/>
        <v>0</v>
      </c>
      <c r="J11" s="35"/>
      <c r="K11" s="35"/>
      <c r="L11" s="35"/>
      <c r="M11" s="35"/>
      <c r="N11" s="10" t="e">
        <f>IF(H11=Dec!$E$2,"N",IF(AND(COUNTIF(B:B,B11)=1,D11&gt;14),"Y","N"))</f>
        <v>#N/A</v>
      </c>
      <c r="O11" s="55" t="str">
        <f>IF(COUNT(Dec[[#This Row],[Date]])&gt;0,IF(Dec[[#This Row],[Date]]&gt;14,"Yes","No"),"N/A")</f>
        <v>N/A</v>
      </c>
      <c r="P11" s="55"/>
      <c r="Q11" s="5">
        <f>Relay!A10</f>
        <v>0</v>
      </c>
      <c r="R11" s="5">
        <f>Relay!B10</f>
        <v>9</v>
      </c>
      <c r="S11" s="8">
        <f>IF(Dec[After the 14th?]="No",SUMIF(Dec[SysID],R11,Dec[Pay Amount]),0)+IF(Nov[After the 14th?]="Yes",SUMIF(Nov[SysID],R11,Nov[Pay Amount]),0)</f>
        <v>0</v>
      </c>
      <c r="T11" s="8"/>
      <c r="U11" s="5" t="str">
        <f t="shared" si="2"/>
        <v>N</v>
      </c>
      <c r="X11" s="56"/>
      <c r="Y11" s="56"/>
      <c r="Z11" s="56"/>
      <c r="AA11" s="56"/>
      <c r="AC11" s="56"/>
    </row>
    <row r="12" spans="1:30" x14ac:dyDescent="0.25">
      <c r="A12" s="35"/>
      <c r="B12" s="5" t="e">
        <f>VLOOKUP(A12,Relay!$A$1:$B$50,2,FALSE)</f>
        <v>#N/A</v>
      </c>
      <c r="C12" s="5" t="e">
        <f>VLOOKUP(A12,Relay!$A$2:$C$51,3,FALSE)</f>
        <v>#N/A</v>
      </c>
      <c r="D12" s="39"/>
      <c r="E12" s="35"/>
      <c r="F12" s="35" t="str">
        <f t="shared" si="0"/>
        <v>INS</v>
      </c>
      <c r="G12" s="5" t="e">
        <f>IF(OR(E12="Jeopardy",E12="APP Moonlighting",E12="Differential Pay"),"",Dec[[#This Row],[SysID]])</f>
        <v>#N/A</v>
      </c>
      <c r="H12" s="5" t="e">
        <f>IF(E12="Jeopardy",IF(C12="MD",Relay!$E$7,Relay!$E$8),IF(C12="MD",IF(COUNTIF(G:G,B12)&gt;1,Relay!$E$2,Relay!$E$1),IF(AND(COUNTIF(G:G,B12)&gt;1,COUNTA(A12)&gt;0),Relay!$E$5,Relay!$E$4)))</f>
        <v>#N/A</v>
      </c>
      <c r="I12" s="8">
        <f t="shared" si="1"/>
        <v>0</v>
      </c>
      <c r="J12" s="35"/>
      <c r="K12" s="35"/>
      <c r="L12" s="35"/>
      <c r="M12" s="35"/>
      <c r="N12" s="10" t="e">
        <f>IF(H12=Dec!$E$2,"N",IF(AND(COUNTIF(B:B,B12)=1,D12&gt;14),"Y","N"))</f>
        <v>#N/A</v>
      </c>
      <c r="O12" s="55" t="str">
        <f>IF(COUNT(Dec[[#This Row],[Date]])&gt;0,IF(Dec[[#This Row],[Date]]&gt;14,"Yes","No"),"N/A")</f>
        <v>N/A</v>
      </c>
      <c r="P12" s="55"/>
      <c r="Q12" s="5">
        <f>Relay!A11</f>
        <v>0</v>
      </c>
      <c r="R12" s="5">
        <f>Relay!B11</f>
        <v>10</v>
      </c>
      <c r="S12" s="8">
        <f>IF(Dec[After the 14th?]="No",SUMIF(Dec[SysID],R12,Dec[Pay Amount]),0)+IF(Nov[After the 14th?]="Yes",SUMIF(Nov[SysID],R12,Nov[Pay Amount]),0)</f>
        <v>0</v>
      </c>
      <c r="T12" s="8"/>
      <c r="U12" s="5" t="str">
        <f t="shared" si="2"/>
        <v>N</v>
      </c>
      <c r="X12" s="56"/>
      <c r="Y12" s="56"/>
      <c r="Z12" s="56"/>
      <c r="AA12" s="56"/>
      <c r="AC12" s="56"/>
    </row>
    <row r="13" spans="1:30" x14ac:dyDescent="0.25">
      <c r="A13" s="35"/>
      <c r="B13" s="5" t="e">
        <f>VLOOKUP(A13,Relay!$A$1:$B$50,2,FALSE)</f>
        <v>#N/A</v>
      </c>
      <c r="C13" s="5" t="e">
        <f>VLOOKUP(A13,Relay!$A$2:$C$51,3,FALSE)</f>
        <v>#N/A</v>
      </c>
      <c r="D13" s="39"/>
      <c r="E13" s="35"/>
      <c r="F13" s="35" t="str">
        <f t="shared" si="0"/>
        <v>INS</v>
      </c>
      <c r="G13" s="5" t="e">
        <f>IF(OR(E13="Jeopardy",E13="APP Moonlighting",E13="Differential Pay"),"",Dec[[#This Row],[SysID]])</f>
        <v>#N/A</v>
      </c>
      <c r="H13" s="5" t="e">
        <f>IF(E13="Jeopardy",IF(C13="MD",Relay!$E$7,Relay!$E$8),IF(C13="MD",IF(COUNTIF(G:G,B13)&gt;1,Relay!$E$2,Relay!$E$1),IF(AND(COUNTIF(G:G,B13)&gt;1,COUNTA(A13)&gt;0),Relay!$E$5,Relay!$E$4)))</f>
        <v>#N/A</v>
      </c>
      <c r="I13" s="8">
        <f t="shared" si="1"/>
        <v>0</v>
      </c>
      <c r="J13" s="35"/>
      <c r="K13" s="35"/>
      <c r="L13" s="35"/>
      <c r="M13" s="35"/>
      <c r="N13" s="10" t="e">
        <f>IF(H13=Dec!$E$2,"N",IF(AND(COUNTIF(B:B,B13)=1,D13&gt;14),"Y","N"))</f>
        <v>#N/A</v>
      </c>
      <c r="O13" s="55" t="str">
        <f>IF(COUNT(Dec[[#This Row],[Date]])&gt;0,IF(Dec[[#This Row],[Date]]&gt;14,"Yes","No"),"N/A")</f>
        <v>N/A</v>
      </c>
      <c r="P13" s="55"/>
      <c r="Q13" s="5">
        <f>Relay!A12</f>
        <v>0</v>
      </c>
      <c r="R13" s="5">
        <f>Relay!B12</f>
        <v>11</v>
      </c>
      <c r="S13" s="8">
        <f>IF(Dec[After the 14th?]="No",SUMIF(Dec[SysID],R13,Dec[Pay Amount]),0)+IF(Nov[After the 14th?]="Yes",SUMIF(Nov[SysID],R13,Nov[Pay Amount]),0)</f>
        <v>0</v>
      </c>
      <c r="T13" s="8"/>
      <c r="U13" s="5" t="str">
        <f t="shared" si="2"/>
        <v>N</v>
      </c>
      <c r="X13" s="56"/>
      <c r="Y13" s="56"/>
      <c r="Z13" s="56"/>
      <c r="AA13" s="56"/>
      <c r="AC13" s="56"/>
    </row>
    <row r="14" spans="1:30" x14ac:dyDescent="0.25">
      <c r="A14" s="35"/>
      <c r="B14" s="5" t="e">
        <f>VLOOKUP(A14,Relay!$A$1:$B$50,2,FALSE)</f>
        <v>#N/A</v>
      </c>
      <c r="C14" s="5" t="e">
        <f>VLOOKUP(A14,Relay!$A$2:$C$51,3,FALSE)</f>
        <v>#N/A</v>
      </c>
      <c r="D14" s="39"/>
      <c r="E14" s="35"/>
      <c r="F14" s="35" t="str">
        <f t="shared" si="0"/>
        <v>INS</v>
      </c>
      <c r="G14" s="5" t="e">
        <f>IF(OR(E14="Jeopardy",E14="APP Moonlighting",E14="Differential Pay"),"",Dec[[#This Row],[SysID]])</f>
        <v>#N/A</v>
      </c>
      <c r="H14" s="5" t="e">
        <f>IF(E14="Jeopardy",IF(C14="MD",Relay!$E$7,Relay!$E$8),IF(C14="MD",IF(COUNTIF(G:G,B14)&gt;1,Relay!$E$2,Relay!$E$1),IF(AND(COUNTIF(G:G,B14)&gt;1,COUNTA(A14)&gt;0),Relay!$E$5,Relay!$E$4)))</f>
        <v>#N/A</v>
      </c>
      <c r="I14" s="8">
        <f t="shared" si="1"/>
        <v>0</v>
      </c>
      <c r="J14" s="35"/>
      <c r="K14" s="35"/>
      <c r="L14" s="35"/>
      <c r="M14" s="35"/>
      <c r="N14" s="10" t="e">
        <f>IF(H14=Dec!$E$2,"N",IF(AND(COUNTIF(B:B,B14)=1,D14&gt;14),"Y","N"))</f>
        <v>#N/A</v>
      </c>
      <c r="O14" s="55" t="str">
        <f>IF(COUNT(Dec[[#This Row],[Date]])&gt;0,IF(Dec[[#This Row],[Date]]&gt;14,"Yes","No"),"N/A")</f>
        <v>N/A</v>
      </c>
      <c r="P14" s="55"/>
      <c r="Q14" s="5">
        <f>Relay!A13</f>
        <v>0</v>
      </c>
      <c r="R14" s="5">
        <f>Relay!B13</f>
        <v>12</v>
      </c>
      <c r="S14" s="8">
        <f>IF(Dec[After the 14th?]="No",SUMIF(Dec[SysID],R14,Dec[Pay Amount]),0)+IF(Nov[After the 14th?]="Yes",SUMIF(Nov[SysID],R14,Nov[Pay Amount]),0)</f>
        <v>0</v>
      </c>
      <c r="T14" s="8"/>
      <c r="U14" s="5" t="str">
        <f t="shared" si="2"/>
        <v>N</v>
      </c>
      <c r="X14" s="56"/>
      <c r="Y14" s="56"/>
      <c r="Z14" s="56"/>
      <c r="AA14" s="56"/>
      <c r="AC14" s="56"/>
    </row>
    <row r="15" spans="1:30" x14ac:dyDescent="0.25">
      <c r="A15" s="35"/>
      <c r="B15" s="5" t="e">
        <f>VLOOKUP(A15,Relay!$A$1:$B$50,2,FALSE)</f>
        <v>#N/A</v>
      </c>
      <c r="C15" s="5" t="e">
        <f>VLOOKUP(A15,Relay!$A$2:$C$51,3,FALSE)</f>
        <v>#N/A</v>
      </c>
      <c r="D15" s="39"/>
      <c r="E15" s="35"/>
      <c r="F15" s="35" t="str">
        <f t="shared" si="0"/>
        <v>INS</v>
      </c>
      <c r="G15" s="5" t="e">
        <f>IF(OR(E15="Jeopardy",E15="APP Moonlighting",E15="Differential Pay"),"",Dec[[#This Row],[SysID]])</f>
        <v>#N/A</v>
      </c>
      <c r="H15" s="5" t="e">
        <f>IF(E15="Jeopardy",IF(C15="MD",Relay!$E$7,Relay!$E$8),IF(C15="MD",IF(COUNTIF(G:G,B15)&gt;1,Relay!$E$2,Relay!$E$1),IF(AND(COUNTIF(G:G,B15)&gt;1,COUNTA(A15)&gt;0),Relay!$E$5,Relay!$E$4)))</f>
        <v>#N/A</v>
      </c>
      <c r="I15" s="8">
        <f t="shared" si="1"/>
        <v>0</v>
      </c>
      <c r="J15" s="35"/>
      <c r="K15" s="35"/>
      <c r="L15" s="35"/>
      <c r="M15" s="35"/>
      <c r="N15" s="10" t="e">
        <f>IF(H15=Dec!$E$2,"N",IF(AND(COUNTIF(B:B,B15)=1,D15&gt;14),"Y","N"))</f>
        <v>#N/A</v>
      </c>
      <c r="O15" s="55" t="str">
        <f>IF(COUNT(Dec[[#This Row],[Date]])&gt;0,IF(Dec[[#This Row],[Date]]&gt;14,"Yes","No"),"N/A")</f>
        <v>N/A</v>
      </c>
      <c r="P15" s="55"/>
      <c r="Q15" s="5">
        <f>Relay!A14</f>
        <v>0</v>
      </c>
      <c r="R15" s="5">
        <f>Relay!B14</f>
        <v>13</v>
      </c>
      <c r="S15" s="8">
        <f>IF(Dec[After the 14th?]="No",SUMIF(Dec[SysID],R15,Dec[Pay Amount]),0)+IF(Nov[After the 14th?]="Yes",SUMIF(Nov[SysID],R15,Nov[Pay Amount]),0)</f>
        <v>0</v>
      </c>
      <c r="T15" s="8"/>
      <c r="U15" s="5" t="str">
        <f t="shared" si="2"/>
        <v>N</v>
      </c>
      <c r="X15" s="56"/>
      <c r="Y15" s="56"/>
      <c r="Z15" s="56"/>
      <c r="AA15" s="56"/>
      <c r="AC15" s="56"/>
    </row>
    <row r="16" spans="1:30" x14ac:dyDescent="0.25">
      <c r="A16" s="35"/>
      <c r="B16" s="5" t="e">
        <f>VLOOKUP(A16,Relay!$A$1:$B$50,2,FALSE)</f>
        <v>#N/A</v>
      </c>
      <c r="C16" s="5" t="e">
        <f>VLOOKUP(A16,Relay!$A$2:$C$51,3,FALSE)</f>
        <v>#N/A</v>
      </c>
      <c r="D16" s="39"/>
      <c r="E16" s="35"/>
      <c r="F16" s="35" t="str">
        <f t="shared" si="0"/>
        <v>INS</v>
      </c>
      <c r="G16" s="5" t="e">
        <f>IF(OR(E16="Jeopardy",E16="APP Moonlighting",E16="Differential Pay"),"",Dec[[#This Row],[SysID]])</f>
        <v>#N/A</v>
      </c>
      <c r="H16" s="5" t="e">
        <f>IF(E16="Jeopardy",IF(C16="MD",Relay!$E$7,Relay!$E$8),IF(C16="MD",IF(COUNTIF(G:G,B16)&gt;1,Relay!$E$2,Relay!$E$1),IF(AND(COUNTIF(G:G,B16)&gt;1,COUNTA(A16)&gt;0),Relay!$E$5,Relay!$E$4)))</f>
        <v>#N/A</v>
      </c>
      <c r="I16" s="8">
        <f t="shared" si="1"/>
        <v>0</v>
      </c>
      <c r="J16" s="35"/>
      <c r="K16" s="35"/>
      <c r="L16" s="35"/>
      <c r="M16" s="35"/>
      <c r="N16" s="10" t="e">
        <f>IF(H16=Dec!$E$2,"N",IF(AND(COUNTIF(B:B,B16)=1,D16&gt;14),"Y","N"))</f>
        <v>#N/A</v>
      </c>
      <c r="O16" s="55" t="str">
        <f>IF(COUNT(Dec[[#This Row],[Date]])&gt;0,IF(Dec[[#This Row],[Date]]&gt;14,"Yes","No"),"N/A")</f>
        <v>N/A</v>
      </c>
      <c r="P16" s="55"/>
      <c r="Q16" s="5">
        <f>Relay!A15</f>
        <v>0</v>
      </c>
      <c r="R16" s="5">
        <f>Relay!B15</f>
        <v>14</v>
      </c>
      <c r="S16" s="8">
        <f>IF(Dec[After the 14th?]="No",SUMIF(Dec[SysID],R16,Dec[Pay Amount]),0)+IF(Nov[After the 14th?]="Yes",SUMIF(Nov[SysID],R16,Nov[Pay Amount]),0)</f>
        <v>0</v>
      </c>
      <c r="T16" s="8"/>
      <c r="U16" s="5" t="str">
        <f t="shared" si="2"/>
        <v>N</v>
      </c>
      <c r="X16" s="56"/>
      <c r="Y16" s="56"/>
      <c r="Z16" s="56"/>
      <c r="AA16" s="56"/>
      <c r="AC16" s="56"/>
    </row>
    <row r="17" spans="1:29" x14ac:dyDescent="0.25">
      <c r="A17" s="35"/>
      <c r="B17" s="5" t="e">
        <f>VLOOKUP(A17,Relay!$A$1:$B$50,2,FALSE)</f>
        <v>#N/A</v>
      </c>
      <c r="C17" s="5" t="e">
        <f>VLOOKUP(A17,Relay!$A$2:$C$51,3,FALSE)</f>
        <v>#N/A</v>
      </c>
      <c r="D17" s="39"/>
      <c r="E17" s="35"/>
      <c r="F17" s="35" t="str">
        <f t="shared" si="0"/>
        <v>INS</v>
      </c>
      <c r="G17" s="5" t="e">
        <f>IF(OR(E17="Jeopardy",E17="APP Moonlighting",E17="Differential Pay"),"",Dec[[#This Row],[SysID]])</f>
        <v>#N/A</v>
      </c>
      <c r="H17" s="5" t="e">
        <f>IF(E17="Jeopardy",IF(C17="MD",Relay!$E$7,Relay!$E$8),IF(C17="MD",IF(COUNTIF(G:G,B17)&gt;1,Relay!$E$2,Relay!$E$1),IF(AND(COUNTIF(G:G,B17)&gt;1,COUNTA(A17)&gt;0),Relay!$E$5,Relay!$E$4)))</f>
        <v>#N/A</v>
      </c>
      <c r="I17" s="8">
        <f t="shared" si="1"/>
        <v>0</v>
      </c>
      <c r="J17" s="35"/>
      <c r="K17" s="35"/>
      <c r="L17" s="35"/>
      <c r="M17" s="35"/>
      <c r="N17" s="10" t="e">
        <f>IF(H17=Dec!$E$2,"N",IF(AND(COUNTIF(B:B,B17)=1,D17&gt;14),"Y","N"))</f>
        <v>#N/A</v>
      </c>
      <c r="O17" s="55" t="str">
        <f>IF(COUNT(Dec[[#This Row],[Date]])&gt;0,IF(Dec[[#This Row],[Date]]&gt;14,"Yes","No"),"N/A")</f>
        <v>N/A</v>
      </c>
      <c r="P17" s="55"/>
      <c r="Q17" s="5">
        <f>Relay!A16</f>
        <v>0</v>
      </c>
      <c r="R17" s="5">
        <f>Relay!B16</f>
        <v>15</v>
      </c>
      <c r="S17" s="8">
        <f>IF(Dec[After the 14th?]="No",SUMIF(Dec[SysID],R17,Dec[Pay Amount]),0)+IF(Nov[After the 14th?]="Yes",SUMIF(Nov[SysID],R17,Nov[Pay Amount]),0)</f>
        <v>0</v>
      </c>
      <c r="T17" s="8"/>
      <c r="U17" s="5" t="str">
        <f t="shared" si="2"/>
        <v>N</v>
      </c>
      <c r="X17" s="56"/>
      <c r="Y17" s="56"/>
      <c r="Z17" s="56"/>
      <c r="AA17" s="56"/>
      <c r="AC17" s="56"/>
    </row>
    <row r="18" spans="1:29" x14ac:dyDescent="0.25">
      <c r="A18" s="35"/>
      <c r="B18" s="5" t="e">
        <f>VLOOKUP(A18,Relay!$A$1:$B$50,2,FALSE)</f>
        <v>#N/A</v>
      </c>
      <c r="C18" s="5" t="e">
        <f>VLOOKUP(A18,Relay!$A$2:$C$51,3,FALSE)</f>
        <v>#N/A</v>
      </c>
      <c r="D18" s="39"/>
      <c r="E18" s="35"/>
      <c r="F18" s="35" t="str">
        <f t="shared" si="0"/>
        <v>INS</v>
      </c>
      <c r="G18" s="5" t="e">
        <f>IF(OR(E18="Jeopardy",E18="APP Moonlighting",E18="Differential Pay"),"",Dec[[#This Row],[SysID]])</f>
        <v>#N/A</v>
      </c>
      <c r="H18" s="5" t="e">
        <f>IF(E18="Jeopardy",IF(C18="MD",Relay!$E$7,Relay!$E$8),IF(C18="MD",IF(COUNTIF(G:G,B18)&gt;1,Relay!$E$2,Relay!$E$1),IF(AND(COUNTIF(G:G,B18)&gt;1,COUNTA(A18)&gt;0),Relay!$E$5,Relay!$E$4)))</f>
        <v>#N/A</v>
      </c>
      <c r="I18" s="8">
        <f t="shared" si="1"/>
        <v>0</v>
      </c>
      <c r="J18" s="35"/>
      <c r="K18" s="35"/>
      <c r="L18" s="35"/>
      <c r="M18" s="35"/>
      <c r="N18" s="10" t="e">
        <f>IF(H18=Dec!$E$2,"N",IF(AND(COUNTIF(B:B,B18)=1,D18&gt;14),"Y","N"))</f>
        <v>#N/A</v>
      </c>
      <c r="O18" s="55" t="str">
        <f>IF(COUNT(Dec[[#This Row],[Date]])&gt;0,IF(Dec[[#This Row],[Date]]&gt;14,"Yes","No"),"N/A")</f>
        <v>N/A</v>
      </c>
      <c r="P18" s="55"/>
      <c r="Q18" s="5">
        <f>Relay!A17</f>
        <v>0</v>
      </c>
      <c r="R18" s="5">
        <f>Relay!B17</f>
        <v>16</v>
      </c>
      <c r="S18" s="8">
        <f>IF(Dec[After the 14th?]="No",SUMIF(Dec[SysID],R18,Dec[Pay Amount]),0)+IF(Nov[After the 14th?]="Yes",SUMIF(Nov[SysID],R18,Nov[Pay Amount]),0)</f>
        <v>0</v>
      </c>
      <c r="T18" s="8"/>
      <c r="U18" s="5" t="str">
        <f t="shared" si="2"/>
        <v>N</v>
      </c>
      <c r="X18" s="56"/>
      <c r="Y18" s="56"/>
      <c r="Z18" s="56"/>
      <c r="AA18" s="56"/>
      <c r="AC18" s="56"/>
    </row>
    <row r="19" spans="1:29" x14ac:dyDescent="0.25">
      <c r="A19" s="35"/>
      <c r="B19" s="5" t="e">
        <f>VLOOKUP(A19,Relay!$A$1:$B$50,2,FALSE)</f>
        <v>#N/A</v>
      </c>
      <c r="C19" s="5" t="e">
        <f>VLOOKUP(A19,Relay!$A$2:$C$51,3,FALSE)</f>
        <v>#N/A</v>
      </c>
      <c r="D19" s="39"/>
      <c r="E19" s="35"/>
      <c r="F19" s="35" t="str">
        <f t="shared" si="0"/>
        <v>INS</v>
      </c>
      <c r="G19" s="5" t="e">
        <f>IF(OR(E19="Jeopardy",E19="APP Moonlighting",E19="Differential Pay"),"",Dec[[#This Row],[SysID]])</f>
        <v>#N/A</v>
      </c>
      <c r="H19" s="5" t="e">
        <f>IF(E19="Jeopardy",IF(C19="MD",Relay!$E$7,Relay!$E$8),IF(C19="MD",IF(COUNTIF(G:G,B19)&gt;1,Relay!$E$2,Relay!$E$1),IF(AND(COUNTIF(G:G,B19)&gt;1,COUNTA(A19)&gt;0),Relay!$E$5,Relay!$E$4)))</f>
        <v>#N/A</v>
      </c>
      <c r="I19" s="8">
        <f t="shared" si="1"/>
        <v>0</v>
      </c>
      <c r="J19" s="35"/>
      <c r="K19" s="35"/>
      <c r="L19" s="35"/>
      <c r="M19" s="35"/>
      <c r="N19" s="10" t="e">
        <f>IF(H19=Dec!$E$2,"N",IF(AND(COUNTIF(B:B,B19)=1,D19&gt;14),"Y","N"))</f>
        <v>#N/A</v>
      </c>
      <c r="O19" s="55" t="str">
        <f>IF(COUNT(Dec[[#This Row],[Date]])&gt;0,IF(Dec[[#This Row],[Date]]&gt;14,"Yes","No"),"N/A")</f>
        <v>N/A</v>
      </c>
      <c r="P19" s="55"/>
      <c r="Q19" s="5">
        <f>Relay!A18</f>
        <v>0</v>
      </c>
      <c r="R19" s="5">
        <f>Relay!B18</f>
        <v>17</v>
      </c>
      <c r="S19" s="8">
        <f>IF(Dec[After the 14th?]="No",SUMIF(Dec[SysID],R19,Dec[Pay Amount]),0)+IF(Nov[After the 14th?]="Yes",SUMIF(Nov[SysID],R19,Nov[Pay Amount]),0)</f>
        <v>0</v>
      </c>
      <c r="T19" s="8"/>
      <c r="U19" s="5" t="str">
        <f t="shared" si="2"/>
        <v>N</v>
      </c>
      <c r="X19" s="56"/>
      <c r="Y19" s="56"/>
      <c r="Z19" s="56"/>
      <c r="AA19" s="56"/>
      <c r="AC19" s="56"/>
    </row>
    <row r="20" spans="1:29" x14ac:dyDescent="0.25">
      <c r="A20" s="35"/>
      <c r="B20" s="5" t="e">
        <f>VLOOKUP(A20,Relay!$A$1:$B$50,2,FALSE)</f>
        <v>#N/A</v>
      </c>
      <c r="C20" s="5" t="e">
        <f>VLOOKUP(A20,Relay!$A$2:$C$51,3,FALSE)</f>
        <v>#N/A</v>
      </c>
      <c r="D20" s="39"/>
      <c r="E20" s="35"/>
      <c r="F20" s="35" t="str">
        <f t="shared" si="0"/>
        <v>INS</v>
      </c>
      <c r="G20" s="5" t="e">
        <f>IF(OR(E20="Jeopardy",E20="APP Moonlighting",E20="Differential Pay"),"",Dec[[#This Row],[SysID]])</f>
        <v>#N/A</v>
      </c>
      <c r="H20" s="5" t="e">
        <f>IF(E20="Jeopardy",IF(C20="MD",Relay!$E$7,Relay!$E$8),IF(C20="MD",IF(COUNTIF(G:G,B20)&gt;1,Relay!$E$2,Relay!$E$1),IF(AND(COUNTIF(G:G,B20)&gt;1,COUNTA(A20)&gt;0),Relay!$E$5,Relay!$E$4)))</f>
        <v>#N/A</v>
      </c>
      <c r="I20" s="8">
        <f t="shared" si="1"/>
        <v>0</v>
      </c>
      <c r="J20" s="35"/>
      <c r="K20" s="35"/>
      <c r="L20" s="35"/>
      <c r="M20" s="35"/>
      <c r="N20" s="10" t="e">
        <f>IF(H20=Dec!$E$2,"N",IF(AND(COUNTIF(B:B,B20)=1,D20&gt;14),"Y","N"))</f>
        <v>#N/A</v>
      </c>
      <c r="O20" s="55" t="str">
        <f>IF(COUNT(Dec[[#This Row],[Date]])&gt;0,IF(Dec[[#This Row],[Date]]&gt;14,"Yes","No"),"N/A")</f>
        <v>N/A</v>
      </c>
      <c r="P20" s="55"/>
      <c r="Q20" s="5">
        <f>Relay!A19</f>
        <v>0</v>
      </c>
      <c r="R20" s="5">
        <f>Relay!B19</f>
        <v>18</v>
      </c>
      <c r="S20" s="8">
        <f>IF(Dec[After the 14th?]="No",SUMIF(Dec[SysID],R20,Dec[Pay Amount]),0)+IF(Nov[After the 14th?]="Yes",SUMIF(Nov[SysID],R20,Nov[Pay Amount]),0)</f>
        <v>0</v>
      </c>
      <c r="T20" s="8"/>
      <c r="U20" s="5" t="str">
        <f t="shared" si="2"/>
        <v>N</v>
      </c>
      <c r="X20" s="56"/>
      <c r="Y20" s="56"/>
      <c r="Z20" s="56"/>
      <c r="AA20" s="56"/>
      <c r="AC20" s="56"/>
    </row>
    <row r="21" spans="1:29" x14ac:dyDescent="0.25">
      <c r="A21" s="35"/>
      <c r="B21" s="5" t="e">
        <f>VLOOKUP(A21,Relay!$A$1:$B$50,2,FALSE)</f>
        <v>#N/A</v>
      </c>
      <c r="C21" s="5" t="e">
        <f>VLOOKUP(A21,Relay!$A$2:$C$51,3,FALSE)</f>
        <v>#N/A</v>
      </c>
      <c r="D21" s="39"/>
      <c r="E21" s="35"/>
      <c r="F21" s="35" t="str">
        <f t="shared" si="0"/>
        <v>INS</v>
      </c>
      <c r="G21" s="5" t="e">
        <f>IF(OR(E21="Jeopardy",E21="APP Moonlighting",E21="Differential Pay"),"",Dec[[#This Row],[SysID]])</f>
        <v>#N/A</v>
      </c>
      <c r="H21" s="5" t="e">
        <f>IF(E21="Jeopardy",IF(C21="MD",Relay!$E$7,Relay!$E$8),IF(C21="MD",IF(COUNTIF(G:G,B21)&gt;1,Relay!$E$2,Relay!$E$1),IF(AND(COUNTIF(G:G,B21)&gt;1,COUNTA(A21)&gt;0),Relay!$E$5,Relay!$E$4)))</f>
        <v>#N/A</v>
      </c>
      <c r="I21" s="8">
        <f t="shared" si="1"/>
        <v>0</v>
      </c>
      <c r="J21" s="35"/>
      <c r="K21" s="35"/>
      <c r="L21" s="35"/>
      <c r="M21" s="35"/>
      <c r="N21" s="10" t="e">
        <f>IF(H21=Dec!$E$2,"N",IF(AND(COUNTIF(B:B,B21)=1,D21&gt;14),"Y","N"))</f>
        <v>#N/A</v>
      </c>
      <c r="O21" s="55" t="str">
        <f>IF(COUNT(Dec[[#This Row],[Date]])&gt;0,IF(Dec[[#This Row],[Date]]&gt;14,"Yes","No"),"N/A")</f>
        <v>N/A</v>
      </c>
      <c r="P21" s="55"/>
      <c r="Q21" s="5">
        <f>Relay!A20</f>
        <v>0</v>
      </c>
      <c r="R21" s="5">
        <f>Relay!B20</f>
        <v>19</v>
      </c>
      <c r="S21" s="8">
        <f>IF(Dec[After the 14th?]="No",SUMIF(Dec[SysID],R21,Dec[Pay Amount]),0)+IF(Nov[After the 14th?]="Yes",SUMIF(Nov[SysID],R21,Nov[Pay Amount]),0)</f>
        <v>0</v>
      </c>
      <c r="T21" s="8"/>
      <c r="U21" s="5" t="str">
        <f t="shared" si="2"/>
        <v>N</v>
      </c>
      <c r="X21" s="56"/>
      <c r="Y21" s="56"/>
      <c r="Z21" s="56"/>
      <c r="AA21" s="56"/>
      <c r="AC21" s="56"/>
    </row>
    <row r="22" spans="1:29" x14ac:dyDescent="0.25">
      <c r="A22" s="35"/>
      <c r="B22" s="5" t="e">
        <f>VLOOKUP(A22,Relay!$A$1:$B$50,2,FALSE)</f>
        <v>#N/A</v>
      </c>
      <c r="C22" s="5" t="e">
        <f>VLOOKUP(A22,Relay!$A$2:$C$51,3,FALSE)</f>
        <v>#N/A</v>
      </c>
      <c r="D22" s="39"/>
      <c r="E22" s="35"/>
      <c r="F22" s="35" t="str">
        <f t="shared" si="0"/>
        <v>INS</v>
      </c>
      <c r="G22" s="5" t="e">
        <f>IF(OR(E22="Jeopardy",E22="APP Moonlighting",E22="Differential Pay"),"",Dec[[#This Row],[SysID]])</f>
        <v>#N/A</v>
      </c>
      <c r="H22" s="5" t="e">
        <f>IF(E22="Jeopardy",IF(C22="MD",Relay!$E$7,Relay!$E$8),IF(C22="MD",IF(COUNTIF(G:G,B22)&gt;1,Relay!$E$2,Relay!$E$1),IF(AND(COUNTIF(G:G,B22)&gt;1,COUNTA(A22)&gt;0),Relay!$E$5,Relay!$E$4)))</f>
        <v>#N/A</v>
      </c>
      <c r="I22" s="8">
        <f t="shared" si="1"/>
        <v>0</v>
      </c>
      <c r="J22" s="35"/>
      <c r="K22" s="35"/>
      <c r="L22" s="35"/>
      <c r="M22" s="35"/>
      <c r="N22" s="10" t="e">
        <f>IF(H22=Dec!$E$2,"N",IF(AND(COUNTIF(B:B,B22)=1,D22&gt;14),"Y","N"))</f>
        <v>#N/A</v>
      </c>
      <c r="O22" s="55" t="str">
        <f>IF(COUNT(Dec[[#This Row],[Date]])&gt;0,IF(Dec[[#This Row],[Date]]&gt;14,"Yes","No"),"N/A")</f>
        <v>N/A</v>
      </c>
      <c r="P22" s="55"/>
      <c r="Q22" s="5">
        <f>Relay!A21</f>
        <v>0</v>
      </c>
      <c r="R22" s="5">
        <f>Relay!B21</f>
        <v>20</v>
      </c>
      <c r="S22" s="8">
        <f>IF(Dec[After the 14th?]="No",SUMIF(Dec[SysID],R22,Dec[Pay Amount]),0)+IF(Nov[After the 14th?]="Yes",SUMIF(Nov[SysID],R22,Nov[Pay Amount]),0)</f>
        <v>0</v>
      </c>
      <c r="T22" s="8"/>
      <c r="U22" s="5" t="str">
        <f t="shared" si="2"/>
        <v>N</v>
      </c>
      <c r="X22" s="56"/>
      <c r="Y22" s="56"/>
      <c r="Z22" s="56"/>
      <c r="AA22" s="56"/>
      <c r="AC22" s="56"/>
    </row>
    <row r="23" spans="1:29" x14ac:dyDescent="0.25">
      <c r="A23" s="35"/>
      <c r="B23" s="5" t="e">
        <f>VLOOKUP(A23,Relay!$A$1:$B$50,2,FALSE)</f>
        <v>#N/A</v>
      </c>
      <c r="C23" s="5" t="e">
        <f>VLOOKUP(A23,Relay!$A$2:$C$51,3,FALSE)</f>
        <v>#N/A</v>
      </c>
      <c r="D23" s="39"/>
      <c r="E23" s="35"/>
      <c r="F23" s="35" t="str">
        <f t="shared" si="0"/>
        <v>INS</v>
      </c>
      <c r="G23" s="5" t="e">
        <f>IF(OR(E23="Jeopardy",E23="APP Moonlighting",E23="Differential Pay"),"",Dec[[#This Row],[SysID]])</f>
        <v>#N/A</v>
      </c>
      <c r="H23" s="5" t="e">
        <f>IF(E23="Jeopardy",IF(C23="MD",Relay!$E$7,Relay!$E$8),IF(C23="MD",IF(COUNTIF(G:G,B23)&gt;1,Relay!$E$2,Relay!$E$1),IF(AND(COUNTIF(G:G,B23)&gt;1,COUNTA(A23)&gt;0),Relay!$E$5,Relay!$E$4)))</f>
        <v>#N/A</v>
      </c>
      <c r="I23" s="8">
        <f t="shared" si="1"/>
        <v>0</v>
      </c>
      <c r="J23" s="35"/>
      <c r="K23" s="35"/>
      <c r="L23" s="35"/>
      <c r="M23" s="35"/>
      <c r="N23" s="10" t="e">
        <f>IF(H23=Dec!$E$2,"N",IF(AND(COUNTIF(B:B,B23)=1,D23&gt;14),"Y","N"))</f>
        <v>#N/A</v>
      </c>
      <c r="O23" s="55" t="str">
        <f>IF(COUNT(Dec[[#This Row],[Date]])&gt;0,IF(Dec[[#This Row],[Date]]&gt;14,"Yes","No"),"N/A")</f>
        <v>N/A</v>
      </c>
      <c r="P23" s="55"/>
      <c r="Q23" s="5">
        <f>Relay!A22</f>
        <v>0</v>
      </c>
      <c r="R23" s="5">
        <f>Relay!B22</f>
        <v>21</v>
      </c>
      <c r="S23" s="8">
        <f>IF(Dec[After the 14th?]="No",SUMIF(Dec[SysID],R23,Dec[Pay Amount]),0)+IF(Nov[After the 14th?]="Yes",SUMIF(Nov[SysID],R23,Nov[Pay Amount]),0)</f>
        <v>0</v>
      </c>
      <c r="T23" s="8"/>
      <c r="U23" s="5" t="str">
        <f t="shared" si="2"/>
        <v>N</v>
      </c>
      <c r="X23" s="56"/>
      <c r="Y23" s="56"/>
      <c r="Z23" s="56"/>
      <c r="AA23" s="56"/>
      <c r="AC23" s="56"/>
    </row>
    <row r="24" spans="1:29" x14ac:dyDescent="0.25">
      <c r="A24" s="35"/>
      <c r="B24" s="5" t="e">
        <f>VLOOKUP(A24,Relay!$A$1:$B$50,2,FALSE)</f>
        <v>#N/A</v>
      </c>
      <c r="C24" s="5" t="e">
        <f>VLOOKUP(A24,Relay!$A$2:$C$51,3,FALSE)</f>
        <v>#N/A</v>
      </c>
      <c r="D24" s="39"/>
      <c r="E24" s="35"/>
      <c r="F24" s="35" t="str">
        <f t="shared" si="0"/>
        <v>INS</v>
      </c>
      <c r="G24" s="5" t="e">
        <f>IF(OR(E24="Jeopardy",E24="APP Moonlighting",E24="Differential Pay"),"",Dec[[#This Row],[SysID]])</f>
        <v>#N/A</v>
      </c>
      <c r="H24" s="5" t="e">
        <f>IF(E24="Jeopardy",IF(C24="MD",Relay!$E$7,Relay!$E$8),IF(C24="MD",IF(COUNTIF(G:G,B24)&gt;1,Relay!$E$2,Relay!$E$1),IF(AND(COUNTIF(G:G,B24)&gt;1,COUNTA(A24)&gt;0),Relay!$E$5,Relay!$E$4)))</f>
        <v>#N/A</v>
      </c>
      <c r="I24" s="8">
        <f t="shared" si="1"/>
        <v>0</v>
      </c>
      <c r="J24" s="35"/>
      <c r="K24" s="35"/>
      <c r="L24" s="35"/>
      <c r="M24" s="35"/>
      <c r="N24" s="10" t="e">
        <f>IF(H24=Dec!$E$2,"N",IF(AND(COUNTIF(B:B,B24)=1,D24&gt;14),"Y","N"))</f>
        <v>#N/A</v>
      </c>
      <c r="O24" s="55" t="str">
        <f>IF(COUNT(Dec[[#This Row],[Date]])&gt;0,IF(Dec[[#This Row],[Date]]&gt;14,"Yes","No"),"N/A")</f>
        <v>N/A</v>
      </c>
      <c r="P24" s="55"/>
      <c r="Q24" s="5">
        <f>Relay!A23</f>
        <v>0</v>
      </c>
      <c r="R24" s="5">
        <f>Relay!B23</f>
        <v>22</v>
      </c>
      <c r="S24" s="8">
        <f>IF(Dec[After the 14th?]="No",SUMIF(Dec[SysID],R24,Dec[Pay Amount]),0)+IF(Nov[After the 14th?]="Yes",SUMIF(Nov[SysID],R24,Nov[Pay Amount]),0)</f>
        <v>0</v>
      </c>
      <c r="T24" s="8"/>
      <c r="U24" s="5" t="str">
        <f t="shared" si="2"/>
        <v>N</v>
      </c>
      <c r="X24" s="56"/>
      <c r="Y24" s="56"/>
      <c r="Z24" s="56"/>
      <c r="AA24" s="56"/>
      <c r="AC24" s="56"/>
    </row>
    <row r="25" spans="1:29" x14ac:dyDescent="0.25">
      <c r="A25" s="35"/>
      <c r="B25" s="5" t="e">
        <f>VLOOKUP(A25,Relay!$A$1:$B$50,2,FALSE)</f>
        <v>#N/A</v>
      </c>
      <c r="C25" s="5" t="e">
        <f>VLOOKUP(A25,Relay!$A$2:$C$51,3,FALSE)</f>
        <v>#N/A</v>
      </c>
      <c r="D25" s="39"/>
      <c r="E25" s="35"/>
      <c r="F25" s="35" t="str">
        <f t="shared" si="0"/>
        <v>INS</v>
      </c>
      <c r="G25" s="5" t="e">
        <f>IF(OR(E25="Jeopardy",E25="APP Moonlighting",E25="Differential Pay"),"",Dec[[#This Row],[SysID]])</f>
        <v>#N/A</v>
      </c>
      <c r="H25" s="5" t="e">
        <f>IF(E25="Jeopardy",IF(C25="MD",Relay!$E$7,Relay!$E$8),IF(C25="MD",IF(COUNTIF(G:G,B25)&gt;1,Relay!$E$2,Relay!$E$1),IF(AND(COUNTIF(G:G,B25)&gt;1,COUNTA(A25)&gt;0),Relay!$E$5,Relay!$E$4)))</f>
        <v>#N/A</v>
      </c>
      <c r="I25" s="8">
        <f t="shared" si="1"/>
        <v>0</v>
      </c>
      <c r="J25" s="35"/>
      <c r="K25" s="35"/>
      <c r="L25" s="35"/>
      <c r="M25" s="35"/>
      <c r="N25" s="10" t="e">
        <f>IF(H25=Dec!$E$2,"N",IF(AND(COUNTIF(B:B,B25)=1,D25&gt;14),"Y","N"))</f>
        <v>#N/A</v>
      </c>
      <c r="O25" s="55" t="str">
        <f>IF(COUNT(Dec[[#This Row],[Date]])&gt;0,IF(Dec[[#This Row],[Date]]&gt;14,"Yes","No"),"N/A")</f>
        <v>N/A</v>
      </c>
      <c r="P25" s="55"/>
      <c r="Q25" s="5">
        <f>Relay!A24</f>
        <v>0</v>
      </c>
      <c r="R25" s="5">
        <f>Relay!B24</f>
        <v>23</v>
      </c>
      <c r="S25" s="8">
        <f>IF(Dec[After the 14th?]="No",SUMIF(Dec[SysID],R25,Dec[Pay Amount]),0)+IF(Nov[After the 14th?]="Yes",SUMIF(Nov[SysID],R25,Nov[Pay Amount]),0)</f>
        <v>0</v>
      </c>
      <c r="T25" s="8"/>
      <c r="U25" s="5" t="str">
        <f t="shared" si="2"/>
        <v>N</v>
      </c>
      <c r="X25" s="56"/>
      <c r="Y25" s="56"/>
      <c r="Z25" s="56"/>
      <c r="AA25" s="56"/>
      <c r="AC25" s="56"/>
    </row>
    <row r="26" spans="1:29" x14ac:dyDescent="0.25">
      <c r="A26" s="35"/>
      <c r="B26" s="5" t="e">
        <f>VLOOKUP(A26,Relay!$A$1:$B$50,2,FALSE)</f>
        <v>#N/A</v>
      </c>
      <c r="C26" s="5" t="e">
        <f>VLOOKUP(A26,Relay!$A$2:$C$51,3,FALSE)</f>
        <v>#N/A</v>
      </c>
      <c r="D26" s="39"/>
      <c r="E26" s="35"/>
      <c r="F26" s="35" t="str">
        <f t="shared" si="0"/>
        <v>INS</v>
      </c>
      <c r="G26" s="5" t="e">
        <f>IF(OR(E26="Jeopardy",E26="APP Moonlighting",E26="Differential Pay"),"",Dec[[#This Row],[SysID]])</f>
        <v>#N/A</v>
      </c>
      <c r="H26" s="5" t="e">
        <f>IF(E26="Jeopardy",IF(C26="MD",Relay!$E$7,Relay!$E$8),IF(C26="MD",IF(COUNTIF(G:G,B26)&gt;1,Relay!$E$2,Relay!$E$1),IF(AND(COUNTIF(G:G,B26)&gt;1,COUNTA(A26)&gt;0),Relay!$E$5,Relay!$E$4)))</f>
        <v>#N/A</v>
      </c>
      <c r="I26" s="8">
        <f t="shared" si="1"/>
        <v>0</v>
      </c>
      <c r="J26" s="35"/>
      <c r="K26" s="35"/>
      <c r="L26" s="35"/>
      <c r="M26" s="35"/>
      <c r="N26" s="10" t="e">
        <f>IF(H26=Dec!$E$2,"N",IF(AND(COUNTIF(B:B,B26)=1,D26&gt;14),"Y","N"))</f>
        <v>#N/A</v>
      </c>
      <c r="O26" s="55" t="str">
        <f>IF(COUNT(Dec[[#This Row],[Date]])&gt;0,IF(Dec[[#This Row],[Date]]&gt;14,"Yes","No"),"N/A")</f>
        <v>N/A</v>
      </c>
      <c r="P26" s="55"/>
      <c r="Q26" s="5">
        <f>Relay!A25</f>
        <v>0</v>
      </c>
      <c r="R26" s="5">
        <f>Relay!B25</f>
        <v>24</v>
      </c>
      <c r="S26" s="8">
        <f>IF(Dec[After the 14th?]="No",SUMIF(Dec[SysID],R26,Dec[Pay Amount]),0)+IF(Nov[After the 14th?]="Yes",SUMIF(Nov[SysID],R26,Nov[Pay Amount]),0)</f>
        <v>0</v>
      </c>
      <c r="T26" s="8"/>
      <c r="U26" s="5" t="str">
        <f t="shared" si="2"/>
        <v>N</v>
      </c>
      <c r="X26" s="56"/>
      <c r="Y26" s="56"/>
      <c r="Z26" s="56"/>
      <c r="AA26" s="56"/>
      <c r="AC26" s="56"/>
    </row>
    <row r="27" spans="1:29" x14ac:dyDescent="0.25">
      <c r="A27" s="35"/>
      <c r="B27" s="5" t="e">
        <f>VLOOKUP(A27,Relay!$A$1:$B$50,2,FALSE)</f>
        <v>#N/A</v>
      </c>
      <c r="C27" s="5" t="e">
        <f>VLOOKUP(A27,Relay!$A$2:$C$51,3,FALSE)</f>
        <v>#N/A</v>
      </c>
      <c r="D27" s="39"/>
      <c r="E27" s="35"/>
      <c r="F27" s="35" t="str">
        <f t="shared" si="0"/>
        <v>INS</v>
      </c>
      <c r="G27" s="5" t="e">
        <f>IF(OR(E27="Jeopardy",E27="APP Moonlighting",E27="Differential Pay"),"",Dec[[#This Row],[SysID]])</f>
        <v>#N/A</v>
      </c>
      <c r="H27" s="5" t="e">
        <f>IF(E27="Jeopardy",IF(C27="MD",Relay!$E$7,Relay!$E$8),IF(C27="MD",IF(COUNTIF(G:G,B27)&gt;1,Relay!$E$2,Relay!$E$1),IF(AND(COUNTIF(G:G,B27)&gt;1,COUNTA(A27)&gt;0),Relay!$E$5,Relay!$E$4)))</f>
        <v>#N/A</v>
      </c>
      <c r="I27" s="8">
        <f t="shared" si="1"/>
        <v>0</v>
      </c>
      <c r="J27" s="35"/>
      <c r="K27" s="35"/>
      <c r="L27" s="35"/>
      <c r="M27" s="35"/>
      <c r="N27" s="10" t="e">
        <f>IF(H27=Dec!$E$2,"N",IF(AND(COUNTIF(B:B,B27)=1,D27&gt;14),"Y","N"))</f>
        <v>#N/A</v>
      </c>
      <c r="O27" s="55" t="str">
        <f>IF(COUNT(Dec[[#This Row],[Date]])&gt;0,IF(Dec[[#This Row],[Date]]&gt;14,"Yes","No"),"N/A")</f>
        <v>N/A</v>
      </c>
      <c r="P27" s="55"/>
      <c r="Q27" s="5">
        <f>Relay!A26</f>
        <v>0</v>
      </c>
      <c r="R27" s="5">
        <f>Relay!B26</f>
        <v>25</v>
      </c>
      <c r="S27" s="8">
        <f>IF(Dec[After the 14th?]="No",SUMIF(Dec[SysID],R27,Dec[Pay Amount]),0)+IF(Nov[After the 14th?]="Yes",SUMIF(Nov[SysID],R27,Nov[Pay Amount]),0)</f>
        <v>0</v>
      </c>
      <c r="T27" s="8"/>
      <c r="U27" s="5" t="str">
        <f t="shared" si="2"/>
        <v>N</v>
      </c>
      <c r="X27" s="56"/>
      <c r="Y27" s="56"/>
      <c r="Z27" s="56"/>
      <c r="AA27" s="56"/>
      <c r="AC27" s="56"/>
    </row>
    <row r="28" spans="1:29" x14ac:dyDescent="0.25">
      <c r="A28" s="35"/>
      <c r="B28" s="5" t="e">
        <f>VLOOKUP(A28,Relay!$A$1:$B$50,2,FALSE)</f>
        <v>#N/A</v>
      </c>
      <c r="C28" s="5" t="e">
        <f>VLOOKUP(A28,Relay!$A$2:$C$51,3,FALSE)</f>
        <v>#N/A</v>
      </c>
      <c r="D28" s="39"/>
      <c r="E28" s="35"/>
      <c r="F28" s="35" t="str">
        <f t="shared" si="0"/>
        <v>INS</v>
      </c>
      <c r="G28" s="5" t="e">
        <f>IF(OR(E28="Jeopardy",E28="APP Moonlighting",E28="Differential Pay"),"",Dec[[#This Row],[SysID]])</f>
        <v>#N/A</v>
      </c>
      <c r="H28" s="5" t="e">
        <f>IF(E28="Jeopardy",IF(C28="MD",Relay!$E$7,Relay!$E$8),IF(C28="MD",IF(COUNTIF(G:G,B28)&gt;1,Relay!$E$2,Relay!$E$1),IF(AND(COUNTIF(G:G,B28)&gt;1,COUNTA(A28)&gt;0),Relay!$E$5,Relay!$E$4)))</f>
        <v>#N/A</v>
      </c>
      <c r="I28" s="8">
        <f t="shared" si="1"/>
        <v>0</v>
      </c>
      <c r="J28" s="35"/>
      <c r="K28" s="35"/>
      <c r="L28" s="35"/>
      <c r="M28" s="35"/>
      <c r="N28" s="10" t="e">
        <f>IF(H28=Dec!$E$2,"N",IF(AND(COUNTIF(B:B,B28)=1,D28&gt;14),"Y","N"))</f>
        <v>#N/A</v>
      </c>
      <c r="O28" s="55" t="str">
        <f>IF(COUNT(Dec[[#This Row],[Date]])&gt;0,IF(Dec[[#This Row],[Date]]&gt;14,"Yes","No"),"N/A")</f>
        <v>N/A</v>
      </c>
      <c r="P28" s="55"/>
      <c r="Q28" s="5">
        <f>Relay!A27</f>
        <v>0</v>
      </c>
      <c r="R28" s="5">
        <f>Relay!B27</f>
        <v>26</v>
      </c>
      <c r="S28" s="8">
        <f>IF(Dec[After the 14th?]="No",SUMIF(Dec[SysID],R28,Dec[Pay Amount]),0)+IF(Nov[After the 14th?]="Yes",SUMIF(Nov[SysID],R28,Nov[Pay Amount]),0)</f>
        <v>0</v>
      </c>
      <c r="T28" s="8"/>
      <c r="U28" s="5" t="str">
        <f t="shared" si="2"/>
        <v>N</v>
      </c>
      <c r="X28" s="56"/>
      <c r="Y28" s="56"/>
      <c r="Z28" s="56"/>
      <c r="AA28" s="56"/>
      <c r="AC28" s="56"/>
    </row>
    <row r="29" spans="1:29" x14ac:dyDescent="0.25">
      <c r="A29" s="35"/>
      <c r="B29" s="5" t="e">
        <f>VLOOKUP(A29,Relay!$A$1:$B$50,2,FALSE)</f>
        <v>#N/A</v>
      </c>
      <c r="C29" s="5" t="e">
        <f>VLOOKUP(A29,Relay!$A$2:$C$51,3,FALSE)</f>
        <v>#N/A</v>
      </c>
      <c r="D29" s="39"/>
      <c r="E29" s="35"/>
      <c r="F29" s="35" t="str">
        <f t="shared" si="0"/>
        <v>INS</v>
      </c>
      <c r="G29" s="5" t="e">
        <f>IF(OR(E29="Jeopardy",E29="APP Moonlighting",E29="Differential Pay"),"",Dec[[#This Row],[SysID]])</f>
        <v>#N/A</v>
      </c>
      <c r="H29" s="5" t="e">
        <f>IF(E29="Jeopardy",IF(C29="MD",Relay!$E$7,Relay!$E$8),IF(C29="MD",IF(COUNTIF(G:G,B29)&gt;1,Relay!$E$2,Relay!$E$1),IF(AND(COUNTIF(G:G,B29)&gt;1,COUNTA(A29)&gt;0),Relay!$E$5,Relay!$E$4)))</f>
        <v>#N/A</v>
      </c>
      <c r="I29" s="8">
        <f t="shared" si="1"/>
        <v>0</v>
      </c>
      <c r="J29" s="35"/>
      <c r="K29" s="35"/>
      <c r="L29" s="35"/>
      <c r="M29" s="35"/>
      <c r="N29" s="10" t="e">
        <f>IF(H29=Dec!$E$2,"N",IF(AND(COUNTIF(B:B,B29)=1,D29&gt;14),"Y","N"))</f>
        <v>#N/A</v>
      </c>
      <c r="O29" s="55" t="str">
        <f>IF(COUNT(Dec[[#This Row],[Date]])&gt;0,IF(Dec[[#This Row],[Date]]&gt;14,"Yes","No"),"N/A")</f>
        <v>N/A</v>
      </c>
      <c r="P29" s="55"/>
      <c r="Q29" s="5">
        <f>Relay!A28</f>
        <v>0</v>
      </c>
      <c r="R29" s="5">
        <f>Relay!B28</f>
        <v>27</v>
      </c>
      <c r="S29" s="8">
        <f>IF(Dec[After the 14th?]="No",SUMIF(Dec[SysID],R29,Dec[Pay Amount]),0)+IF(Nov[After the 14th?]="Yes",SUMIF(Nov[SysID],R29,Nov[Pay Amount]),0)</f>
        <v>0</v>
      </c>
      <c r="T29" s="8"/>
      <c r="U29" s="5" t="str">
        <f t="shared" si="2"/>
        <v>N</v>
      </c>
      <c r="X29" s="56"/>
      <c r="Y29" s="56"/>
      <c r="Z29" s="56"/>
      <c r="AA29" s="56"/>
      <c r="AC29" s="56"/>
    </row>
    <row r="30" spans="1:29" x14ac:dyDescent="0.25">
      <c r="A30" s="35"/>
      <c r="B30" s="5" t="e">
        <f>VLOOKUP(A30,Relay!$A$1:$B$50,2,FALSE)</f>
        <v>#N/A</v>
      </c>
      <c r="C30" s="5" t="e">
        <f>VLOOKUP(A30,Relay!$A$2:$C$51,3,FALSE)</f>
        <v>#N/A</v>
      </c>
      <c r="D30" s="39"/>
      <c r="E30" s="35"/>
      <c r="F30" s="35" t="str">
        <f t="shared" si="0"/>
        <v>INS</v>
      </c>
      <c r="G30" s="5" t="e">
        <f>IF(OR(E30="Jeopardy",E30="APP Moonlighting",E30="Differential Pay"),"",Dec[[#This Row],[SysID]])</f>
        <v>#N/A</v>
      </c>
      <c r="H30" s="5" t="e">
        <f>IF(E30="Jeopardy",IF(C30="MD",Relay!$E$7,Relay!$E$8),IF(C30="MD",IF(COUNTIF(G:G,B30)&gt;1,Relay!$E$2,Relay!$E$1),IF(AND(COUNTIF(G:G,B30)&gt;1,COUNTA(A30)&gt;0),Relay!$E$5,Relay!$E$4)))</f>
        <v>#N/A</v>
      </c>
      <c r="I30" s="8">
        <f t="shared" si="1"/>
        <v>0</v>
      </c>
      <c r="J30" s="35"/>
      <c r="K30" s="35"/>
      <c r="L30" s="35"/>
      <c r="M30" s="35"/>
      <c r="N30" s="10" t="e">
        <f>IF(H30=Dec!$E$2,"N",IF(AND(COUNTIF(B:B,B30)=1,D30&gt;14),"Y","N"))</f>
        <v>#N/A</v>
      </c>
      <c r="O30" s="55" t="str">
        <f>IF(COUNT(Dec[[#This Row],[Date]])&gt;0,IF(Dec[[#This Row],[Date]]&gt;14,"Yes","No"),"N/A")</f>
        <v>N/A</v>
      </c>
      <c r="P30" s="55"/>
      <c r="Q30" s="5">
        <f>Relay!A29</f>
        <v>0</v>
      </c>
      <c r="R30" s="5">
        <f>Relay!B29</f>
        <v>28</v>
      </c>
      <c r="S30" s="8">
        <f>IF(Dec[After the 14th?]="No",SUMIF(Dec[SysID],R30,Dec[Pay Amount]),0)+IF(Nov[After the 14th?]="Yes",SUMIF(Nov[SysID],R30,Nov[Pay Amount]),0)</f>
        <v>0</v>
      </c>
      <c r="T30" s="8"/>
      <c r="U30" s="5" t="str">
        <f t="shared" si="2"/>
        <v>N</v>
      </c>
      <c r="X30" s="56"/>
      <c r="Y30" s="56"/>
      <c r="Z30" s="56"/>
      <c r="AA30" s="56"/>
      <c r="AC30" s="56"/>
    </row>
    <row r="31" spans="1:29" x14ac:dyDescent="0.25">
      <c r="A31" s="35"/>
      <c r="B31" s="5" t="e">
        <f>VLOOKUP(A31,Relay!$A$1:$B$50,2,FALSE)</f>
        <v>#N/A</v>
      </c>
      <c r="C31" s="5" t="e">
        <f>VLOOKUP(A31,Relay!$A$2:$C$51,3,FALSE)</f>
        <v>#N/A</v>
      </c>
      <c r="D31" s="39"/>
      <c r="E31" s="35"/>
      <c r="F31" s="35" t="str">
        <f t="shared" si="0"/>
        <v>INS</v>
      </c>
      <c r="G31" s="5" t="e">
        <f>IF(OR(E31="Jeopardy",E31="APP Moonlighting",E31="Differential Pay"),"",Dec[[#This Row],[SysID]])</f>
        <v>#N/A</v>
      </c>
      <c r="H31" s="5" t="e">
        <f>IF(E31="Jeopardy",IF(C31="MD",Relay!$E$7,Relay!$E$8),IF(C31="MD",IF(COUNTIF(G:G,B31)&gt;1,Relay!$E$2,Relay!$E$1),IF(AND(COUNTIF(G:G,B31)&gt;1,COUNTA(A31)&gt;0),Relay!$E$5,Relay!$E$4)))</f>
        <v>#N/A</v>
      </c>
      <c r="I31" s="8">
        <f t="shared" si="1"/>
        <v>0</v>
      </c>
      <c r="J31" s="35"/>
      <c r="K31" s="35"/>
      <c r="L31" s="35"/>
      <c r="M31" s="35"/>
      <c r="N31" s="10" t="e">
        <f>IF(H31=Dec!$E$2,"N",IF(AND(COUNTIF(B:B,B31)=1,D31&gt;14),"Y","N"))</f>
        <v>#N/A</v>
      </c>
      <c r="O31" s="55" t="str">
        <f>IF(COUNT(Dec[[#This Row],[Date]])&gt;0,IF(Dec[[#This Row],[Date]]&gt;14,"Yes","No"),"N/A")</f>
        <v>N/A</v>
      </c>
      <c r="P31" s="55"/>
      <c r="Q31" s="5">
        <f>Relay!A30</f>
        <v>0</v>
      </c>
      <c r="R31" s="5">
        <f>Relay!B30</f>
        <v>29</v>
      </c>
      <c r="S31" s="8">
        <f>IF(Dec[After the 14th?]="No",SUMIF(Dec[SysID],R31,Dec[Pay Amount]),0)+IF(Nov[After the 14th?]="Yes",SUMIF(Nov[SysID],R31,Nov[Pay Amount]),0)</f>
        <v>0</v>
      </c>
      <c r="T31" s="8"/>
      <c r="U31" s="5" t="str">
        <f t="shared" si="2"/>
        <v>N</v>
      </c>
      <c r="X31" s="56"/>
      <c r="Y31" s="56"/>
      <c r="Z31" s="56"/>
      <c r="AA31" s="56"/>
      <c r="AC31" s="56"/>
    </row>
    <row r="32" spans="1:29" x14ac:dyDescent="0.25">
      <c r="A32" s="35"/>
      <c r="B32" s="5" t="e">
        <f>VLOOKUP(A32,Relay!$A$1:$B$50,2,FALSE)</f>
        <v>#N/A</v>
      </c>
      <c r="C32" s="5" t="e">
        <f>VLOOKUP(A32,Relay!$A$2:$C$51,3,FALSE)</f>
        <v>#N/A</v>
      </c>
      <c r="D32" s="39"/>
      <c r="E32" s="35"/>
      <c r="F32" s="35" t="str">
        <f t="shared" si="0"/>
        <v>INS</v>
      </c>
      <c r="G32" s="5" t="e">
        <f>IF(OR(E32="Jeopardy",E32="APP Moonlighting",E32="Differential Pay"),"",Dec[[#This Row],[SysID]])</f>
        <v>#N/A</v>
      </c>
      <c r="H32" s="5" t="e">
        <f>IF(E32="Jeopardy",IF(C32="MD",Relay!$E$7,Relay!$E$8),IF(C32="MD",IF(COUNTIF(G:G,B32)&gt;1,Relay!$E$2,Relay!$E$1),IF(AND(COUNTIF(G:G,B32)&gt;1,COUNTA(A32)&gt;0),Relay!$E$5,Relay!$E$4)))</f>
        <v>#N/A</v>
      </c>
      <c r="I32" s="8">
        <f t="shared" si="1"/>
        <v>0</v>
      </c>
      <c r="J32" s="35"/>
      <c r="K32" s="35"/>
      <c r="L32" s="35"/>
      <c r="M32" s="35"/>
      <c r="N32" s="10" t="e">
        <f>IF(H32=Dec!$E$2,"N",IF(AND(COUNTIF(B:B,B32)=1,D32&gt;14),"Y","N"))</f>
        <v>#N/A</v>
      </c>
      <c r="O32" s="55" t="str">
        <f>IF(COUNT(Dec[[#This Row],[Date]])&gt;0,IF(Dec[[#This Row],[Date]]&gt;14,"Yes","No"),"N/A")</f>
        <v>N/A</v>
      </c>
      <c r="P32" s="55"/>
      <c r="Q32" s="5">
        <f>Relay!A31</f>
        <v>0</v>
      </c>
      <c r="R32" s="5">
        <f>Relay!B31</f>
        <v>30</v>
      </c>
      <c r="S32" s="8">
        <f>IF(Dec[After the 14th?]="No",SUMIF(Dec[SysID],R32,Dec[Pay Amount]),0)+IF(Nov[After the 14th?]="Yes",SUMIF(Nov[SysID],R32,Nov[Pay Amount]),0)</f>
        <v>0</v>
      </c>
      <c r="T32" s="8"/>
      <c r="U32" s="5" t="str">
        <f t="shared" si="2"/>
        <v>N</v>
      </c>
      <c r="X32" s="56"/>
      <c r="Y32" s="56"/>
      <c r="Z32" s="56"/>
      <c r="AA32" s="56"/>
      <c r="AC32" s="56"/>
    </row>
    <row r="33" spans="1:29" x14ac:dyDescent="0.25">
      <c r="A33" s="35"/>
      <c r="B33" s="5" t="e">
        <f>VLOOKUP(A33,Relay!$A$1:$B$50,2,FALSE)</f>
        <v>#N/A</v>
      </c>
      <c r="C33" s="5" t="e">
        <f>VLOOKUP(A33,Relay!$A$2:$C$51,3,FALSE)</f>
        <v>#N/A</v>
      </c>
      <c r="D33" s="39"/>
      <c r="E33" s="35"/>
      <c r="F33" s="35" t="str">
        <f t="shared" si="0"/>
        <v>INS</v>
      </c>
      <c r="G33" s="5" t="e">
        <f>IF(OR(E33="Jeopardy",E33="APP Moonlighting",E33="Differential Pay"),"",Dec[[#This Row],[SysID]])</f>
        <v>#N/A</v>
      </c>
      <c r="H33" s="5" t="e">
        <f>IF(E33="Jeopardy",IF(C33="MD",Relay!$E$7,Relay!$E$8),IF(C33="MD",IF(COUNTIF(G:G,B33)&gt;1,Relay!$E$2,Relay!$E$1),IF(AND(COUNTIF(G:G,B33)&gt;1,COUNTA(A33)&gt;0),Relay!$E$5,Relay!$E$4)))</f>
        <v>#N/A</v>
      </c>
      <c r="I33" s="8">
        <f t="shared" si="1"/>
        <v>0</v>
      </c>
      <c r="J33" s="35"/>
      <c r="K33" s="35"/>
      <c r="L33" s="35"/>
      <c r="M33" s="35"/>
      <c r="N33" s="10" t="e">
        <f>IF(H33=Dec!$E$2,"N",IF(AND(COUNTIF(B:B,B33)=1,D33&gt;14),"Y","N"))</f>
        <v>#N/A</v>
      </c>
      <c r="O33" s="55" t="str">
        <f>IF(COUNT(Dec[[#This Row],[Date]])&gt;0,IF(Dec[[#This Row],[Date]]&gt;14,"Yes","No"),"N/A")</f>
        <v>N/A</v>
      </c>
      <c r="P33" s="55"/>
      <c r="Q33" s="5">
        <f>Relay!A32</f>
        <v>0</v>
      </c>
      <c r="R33" s="5">
        <f>Relay!B32</f>
        <v>31</v>
      </c>
      <c r="S33" s="8">
        <f>IF(Dec[After the 14th?]="No",SUMIF(Dec[SysID],R33,Dec[Pay Amount]),0)+IF(Nov[After the 14th?]="Yes",SUMIF(Nov[SysID],R33,Nov[Pay Amount]),0)</f>
        <v>0</v>
      </c>
      <c r="T33" s="8"/>
      <c r="U33" s="5" t="str">
        <f t="shared" si="2"/>
        <v>N</v>
      </c>
      <c r="X33" s="56"/>
      <c r="Y33" s="56"/>
      <c r="Z33" s="56"/>
      <c r="AA33" s="56"/>
      <c r="AC33" s="56"/>
    </row>
    <row r="34" spans="1:29" x14ac:dyDescent="0.25">
      <c r="A34" s="35"/>
      <c r="B34" s="5" t="e">
        <f>VLOOKUP(A34,Relay!$A$1:$B$50,2,FALSE)</f>
        <v>#N/A</v>
      </c>
      <c r="C34" s="5" t="e">
        <f>VLOOKUP(A34,Relay!$A$2:$C$51,3,FALSE)</f>
        <v>#N/A</v>
      </c>
      <c r="D34" s="39"/>
      <c r="E34" s="35"/>
      <c r="F34" s="35" t="str">
        <f t="shared" si="0"/>
        <v>INS</v>
      </c>
      <c r="G34" s="5" t="e">
        <f>IF(OR(E34="Jeopardy",E34="APP Moonlighting",E34="Differential Pay"),"",Dec[[#This Row],[SysID]])</f>
        <v>#N/A</v>
      </c>
      <c r="H34" s="5" t="e">
        <f>IF(E34="Jeopardy",IF(C34="MD",Relay!$E$7,Relay!$E$8),IF(C34="MD",IF(COUNTIF(G:G,B34)&gt;1,Relay!$E$2,Relay!$E$1),IF(AND(COUNTIF(G:G,B34)&gt;1,COUNTA(A34)&gt;0),Relay!$E$5,Relay!$E$4)))</f>
        <v>#N/A</v>
      </c>
      <c r="I34" s="8">
        <f t="shared" si="1"/>
        <v>0</v>
      </c>
      <c r="J34" s="35"/>
      <c r="K34" s="35"/>
      <c r="L34" s="35"/>
      <c r="M34" s="35"/>
      <c r="N34" s="10" t="e">
        <f>IF(H34=Dec!$E$2,"N",IF(AND(COUNTIF(B:B,B34)=1,D34&gt;14),"Y","N"))</f>
        <v>#N/A</v>
      </c>
      <c r="O34" s="55" t="str">
        <f>IF(COUNT(Dec[[#This Row],[Date]])&gt;0,IF(Dec[[#This Row],[Date]]&gt;14,"Yes","No"),"N/A")</f>
        <v>N/A</v>
      </c>
      <c r="P34" s="55"/>
      <c r="Q34" s="5">
        <f>Relay!A33</f>
        <v>0</v>
      </c>
      <c r="R34" s="5">
        <f>Relay!B33</f>
        <v>32</v>
      </c>
      <c r="S34" s="8">
        <f>IF(Dec[After the 14th?]="No",SUMIF(Dec[SysID],R34,Dec[Pay Amount]),0)+IF(Nov[After the 14th?]="Yes",SUMIF(Nov[SysID],R34,Nov[Pay Amount]),0)</f>
        <v>0</v>
      </c>
      <c r="T34" s="8"/>
      <c r="U34" s="5" t="str">
        <f t="shared" si="2"/>
        <v>N</v>
      </c>
      <c r="X34" s="56"/>
      <c r="Y34" s="56"/>
      <c r="Z34" s="56"/>
      <c r="AA34" s="56"/>
      <c r="AC34" s="56"/>
    </row>
    <row r="35" spans="1:29" x14ac:dyDescent="0.25">
      <c r="A35" s="35"/>
      <c r="B35" s="5" t="e">
        <f>VLOOKUP(A35,Relay!$A$1:$B$50,2,FALSE)</f>
        <v>#N/A</v>
      </c>
      <c r="C35" s="5" t="e">
        <f>VLOOKUP(A35,Relay!$A$2:$C$51,3,FALSE)</f>
        <v>#N/A</v>
      </c>
      <c r="D35" s="39"/>
      <c r="E35" s="35"/>
      <c r="F35" s="35" t="str">
        <f t="shared" si="0"/>
        <v>INS</v>
      </c>
      <c r="G35" s="5" t="e">
        <f>IF(OR(E35="Jeopardy",E35="APP Moonlighting",E35="Differential Pay"),"",Dec[[#This Row],[SysID]])</f>
        <v>#N/A</v>
      </c>
      <c r="H35" s="5" t="e">
        <f>IF(E35="Jeopardy",IF(C35="MD",Relay!$E$7,Relay!$E$8),IF(C35="MD",IF(COUNTIF(G:G,B35)&gt;1,Relay!$E$2,Relay!$E$1),IF(AND(COUNTIF(G:G,B35)&gt;1,COUNTA(A35)&gt;0),Relay!$E$5,Relay!$E$4)))</f>
        <v>#N/A</v>
      </c>
      <c r="I35" s="8">
        <f t="shared" si="1"/>
        <v>0</v>
      </c>
      <c r="J35" s="35"/>
      <c r="K35" s="35"/>
      <c r="L35" s="35"/>
      <c r="M35" s="35"/>
      <c r="N35" s="10" t="e">
        <f>IF(H35=Dec!$E$2,"N",IF(AND(COUNTIF(B:B,B35)=1,D35&gt;14),"Y","N"))</f>
        <v>#N/A</v>
      </c>
      <c r="O35" s="55" t="str">
        <f>IF(COUNT(Dec[[#This Row],[Date]])&gt;0,IF(Dec[[#This Row],[Date]]&gt;14,"Yes","No"),"N/A")</f>
        <v>N/A</v>
      </c>
      <c r="P35" s="55"/>
      <c r="Q35" s="5">
        <f>Relay!A34</f>
        <v>0</v>
      </c>
      <c r="R35" s="5">
        <f>Relay!B34</f>
        <v>33</v>
      </c>
      <c r="S35" s="8">
        <f>IF(Dec[After the 14th?]="No",SUMIF(Dec[SysID],R35,Dec[Pay Amount]),0)+IF(Nov[After the 14th?]="Yes",SUMIF(Nov[SysID],R35,Nov[Pay Amount]),0)</f>
        <v>0</v>
      </c>
      <c r="T35" s="8"/>
      <c r="U35" s="5" t="str">
        <f t="shared" si="2"/>
        <v>N</v>
      </c>
      <c r="X35" s="56"/>
      <c r="Y35" s="56"/>
      <c r="Z35" s="56"/>
      <c r="AA35" s="56"/>
      <c r="AC35" s="56"/>
    </row>
    <row r="36" spans="1:29" x14ac:dyDescent="0.25">
      <c r="A36" s="35"/>
      <c r="B36" s="5" t="e">
        <f>VLOOKUP(A36,Relay!$A$1:$B$50,2,FALSE)</f>
        <v>#N/A</v>
      </c>
      <c r="C36" s="5" t="e">
        <f>VLOOKUP(A36,Relay!$A$2:$C$51,3,FALSE)</f>
        <v>#N/A</v>
      </c>
      <c r="D36" s="39"/>
      <c r="E36" s="35"/>
      <c r="F36" s="35" t="str">
        <f t="shared" si="0"/>
        <v>INS</v>
      </c>
      <c r="G36" s="5" t="e">
        <f>IF(OR(E36="Jeopardy",E36="APP Moonlighting",E36="Differential Pay"),"",Dec[[#This Row],[SysID]])</f>
        <v>#N/A</v>
      </c>
      <c r="H36" s="5" t="e">
        <f>IF(E36="Jeopardy",IF(C36="MD",Relay!$E$7,Relay!$E$8),IF(C36="MD",IF(COUNTIF(G:G,B36)&gt;1,Relay!$E$2,Relay!$E$1),IF(AND(COUNTIF(G:G,B36)&gt;1,COUNTA(A36)&gt;0),Relay!$E$5,Relay!$E$4)))</f>
        <v>#N/A</v>
      </c>
      <c r="I36" s="8">
        <f t="shared" si="1"/>
        <v>0</v>
      </c>
      <c r="J36" s="35"/>
      <c r="K36" s="35"/>
      <c r="L36" s="35"/>
      <c r="M36" s="35"/>
      <c r="N36" s="10" t="e">
        <f>IF(H36=Dec!$E$2,"N",IF(AND(COUNTIF(B:B,B36)=1,D36&gt;14),"Y","N"))</f>
        <v>#N/A</v>
      </c>
      <c r="O36" s="55" t="str">
        <f>IF(COUNT(Dec[[#This Row],[Date]])&gt;0,IF(Dec[[#This Row],[Date]]&gt;14,"Yes","No"),"N/A")</f>
        <v>N/A</v>
      </c>
      <c r="P36" s="55"/>
      <c r="Q36" s="5">
        <f>Relay!A35</f>
        <v>0</v>
      </c>
      <c r="R36" s="5">
        <f>Relay!B35</f>
        <v>34</v>
      </c>
      <c r="S36" s="8">
        <f>IF(Dec[After the 14th?]="No",SUMIF(Dec[SysID],R36,Dec[Pay Amount]),0)+IF(Nov[After the 14th?]="Yes",SUMIF(Nov[SysID],R36,Nov[Pay Amount]),0)</f>
        <v>0</v>
      </c>
      <c r="T36" s="8"/>
      <c r="U36" s="5" t="str">
        <f t="shared" si="2"/>
        <v>N</v>
      </c>
      <c r="X36" s="56"/>
      <c r="Y36" s="56"/>
      <c r="Z36" s="56"/>
      <c r="AA36" s="56"/>
      <c r="AC36" s="56"/>
    </row>
    <row r="37" spans="1:29" x14ac:dyDescent="0.25">
      <c r="A37" s="35"/>
      <c r="B37" s="5" t="e">
        <f>VLOOKUP(A37,Relay!$A$1:$B$50,2,FALSE)</f>
        <v>#N/A</v>
      </c>
      <c r="C37" s="5" t="e">
        <f>VLOOKUP(A37,Relay!$A$2:$C$51,3,FALSE)</f>
        <v>#N/A</v>
      </c>
      <c r="D37" s="39"/>
      <c r="E37" s="35"/>
      <c r="F37" s="35" t="str">
        <f t="shared" si="0"/>
        <v>INS</v>
      </c>
      <c r="G37" s="5" t="e">
        <f>IF(OR(E37="Jeopardy",E37="APP Moonlighting",E37="Differential Pay"),"",Dec[[#This Row],[SysID]])</f>
        <v>#N/A</v>
      </c>
      <c r="H37" s="5" t="e">
        <f>IF(E37="Jeopardy",IF(C37="MD",Relay!$E$7,Relay!$E$8),IF(C37="MD",IF(COUNTIF(G:G,B37)&gt;1,Relay!$E$2,Relay!$E$1),IF(AND(COUNTIF(G:G,B37)&gt;1,COUNTA(A37)&gt;0),Relay!$E$5,Relay!$E$4)))</f>
        <v>#N/A</v>
      </c>
      <c r="I37" s="8">
        <f t="shared" si="1"/>
        <v>0</v>
      </c>
      <c r="J37" s="35"/>
      <c r="K37" s="35"/>
      <c r="L37" s="35"/>
      <c r="M37" s="35"/>
      <c r="N37" s="10" t="e">
        <f>IF(H37=Dec!$E$2,"N",IF(AND(COUNTIF(B:B,B37)=1,D37&gt;14),"Y","N"))</f>
        <v>#N/A</v>
      </c>
      <c r="O37" s="55" t="str">
        <f>IF(COUNT(Dec[[#This Row],[Date]])&gt;0,IF(Dec[[#This Row],[Date]]&gt;14,"Yes","No"),"N/A")</f>
        <v>N/A</v>
      </c>
      <c r="P37" s="55"/>
      <c r="Q37" s="5">
        <f>Relay!A36</f>
        <v>0</v>
      </c>
      <c r="R37" s="5">
        <f>Relay!B36</f>
        <v>35</v>
      </c>
      <c r="S37" s="8">
        <f>IF(Dec[After the 14th?]="No",SUMIF(Dec[SysID],R37,Dec[Pay Amount]),0)+IF(Nov[After the 14th?]="Yes",SUMIF(Nov[SysID],R37,Nov[Pay Amount]),0)</f>
        <v>0</v>
      </c>
      <c r="T37" s="8"/>
      <c r="U37" s="5" t="str">
        <f t="shared" si="2"/>
        <v>N</v>
      </c>
      <c r="X37" s="56"/>
      <c r="Y37" s="56"/>
      <c r="Z37" s="56"/>
      <c r="AA37" s="56"/>
      <c r="AC37" s="56"/>
    </row>
    <row r="38" spans="1:29" x14ac:dyDescent="0.25">
      <c r="A38" s="35"/>
      <c r="B38" s="5" t="e">
        <f>VLOOKUP(A38,Relay!$A$1:$B$50,2,FALSE)</f>
        <v>#N/A</v>
      </c>
      <c r="C38" s="5" t="e">
        <f>VLOOKUP(A38,Relay!$A$2:$C$51,3,FALSE)</f>
        <v>#N/A</v>
      </c>
      <c r="D38" s="39"/>
      <c r="E38" s="35"/>
      <c r="F38" s="35" t="str">
        <f t="shared" si="0"/>
        <v>INS</v>
      </c>
      <c r="G38" s="5" t="e">
        <f>IF(OR(E38="Jeopardy",E38="APP Moonlighting",E38="Differential Pay"),"",Dec[[#This Row],[SysID]])</f>
        <v>#N/A</v>
      </c>
      <c r="H38" s="5" t="e">
        <f>IF(E38="Jeopardy",IF(C38="MD",Relay!$E$7,Relay!$E$8),IF(C38="MD",IF(COUNTIF(G:G,B38)&gt;1,Relay!$E$2,Relay!$E$1),IF(AND(COUNTIF(G:G,B38)&gt;1,COUNTA(A38)&gt;0),Relay!$E$5,Relay!$E$4)))</f>
        <v>#N/A</v>
      </c>
      <c r="I38" s="8">
        <f t="shared" si="1"/>
        <v>0</v>
      </c>
      <c r="J38" s="35"/>
      <c r="K38" s="35"/>
      <c r="L38" s="35"/>
      <c r="M38" s="35"/>
      <c r="N38" s="10" t="e">
        <f>IF(H38=Dec!$E$2,"N",IF(AND(COUNTIF(B:B,B38)=1,D38&gt;14),"Y","N"))</f>
        <v>#N/A</v>
      </c>
      <c r="O38" s="55" t="str">
        <f>IF(COUNT(Dec[[#This Row],[Date]])&gt;0,IF(Dec[[#This Row],[Date]]&gt;14,"Yes","No"),"N/A")</f>
        <v>N/A</v>
      </c>
      <c r="P38" s="55"/>
      <c r="Q38" s="5">
        <f>Relay!A37</f>
        <v>0</v>
      </c>
      <c r="R38" s="5">
        <f>Relay!B37</f>
        <v>36</v>
      </c>
      <c r="S38" s="8">
        <f>IF(Dec[After the 14th?]="No",SUMIF(Dec[SysID],R38,Dec[Pay Amount]),0)+IF(Nov[After the 14th?]="Yes",SUMIF(Nov[SysID],R38,Nov[Pay Amount]),0)</f>
        <v>0</v>
      </c>
      <c r="T38" s="8"/>
      <c r="U38" s="5" t="str">
        <f t="shared" si="2"/>
        <v>N</v>
      </c>
      <c r="X38" s="56"/>
      <c r="Y38" s="56"/>
      <c r="Z38" s="56"/>
      <c r="AA38" s="56"/>
      <c r="AC38" s="56"/>
    </row>
    <row r="39" spans="1:29" x14ac:dyDescent="0.25">
      <c r="A39" s="35"/>
      <c r="B39" s="5" t="e">
        <f>VLOOKUP(A39,Relay!$A$1:$B$50,2,FALSE)</f>
        <v>#N/A</v>
      </c>
      <c r="C39" s="5" t="e">
        <f>VLOOKUP(A39,Relay!$A$2:$C$51,3,FALSE)</f>
        <v>#N/A</v>
      </c>
      <c r="D39" s="39"/>
      <c r="E39" s="35"/>
      <c r="F39" s="35" t="str">
        <f t="shared" si="0"/>
        <v>INS</v>
      </c>
      <c r="G39" s="5" t="e">
        <f>IF(OR(E39="Jeopardy",E39="APP Moonlighting",E39="Differential Pay"),"",Dec[[#This Row],[SysID]])</f>
        <v>#N/A</v>
      </c>
      <c r="H39" s="5" t="e">
        <f>IF(E39="Jeopardy",IF(C39="MD",Relay!$E$7,Relay!$E$8),IF(C39="MD",IF(COUNTIF(G:G,B39)&gt;1,Relay!$E$2,Relay!$E$1),IF(AND(COUNTIF(G:G,B39)&gt;1,COUNTA(A39)&gt;0),Relay!$E$5,Relay!$E$4)))</f>
        <v>#N/A</v>
      </c>
      <c r="I39" s="8">
        <f t="shared" si="1"/>
        <v>0</v>
      </c>
      <c r="J39" s="35"/>
      <c r="K39" s="35"/>
      <c r="L39" s="35"/>
      <c r="M39" s="35"/>
      <c r="N39" s="10" t="e">
        <f>IF(H39=Dec!$E$2,"N",IF(AND(COUNTIF(B:B,B39)=1,D39&gt;14),"Y","N"))</f>
        <v>#N/A</v>
      </c>
      <c r="O39" s="55" t="str">
        <f>IF(COUNT(Dec[[#This Row],[Date]])&gt;0,IF(Dec[[#This Row],[Date]]&gt;14,"Yes","No"),"N/A")</f>
        <v>N/A</v>
      </c>
      <c r="P39" s="55"/>
      <c r="Q39" s="5">
        <f>Relay!A38</f>
        <v>0</v>
      </c>
      <c r="R39" s="5">
        <f>Relay!B38</f>
        <v>37</v>
      </c>
      <c r="S39" s="8">
        <f>IF(Dec[After the 14th?]="No",SUMIF(Dec[SysID],R39,Dec[Pay Amount]),0)+IF(Nov[After the 14th?]="Yes",SUMIF(Nov[SysID],R39,Nov[Pay Amount]),0)</f>
        <v>0</v>
      </c>
      <c r="T39" s="8"/>
      <c r="U39" s="5" t="str">
        <f t="shared" si="2"/>
        <v>N</v>
      </c>
      <c r="X39" s="56"/>
      <c r="Y39" s="56"/>
      <c r="Z39" s="56"/>
      <c r="AA39" s="56"/>
      <c r="AC39" s="56"/>
    </row>
    <row r="40" spans="1:29" x14ac:dyDescent="0.25">
      <c r="A40" s="35"/>
      <c r="B40" s="5" t="e">
        <f>VLOOKUP(A40,Relay!$A$1:$B$50,2,FALSE)</f>
        <v>#N/A</v>
      </c>
      <c r="C40" s="5" t="e">
        <f>VLOOKUP(A40,Relay!$A$2:$C$51,3,FALSE)</f>
        <v>#N/A</v>
      </c>
      <c r="D40" s="39"/>
      <c r="E40" s="35"/>
      <c r="F40" s="35" t="str">
        <f t="shared" si="0"/>
        <v>INS</v>
      </c>
      <c r="G40" s="5" t="e">
        <f>IF(OR(E40="Jeopardy",E40="APP Moonlighting",E40="Differential Pay"),"",Dec[[#This Row],[SysID]])</f>
        <v>#N/A</v>
      </c>
      <c r="H40" s="5" t="e">
        <f>IF(E40="Jeopardy",IF(C40="MD",Relay!$E$7,Relay!$E$8),IF(C40="MD",IF(COUNTIF(G:G,B40)&gt;1,Relay!$E$2,Relay!$E$1),IF(AND(COUNTIF(G:G,B40)&gt;1,COUNTA(A40)&gt;0),Relay!$E$5,Relay!$E$4)))</f>
        <v>#N/A</v>
      </c>
      <c r="I40" s="8">
        <f t="shared" si="1"/>
        <v>0</v>
      </c>
      <c r="J40" s="35"/>
      <c r="K40" s="35"/>
      <c r="L40" s="35"/>
      <c r="M40" s="35"/>
      <c r="N40" s="10" t="e">
        <f>IF(H40=Dec!$E$2,"N",IF(AND(COUNTIF(B:B,B40)=1,D40&gt;14),"Y","N"))</f>
        <v>#N/A</v>
      </c>
      <c r="O40" s="55" t="str">
        <f>IF(COUNT(Dec[[#This Row],[Date]])&gt;0,IF(Dec[[#This Row],[Date]]&gt;14,"Yes","No"),"N/A")</f>
        <v>N/A</v>
      </c>
      <c r="P40" s="55"/>
      <c r="Q40" s="5">
        <f>Relay!A39</f>
        <v>0</v>
      </c>
      <c r="R40" s="5">
        <f>Relay!B39</f>
        <v>38</v>
      </c>
      <c r="S40" s="8">
        <f>IF(Dec[After the 14th?]="No",SUMIF(Dec[SysID],R40,Dec[Pay Amount]),0)+IF(Nov[After the 14th?]="Yes",SUMIF(Nov[SysID],R40,Nov[Pay Amount]),0)</f>
        <v>0</v>
      </c>
      <c r="T40" s="8"/>
      <c r="U40" s="5" t="str">
        <f t="shared" si="2"/>
        <v>N</v>
      </c>
      <c r="X40" s="56"/>
      <c r="Y40" s="56"/>
      <c r="Z40" s="56"/>
      <c r="AA40" s="56"/>
      <c r="AC40" s="56"/>
    </row>
    <row r="41" spans="1:29" x14ac:dyDescent="0.25">
      <c r="A41" s="35"/>
      <c r="B41" s="5" t="e">
        <f>VLOOKUP(A41,Relay!$A$1:$B$50,2,FALSE)</f>
        <v>#N/A</v>
      </c>
      <c r="C41" s="5" t="e">
        <f>VLOOKUP(A41,Relay!$A$2:$C$51,3,FALSE)</f>
        <v>#N/A</v>
      </c>
      <c r="D41" s="39"/>
      <c r="E41" s="35"/>
      <c r="F41" s="35" t="str">
        <f t="shared" si="0"/>
        <v>INS</v>
      </c>
      <c r="G41" s="5" t="e">
        <f>IF(OR(E41="Jeopardy",E41="APP Moonlighting",E41="Differential Pay"),"",Dec[[#This Row],[SysID]])</f>
        <v>#N/A</v>
      </c>
      <c r="H41" s="5" t="e">
        <f>IF(E41="Jeopardy",IF(C41="MD",Relay!$E$7,Relay!$E$8),IF(C41="MD",IF(COUNTIF(G:G,B41)&gt;1,Relay!$E$2,Relay!$E$1),IF(AND(COUNTIF(G:G,B41)&gt;1,COUNTA(A41)&gt;0),Relay!$E$5,Relay!$E$4)))</f>
        <v>#N/A</v>
      </c>
      <c r="I41" s="8">
        <f t="shared" si="1"/>
        <v>0</v>
      </c>
      <c r="J41" s="35"/>
      <c r="K41" s="35"/>
      <c r="L41" s="35"/>
      <c r="M41" s="35"/>
      <c r="N41" s="10" t="e">
        <f>IF(H41=Dec!$E$2,"N",IF(AND(COUNTIF(B:B,B41)=1,D41&gt;14),"Y","N"))</f>
        <v>#N/A</v>
      </c>
      <c r="O41" s="55" t="str">
        <f>IF(COUNT(Dec[[#This Row],[Date]])&gt;0,IF(Dec[[#This Row],[Date]]&gt;14,"Yes","No"),"N/A")</f>
        <v>N/A</v>
      </c>
      <c r="P41" s="55"/>
      <c r="Q41" s="5">
        <f>Relay!A40</f>
        <v>0</v>
      </c>
      <c r="R41" s="5">
        <f>Relay!B40</f>
        <v>39</v>
      </c>
      <c r="S41" s="8">
        <f>IF(Dec[After the 14th?]="No",SUMIF(Dec[SysID],R41,Dec[Pay Amount]),0)+IF(Nov[After the 14th?]="Yes",SUMIF(Nov[SysID],R41,Nov[Pay Amount]),0)</f>
        <v>0</v>
      </c>
      <c r="T41" s="8"/>
      <c r="U41" s="5" t="str">
        <f t="shared" si="2"/>
        <v>N</v>
      </c>
      <c r="X41" s="56"/>
      <c r="Y41" s="56"/>
      <c r="Z41" s="56"/>
      <c r="AA41" s="56"/>
      <c r="AC41" s="56"/>
    </row>
    <row r="42" spans="1:29" x14ac:dyDescent="0.25">
      <c r="A42" s="35"/>
      <c r="B42" s="5" t="e">
        <f>VLOOKUP(A42,Relay!$A$1:$B$50,2,FALSE)</f>
        <v>#N/A</v>
      </c>
      <c r="C42" s="5" t="e">
        <f>VLOOKUP(A42,Relay!$A$2:$C$51,3,FALSE)</f>
        <v>#N/A</v>
      </c>
      <c r="D42" s="39"/>
      <c r="E42" s="35"/>
      <c r="F42" s="35" t="str">
        <f t="shared" si="0"/>
        <v>INS</v>
      </c>
      <c r="G42" s="5" t="e">
        <f>IF(OR(E42="Jeopardy",E42="APP Moonlighting",E42="Differential Pay"),"",Dec[[#This Row],[SysID]])</f>
        <v>#N/A</v>
      </c>
      <c r="H42" s="5" t="e">
        <f>IF(E42="Jeopardy",IF(C42="MD",Relay!$E$7,Relay!$E$8),IF(C42="MD",IF(COUNTIF(G:G,B42)&gt;1,Relay!$E$2,Relay!$E$1),IF(AND(COUNTIF(G:G,B42)&gt;1,COUNTA(A42)&gt;0),Relay!$E$5,Relay!$E$4)))</f>
        <v>#N/A</v>
      </c>
      <c r="I42" s="8">
        <f t="shared" si="1"/>
        <v>0</v>
      </c>
      <c r="J42" s="35"/>
      <c r="K42" s="35"/>
      <c r="L42" s="35"/>
      <c r="M42" s="35"/>
      <c r="N42" s="10" t="e">
        <f>IF(H42=Dec!$E$2,"N",IF(AND(COUNTIF(B:B,B42)=1,D42&gt;14),"Y","N"))</f>
        <v>#N/A</v>
      </c>
      <c r="O42" s="55" t="str">
        <f>IF(COUNT(Dec[[#This Row],[Date]])&gt;0,IF(Dec[[#This Row],[Date]]&gt;14,"Yes","No"),"N/A")</f>
        <v>N/A</v>
      </c>
      <c r="P42" s="55"/>
      <c r="Q42" s="5">
        <f>Relay!A41</f>
        <v>0</v>
      </c>
      <c r="R42" s="5">
        <f>Relay!B41</f>
        <v>40</v>
      </c>
      <c r="S42" s="8">
        <f>IF(Dec[After the 14th?]="No",SUMIF(Dec[SysID],R42,Dec[Pay Amount]),0)+IF(Nov[After the 14th?]="Yes",SUMIF(Nov[SysID],R42,Nov[Pay Amount]),0)</f>
        <v>0</v>
      </c>
      <c r="T42" s="8"/>
      <c r="U42" s="5" t="str">
        <f t="shared" si="2"/>
        <v>N</v>
      </c>
      <c r="X42" s="56"/>
      <c r="Y42" s="56"/>
      <c r="Z42" s="56"/>
      <c r="AA42" s="56"/>
      <c r="AC42" s="56"/>
    </row>
    <row r="43" spans="1:29" x14ac:dyDescent="0.25">
      <c r="A43" s="35"/>
      <c r="B43" s="5" t="e">
        <f>VLOOKUP(A43,Relay!$A$1:$B$50,2,FALSE)</f>
        <v>#N/A</v>
      </c>
      <c r="C43" s="5" t="e">
        <f>VLOOKUP(A43,Relay!$A$2:$C$51,3,FALSE)</f>
        <v>#N/A</v>
      </c>
      <c r="D43" s="39"/>
      <c r="E43" s="35"/>
      <c r="F43" s="35" t="str">
        <f t="shared" si="0"/>
        <v>INS</v>
      </c>
      <c r="G43" s="5" t="e">
        <f>IF(OR(E43="Jeopardy",E43="APP Moonlighting",E43="Differential Pay"),"",Dec[[#This Row],[SysID]])</f>
        <v>#N/A</v>
      </c>
      <c r="H43" s="5" t="e">
        <f>IF(E43="Jeopardy",IF(C43="MD",Relay!$E$7,Relay!$E$8),IF(C43="MD",IF(COUNTIF(G:G,B43)&gt;1,Relay!$E$2,Relay!$E$1),IF(AND(COUNTIF(G:G,B43)&gt;1,COUNTA(A43)&gt;0),Relay!$E$5,Relay!$E$4)))</f>
        <v>#N/A</v>
      </c>
      <c r="I43" s="8">
        <f t="shared" si="1"/>
        <v>0</v>
      </c>
      <c r="J43" s="35"/>
      <c r="K43" s="35"/>
      <c r="L43" s="35"/>
      <c r="M43" s="35"/>
      <c r="N43" s="10" t="e">
        <f>IF(H43=Dec!$E$2,"N",IF(AND(COUNTIF(B:B,B43)=1,D43&gt;14),"Y","N"))</f>
        <v>#N/A</v>
      </c>
      <c r="O43" s="55" t="str">
        <f>IF(COUNT(Dec[[#This Row],[Date]])&gt;0,IF(Dec[[#This Row],[Date]]&gt;14,"Yes","No"),"N/A")</f>
        <v>N/A</v>
      </c>
      <c r="P43" s="55"/>
      <c r="Q43" s="5">
        <f>Relay!A42</f>
        <v>0</v>
      </c>
      <c r="R43" s="5">
        <f>Relay!B42</f>
        <v>41</v>
      </c>
      <c r="S43" s="8">
        <f>IF(Dec[After the 14th?]="No",SUMIF(Dec[SysID],R43,Dec[Pay Amount]),0)+IF(Nov[After the 14th?]="Yes",SUMIF(Nov[SysID],R43,Nov[Pay Amount]),0)</f>
        <v>0</v>
      </c>
      <c r="T43" s="8"/>
      <c r="U43" s="5" t="str">
        <f t="shared" si="2"/>
        <v>N</v>
      </c>
      <c r="X43" s="56"/>
      <c r="Y43" s="56"/>
      <c r="Z43" s="56"/>
      <c r="AA43" s="56"/>
      <c r="AC43" s="56"/>
    </row>
    <row r="44" spans="1:29" x14ac:dyDescent="0.25">
      <c r="A44" s="35"/>
      <c r="B44" s="5" t="e">
        <f>VLOOKUP(A44,Relay!$A$1:$B$50,2,FALSE)</f>
        <v>#N/A</v>
      </c>
      <c r="C44" s="5" t="e">
        <f>VLOOKUP(A44,Relay!$A$2:$C$51,3,FALSE)</f>
        <v>#N/A</v>
      </c>
      <c r="D44" s="39"/>
      <c r="E44" s="35"/>
      <c r="F44" s="35" t="str">
        <f t="shared" si="0"/>
        <v>INS</v>
      </c>
      <c r="G44" s="5" t="e">
        <f>IF(OR(E44="Jeopardy",E44="APP Moonlighting",E44="Differential Pay"),"",Dec[[#This Row],[SysID]])</f>
        <v>#N/A</v>
      </c>
      <c r="H44" s="5" t="e">
        <f>IF(E44="Jeopardy",IF(C44="MD",Relay!$E$7,Relay!$E$8),IF(C44="MD",IF(COUNTIF(G:G,B44)&gt;1,Relay!$E$2,Relay!$E$1),IF(AND(COUNTIF(G:G,B44)&gt;1,COUNTA(A44)&gt;0),Relay!$E$5,Relay!$E$4)))</f>
        <v>#N/A</v>
      </c>
      <c r="I44" s="8">
        <f t="shared" si="1"/>
        <v>0</v>
      </c>
      <c r="J44" s="35"/>
      <c r="K44" s="35"/>
      <c r="L44" s="35"/>
      <c r="M44" s="35"/>
      <c r="N44" s="10" t="e">
        <f>IF(H44=Dec!$E$2,"N",IF(AND(COUNTIF(B:B,B44)=1,D44&gt;14),"Y","N"))</f>
        <v>#N/A</v>
      </c>
      <c r="O44" s="55" t="str">
        <f>IF(COUNT(Dec[[#This Row],[Date]])&gt;0,IF(Dec[[#This Row],[Date]]&gt;14,"Yes","No"),"N/A")</f>
        <v>N/A</v>
      </c>
      <c r="P44" s="55"/>
      <c r="Q44" s="5">
        <f>Relay!A43</f>
        <v>0</v>
      </c>
      <c r="R44" s="5">
        <f>Relay!B43</f>
        <v>42</v>
      </c>
      <c r="S44" s="8">
        <f>IF(Dec[After the 14th?]="No",SUMIF(Dec[SysID],R44,Dec[Pay Amount]),0)+IF(Nov[After the 14th?]="Yes",SUMIF(Nov[SysID],R44,Nov[Pay Amount]),0)</f>
        <v>0</v>
      </c>
      <c r="T44" s="8"/>
      <c r="U44" s="5" t="str">
        <f t="shared" si="2"/>
        <v>N</v>
      </c>
      <c r="X44" s="56"/>
      <c r="Y44" s="56"/>
      <c r="Z44" s="56"/>
      <c r="AA44" s="56"/>
      <c r="AC44" s="56"/>
    </row>
    <row r="45" spans="1:29" x14ac:dyDescent="0.25">
      <c r="A45" s="35"/>
      <c r="B45" s="5" t="e">
        <f>VLOOKUP(A45,Relay!$A$1:$B$50,2,FALSE)</f>
        <v>#N/A</v>
      </c>
      <c r="C45" s="5" t="e">
        <f>VLOOKUP(A45,Relay!$A$2:$C$51,3,FALSE)</f>
        <v>#N/A</v>
      </c>
      <c r="D45" s="39"/>
      <c r="E45" s="35"/>
      <c r="F45" s="35" t="str">
        <f t="shared" si="0"/>
        <v>INS</v>
      </c>
      <c r="G45" s="5" t="e">
        <f>IF(OR(E45="Jeopardy",E45="APP Moonlighting",E45="Differential Pay"),"",Dec[[#This Row],[SysID]])</f>
        <v>#N/A</v>
      </c>
      <c r="H45" s="5" t="e">
        <f>IF(E45="Jeopardy",IF(C45="MD",Relay!$E$7,Relay!$E$8),IF(C45="MD",IF(COUNTIF(G:G,B45)&gt;1,Relay!$E$2,Relay!$E$1),IF(AND(COUNTIF(G:G,B45)&gt;1,COUNTA(A45)&gt;0),Relay!$E$5,Relay!$E$4)))</f>
        <v>#N/A</v>
      </c>
      <c r="I45" s="8">
        <f t="shared" si="1"/>
        <v>0</v>
      </c>
      <c r="J45" s="35"/>
      <c r="K45" s="35"/>
      <c r="L45" s="35"/>
      <c r="M45" s="35"/>
      <c r="N45" s="10" t="e">
        <f>IF(H45=Dec!$E$2,"N",IF(AND(COUNTIF(B:B,B45)=1,D45&gt;14),"Y","N"))</f>
        <v>#N/A</v>
      </c>
      <c r="O45" s="55" t="str">
        <f>IF(COUNT(Dec[[#This Row],[Date]])&gt;0,IF(Dec[[#This Row],[Date]]&gt;14,"Yes","No"),"N/A")</f>
        <v>N/A</v>
      </c>
      <c r="P45" s="55"/>
      <c r="Q45" s="5">
        <f>Relay!A44</f>
        <v>0</v>
      </c>
      <c r="R45" s="5">
        <f>Relay!B44</f>
        <v>43</v>
      </c>
      <c r="S45" s="8">
        <f>IF(Dec[After the 14th?]="No",SUMIF(Dec[SysID],R45,Dec[Pay Amount]),0)+IF(Nov[After the 14th?]="Yes",SUMIF(Nov[SysID],R45,Nov[Pay Amount]),0)</f>
        <v>0</v>
      </c>
      <c r="T45" s="8"/>
      <c r="U45" s="5" t="str">
        <f t="shared" si="2"/>
        <v>N</v>
      </c>
      <c r="X45" s="56"/>
      <c r="Y45" s="56"/>
      <c r="Z45" s="56"/>
      <c r="AA45" s="56"/>
      <c r="AC45" s="56"/>
    </row>
    <row r="46" spans="1:29" x14ac:dyDescent="0.25">
      <c r="A46" s="35"/>
      <c r="B46" s="5" t="e">
        <f>VLOOKUP(A46,Relay!$A$1:$B$50,2,FALSE)</f>
        <v>#N/A</v>
      </c>
      <c r="C46" s="5" t="e">
        <f>VLOOKUP(A46,Relay!$A$2:$C$51,3,FALSE)</f>
        <v>#N/A</v>
      </c>
      <c r="D46" s="39"/>
      <c r="E46" s="35"/>
      <c r="F46" s="35" t="str">
        <f t="shared" si="0"/>
        <v>INS</v>
      </c>
      <c r="G46" s="5" t="e">
        <f>IF(OR(E46="Jeopardy",E46="APP Moonlighting",E46="Differential Pay"),"",Dec[[#This Row],[SysID]])</f>
        <v>#N/A</v>
      </c>
      <c r="H46" s="5" t="e">
        <f>IF(E46="Jeopardy",IF(C46="MD",Relay!$E$7,Relay!$E$8),IF(C46="MD",IF(COUNTIF(G:G,B46)&gt;1,Relay!$E$2,Relay!$E$1),IF(AND(COUNTIF(G:G,B46)&gt;1,COUNTA(A46)&gt;0),Relay!$E$5,Relay!$E$4)))</f>
        <v>#N/A</v>
      </c>
      <c r="I46" s="8">
        <f t="shared" si="1"/>
        <v>0</v>
      </c>
      <c r="J46" s="35"/>
      <c r="K46" s="35"/>
      <c r="L46" s="35"/>
      <c r="M46" s="35"/>
      <c r="N46" s="10" t="e">
        <f>IF(H46=Dec!$E$2,"N",IF(AND(COUNTIF(B:B,B46)=1,D46&gt;14),"Y","N"))</f>
        <v>#N/A</v>
      </c>
      <c r="O46" s="55" t="str">
        <f>IF(COUNT(Dec[[#This Row],[Date]])&gt;0,IF(Dec[[#This Row],[Date]]&gt;14,"Yes","No"),"N/A")</f>
        <v>N/A</v>
      </c>
      <c r="P46" s="55"/>
      <c r="Q46" s="5">
        <f>Relay!A45</f>
        <v>0</v>
      </c>
      <c r="R46" s="5">
        <f>Relay!B45</f>
        <v>44</v>
      </c>
      <c r="S46" s="8">
        <f>IF(Dec[After the 14th?]="No",SUMIF(Dec[SysID],R46,Dec[Pay Amount]),0)+IF(Nov[After the 14th?]="Yes",SUMIF(Nov[SysID],R46,Nov[Pay Amount]),0)</f>
        <v>0</v>
      </c>
      <c r="T46" s="8"/>
      <c r="U46" s="5" t="str">
        <f t="shared" si="2"/>
        <v>N</v>
      </c>
      <c r="X46" s="56"/>
      <c r="Y46" s="56"/>
      <c r="Z46" s="56"/>
      <c r="AA46" s="56"/>
      <c r="AC46" s="56"/>
    </row>
    <row r="47" spans="1:29" x14ac:dyDescent="0.25">
      <c r="A47" s="35"/>
      <c r="B47" s="5" t="e">
        <f>VLOOKUP(A47,Relay!$A$1:$B$50,2,FALSE)</f>
        <v>#N/A</v>
      </c>
      <c r="C47" s="5" t="e">
        <f>VLOOKUP(A47,Relay!$A$2:$C$51,3,FALSE)</f>
        <v>#N/A</v>
      </c>
      <c r="D47" s="39"/>
      <c r="E47" s="35"/>
      <c r="F47" s="35" t="str">
        <f t="shared" si="0"/>
        <v>INS</v>
      </c>
      <c r="G47" s="5" t="e">
        <f>IF(OR(E47="Jeopardy",E47="APP Moonlighting",E47="Differential Pay"),"",Dec[[#This Row],[SysID]])</f>
        <v>#N/A</v>
      </c>
      <c r="H47" s="5" t="e">
        <f>IF(E47="Jeopardy",IF(C47="MD",Relay!$E$7,Relay!$E$8),IF(C47="MD",IF(COUNTIF(G:G,B47)&gt;1,Relay!$E$2,Relay!$E$1),IF(AND(COUNTIF(G:G,B47)&gt;1,COUNTA(A47)&gt;0),Relay!$E$5,Relay!$E$4)))</f>
        <v>#N/A</v>
      </c>
      <c r="I47" s="8">
        <f t="shared" si="1"/>
        <v>0</v>
      </c>
      <c r="J47" s="35"/>
      <c r="K47" s="35"/>
      <c r="L47" s="35"/>
      <c r="M47" s="35"/>
      <c r="N47" s="10" t="e">
        <f>IF(H47=Dec!$E$2,"N",IF(AND(COUNTIF(B:B,B47)=1,D47&gt;14),"Y","N"))</f>
        <v>#N/A</v>
      </c>
      <c r="O47" s="55" t="str">
        <f>IF(COUNT(Dec[[#This Row],[Date]])&gt;0,IF(Dec[[#This Row],[Date]]&gt;14,"Yes","No"),"N/A")</f>
        <v>N/A</v>
      </c>
      <c r="P47" s="55"/>
      <c r="Q47" s="5">
        <f>Relay!A46</f>
        <v>0</v>
      </c>
      <c r="R47" s="5">
        <f>Relay!B46</f>
        <v>45</v>
      </c>
      <c r="S47" s="8">
        <f>IF(Dec[After the 14th?]="No",SUMIF(Dec[SysID],R47,Dec[Pay Amount]),0)+IF(Nov[After the 14th?]="Yes",SUMIF(Nov[SysID],R47,Nov[Pay Amount]),0)</f>
        <v>0</v>
      </c>
      <c r="T47" s="8"/>
      <c r="U47" s="5" t="str">
        <f t="shared" si="2"/>
        <v>N</v>
      </c>
      <c r="X47" s="56"/>
      <c r="Y47" s="56"/>
      <c r="Z47" s="56"/>
      <c r="AA47" s="56"/>
      <c r="AC47" s="56"/>
    </row>
    <row r="48" spans="1:29" x14ac:dyDescent="0.25">
      <c r="A48" s="35"/>
      <c r="B48" s="5" t="e">
        <f>VLOOKUP(A48,Relay!$A$1:$B$50,2,FALSE)</f>
        <v>#N/A</v>
      </c>
      <c r="C48" s="5" t="e">
        <f>VLOOKUP(A48,Relay!$A$2:$C$51,3,FALSE)</f>
        <v>#N/A</v>
      </c>
      <c r="D48" s="39"/>
      <c r="E48" s="35"/>
      <c r="F48" s="35" t="str">
        <f t="shared" si="0"/>
        <v>INS</v>
      </c>
      <c r="G48" s="5" t="e">
        <f>IF(OR(E48="Jeopardy",E48="APP Moonlighting",E48="Differential Pay"),"",Dec[[#This Row],[SysID]])</f>
        <v>#N/A</v>
      </c>
      <c r="H48" s="5" t="e">
        <f>IF(E48="Jeopardy",IF(C48="MD",Relay!$E$7,Relay!$E$8),IF(C48="MD",IF(COUNTIF(G:G,B48)&gt;1,Relay!$E$2,Relay!$E$1),IF(AND(COUNTIF(G:G,B48)&gt;1,COUNTA(A48)&gt;0),Relay!$E$5,Relay!$E$4)))</f>
        <v>#N/A</v>
      </c>
      <c r="I48" s="8">
        <f t="shared" si="1"/>
        <v>0</v>
      </c>
      <c r="J48" s="35"/>
      <c r="K48" s="35"/>
      <c r="L48" s="35"/>
      <c r="M48" s="35"/>
      <c r="N48" s="10" t="e">
        <f>IF(H48=Dec!$E$2,"N",IF(AND(COUNTIF(B:B,B48)=1,D48&gt;14),"Y","N"))</f>
        <v>#N/A</v>
      </c>
      <c r="O48" s="55" t="str">
        <f>IF(COUNT(Dec[[#This Row],[Date]])&gt;0,IF(Dec[[#This Row],[Date]]&gt;14,"Yes","No"),"N/A")</f>
        <v>N/A</v>
      </c>
      <c r="P48" s="55"/>
      <c r="Q48" s="5">
        <f>Relay!A47</f>
        <v>0</v>
      </c>
      <c r="R48" s="5">
        <f>Relay!B47</f>
        <v>46</v>
      </c>
      <c r="S48" s="8">
        <f>IF(Dec[After the 14th?]="No",SUMIF(Dec[SysID],R48,Dec[Pay Amount]),0)+IF(Nov[After the 14th?]="Yes",SUMIF(Nov[SysID],R48,Nov[Pay Amount]),0)</f>
        <v>0</v>
      </c>
      <c r="T48" s="8"/>
      <c r="U48" s="5" t="str">
        <f t="shared" si="2"/>
        <v>N</v>
      </c>
      <c r="X48" s="56"/>
      <c r="Y48" s="56"/>
      <c r="Z48" s="56"/>
      <c r="AA48" s="56"/>
      <c r="AC48" s="56"/>
    </row>
    <row r="49" spans="1:29" x14ac:dyDescent="0.25">
      <c r="A49" s="35"/>
      <c r="B49" s="5" t="e">
        <f>VLOOKUP(A49,Relay!$A$1:$B$50,2,FALSE)</f>
        <v>#N/A</v>
      </c>
      <c r="C49" s="5" t="e">
        <f>VLOOKUP(A49,Relay!$A$2:$C$51,3,FALSE)</f>
        <v>#N/A</v>
      </c>
      <c r="D49" s="39"/>
      <c r="E49" s="35"/>
      <c r="F49" s="35" t="str">
        <f t="shared" si="0"/>
        <v>INS</v>
      </c>
      <c r="G49" s="5" t="e">
        <f>IF(OR(E49="Jeopardy",E49="APP Moonlighting",E49="Differential Pay"),"",Dec[[#This Row],[SysID]])</f>
        <v>#N/A</v>
      </c>
      <c r="H49" s="5" t="e">
        <f>IF(E49="Jeopardy",IF(C49="MD",Relay!$E$7,Relay!$E$8),IF(C49="MD",IF(COUNTIF(G:G,B49)&gt;1,Relay!$E$2,Relay!$E$1),IF(AND(COUNTIF(G:G,B49)&gt;1,COUNTA(A49)&gt;0),Relay!$E$5,Relay!$E$4)))</f>
        <v>#N/A</v>
      </c>
      <c r="I49" s="8">
        <f t="shared" si="1"/>
        <v>0</v>
      </c>
      <c r="J49" s="35"/>
      <c r="K49" s="35"/>
      <c r="L49" s="35"/>
      <c r="M49" s="35"/>
      <c r="N49" s="10" t="e">
        <f>IF(H49=Dec!$E$2,"N",IF(AND(COUNTIF(B:B,B49)=1,D49&gt;14),"Y","N"))</f>
        <v>#N/A</v>
      </c>
      <c r="O49" s="55" t="str">
        <f>IF(COUNT(Dec[[#This Row],[Date]])&gt;0,IF(Dec[[#This Row],[Date]]&gt;14,"Yes","No"),"N/A")</f>
        <v>N/A</v>
      </c>
      <c r="P49" s="55"/>
      <c r="Q49" s="5">
        <f>Relay!A48</f>
        <v>0</v>
      </c>
      <c r="R49" s="5">
        <f>Relay!B48</f>
        <v>47</v>
      </c>
      <c r="S49" s="8">
        <f>IF(Dec[After the 14th?]="No",SUMIF(Dec[SysID],R49,Dec[Pay Amount]),0)+IF(Nov[After the 14th?]="Yes",SUMIF(Nov[SysID],R49,Nov[Pay Amount]),0)</f>
        <v>0</v>
      </c>
      <c r="T49" s="8"/>
      <c r="U49" s="5" t="str">
        <f t="shared" si="2"/>
        <v>N</v>
      </c>
      <c r="X49" s="56"/>
      <c r="Y49" s="56"/>
      <c r="Z49" s="56"/>
      <c r="AA49" s="56"/>
      <c r="AC49" s="56"/>
    </row>
    <row r="50" spans="1:29" x14ac:dyDescent="0.25">
      <c r="A50" s="35"/>
      <c r="B50" s="5" t="e">
        <f>VLOOKUP(A50,Relay!$A$1:$B$50,2,FALSE)</f>
        <v>#N/A</v>
      </c>
      <c r="C50" s="5" t="e">
        <f>VLOOKUP(A50,Relay!$A$2:$C$51,3,FALSE)</f>
        <v>#N/A</v>
      </c>
      <c r="D50" s="39"/>
      <c r="E50" s="35"/>
      <c r="F50" s="35" t="str">
        <f t="shared" si="0"/>
        <v>INS</v>
      </c>
      <c r="G50" s="5" t="e">
        <f>IF(OR(E50="Jeopardy",E50="APP Moonlighting",E50="Differential Pay"),"",Dec[[#This Row],[SysID]])</f>
        <v>#N/A</v>
      </c>
      <c r="H50" s="5" t="e">
        <f>IF(E50="Jeopardy",IF(C50="MD",Relay!$E$7,Relay!$E$8),IF(C50="MD",IF(COUNTIF(G:G,B50)&gt;1,Relay!$E$2,Relay!$E$1),IF(AND(COUNTIF(G:G,B50)&gt;1,COUNTA(A50)&gt;0),Relay!$E$5,Relay!$E$4)))</f>
        <v>#N/A</v>
      </c>
      <c r="I50" s="8">
        <f t="shared" si="1"/>
        <v>0</v>
      </c>
      <c r="J50" s="35"/>
      <c r="K50" s="35"/>
      <c r="L50" s="35"/>
      <c r="M50" s="35"/>
      <c r="N50" s="10" t="e">
        <f>IF(H50=Dec!$E$2,"N",IF(AND(COUNTIF(B:B,B50)=1,D50&gt;14),"Y","N"))</f>
        <v>#N/A</v>
      </c>
      <c r="O50" s="55" t="str">
        <f>IF(COUNT(Dec[[#This Row],[Date]])&gt;0,IF(Dec[[#This Row],[Date]]&gt;14,"Yes","No"),"N/A")</f>
        <v>N/A</v>
      </c>
      <c r="P50" s="55"/>
      <c r="Q50" s="5">
        <f>Relay!A49</f>
        <v>0</v>
      </c>
      <c r="R50" s="5">
        <f>Relay!B49</f>
        <v>48</v>
      </c>
      <c r="S50" s="8">
        <f>IF(Dec[After the 14th?]="No",SUMIF(Dec[SysID],R50,Dec[Pay Amount]),0)+IF(Nov[After the 14th?]="Yes",SUMIF(Nov[SysID],R50,Nov[Pay Amount]),0)</f>
        <v>0</v>
      </c>
      <c r="T50" s="8"/>
      <c r="U50" s="5" t="str">
        <f t="shared" si="2"/>
        <v>N</v>
      </c>
      <c r="X50" s="56"/>
      <c r="Y50" s="56"/>
      <c r="Z50" s="56"/>
      <c r="AA50" s="56"/>
      <c r="AC50" s="56"/>
    </row>
    <row r="51" spans="1:29" x14ac:dyDescent="0.25">
      <c r="A51" s="35"/>
      <c r="B51" s="32" t="e">
        <f>VLOOKUP(A51,Relay!$A$1:$B$50,2,FALSE)</f>
        <v>#N/A</v>
      </c>
      <c r="C51" s="32" t="e">
        <f>VLOOKUP(A51,Relay!$A$2:$C$101,3,FALSE)</f>
        <v>#N/A</v>
      </c>
      <c r="D51" s="39"/>
      <c r="E51" s="35"/>
      <c r="F51" s="58" t="str">
        <f t="shared" si="0"/>
        <v>INS</v>
      </c>
      <c r="G51" s="32" t="e">
        <f>IF(OR(E51="Jeopardy",E51="APP Moonlighting",E51="Differential Pay"),"",Dec[[#This Row],[SysID]])</f>
        <v>#N/A</v>
      </c>
      <c r="H51" s="32" t="e">
        <f>IF(E51="Jeopardy",IF(C51="MD",Relay!$E$7,Relay!$E$8),IF(C51="MD",IF(COUNTIF(G:G,B51)&gt;1,Relay!$E$2,Relay!$E$1),IF(AND(COUNTIF(G:G,B51)&gt;1,COUNTA(A51)&gt;0),Relay!$E$5,Relay!$E$4)))</f>
        <v>#N/A</v>
      </c>
      <c r="I51" s="8">
        <f t="shared" si="1"/>
        <v>0</v>
      </c>
      <c r="J51" s="35"/>
      <c r="K51" s="35"/>
      <c r="L51" s="35"/>
      <c r="M51" s="35"/>
      <c r="N51" s="32" t="e">
        <f>IF(H51=Dec!$E$2,"N",IF(AND(COUNTIF(B:B,B51)=1,D51&gt;14),"Y","N"))</f>
        <v>#N/A</v>
      </c>
      <c r="O51" s="55" t="str">
        <f>IF(COUNT(Dec[[#This Row],[Date]])&gt;0,IF(Dec[[#This Row],[Date]]&gt;14,"Yes","No"),"N/A")</f>
        <v>N/A</v>
      </c>
      <c r="P51" s="55"/>
      <c r="Q51" s="5">
        <f>Relay!A50</f>
        <v>0</v>
      </c>
      <c r="R51" s="5">
        <f>Relay!B50</f>
        <v>49</v>
      </c>
      <c r="S51" s="8">
        <f>IF(Dec[After the 14th?]="No",SUMIF(Dec[SysID],R51,Dec[Pay Amount]),0)+IF(Nov[After the 14th?]="Yes",SUMIF(Nov[SysID],R51,Nov[Pay Amount]),0)</f>
        <v>0</v>
      </c>
      <c r="T51" s="8"/>
      <c r="U51" s="5" t="str">
        <f t="shared" si="2"/>
        <v>N</v>
      </c>
      <c r="X51" s="56"/>
      <c r="Y51" s="56"/>
      <c r="Z51" s="56"/>
      <c r="AA51" s="56"/>
      <c r="AC51" s="56"/>
    </row>
    <row r="52" spans="1:29" x14ac:dyDescent="0.25">
      <c r="A52" s="35"/>
      <c r="B52" s="32" t="e">
        <f>VLOOKUP(A52,Relay!$A$1:$B$50,2,FALSE)</f>
        <v>#N/A</v>
      </c>
      <c r="C52" s="32" t="e">
        <f>VLOOKUP(A52,Relay!$A$2:$C$101,3,FALSE)</f>
        <v>#N/A</v>
      </c>
      <c r="D52" s="39"/>
      <c r="E52" s="35"/>
      <c r="F52" s="58" t="str">
        <f t="shared" si="0"/>
        <v>INS</v>
      </c>
      <c r="G52" s="32" t="e">
        <f>IF(OR(E52="Jeopardy",E52="APP Moonlighting",E52="Differential Pay"),"",Dec[[#This Row],[SysID]])</f>
        <v>#N/A</v>
      </c>
      <c r="H52" s="32" t="e">
        <f>IF(E52="Jeopardy",IF(C52="MD",Relay!$E$7,Relay!$E$8),IF(C52="MD",IF(COUNTIF(G:G,B52)&gt;1,Relay!$E$2,Relay!$E$1),IF(AND(COUNTIF(G:G,B52)&gt;1,COUNTA(A52)&gt;0),Relay!$E$5,Relay!$E$4)))</f>
        <v>#N/A</v>
      </c>
      <c r="I52" s="8">
        <f t="shared" si="1"/>
        <v>0</v>
      </c>
      <c r="J52" s="35"/>
      <c r="K52" s="35"/>
      <c r="L52" s="35"/>
      <c r="M52" s="35"/>
      <c r="N52" s="32" t="e">
        <f>IF(H52=Dec!$E$2,"N",IF(AND(COUNTIF(B:B,B52)=1,D52&gt;14),"Y","N"))</f>
        <v>#N/A</v>
      </c>
      <c r="O52" s="55" t="str">
        <f>IF(COUNT(Dec[[#This Row],[Date]])&gt;0,IF(Dec[[#This Row],[Date]]&gt;14,"Yes","No"),"N/A")</f>
        <v>N/A</v>
      </c>
      <c r="P52" s="55"/>
      <c r="Q52" s="5">
        <f>Relay!A51</f>
        <v>0</v>
      </c>
      <c r="R52" s="5">
        <f>Relay!B51</f>
        <v>50</v>
      </c>
      <c r="S52" s="8">
        <f>IF(Dec[After the 14th?]="No",SUMIF(Dec[SysID],R52,Dec[Pay Amount]),0)+IF(Nov[After the 14th?]="Yes",SUMIF(Nov[SysID],R52,Nov[Pay Amount]),0)</f>
        <v>0</v>
      </c>
      <c r="T52" s="8"/>
      <c r="U52" s="5" t="str">
        <f t="shared" si="2"/>
        <v>N</v>
      </c>
      <c r="X52" s="56"/>
      <c r="Y52" s="56"/>
      <c r="Z52" s="56"/>
      <c r="AA52" s="56"/>
      <c r="AC52" s="56"/>
    </row>
    <row r="53" spans="1:29" x14ac:dyDescent="0.25">
      <c r="A53" s="35"/>
      <c r="B53" s="32" t="e">
        <f>VLOOKUP(A53,Relay!$A$1:$B$50,2,FALSE)</f>
        <v>#N/A</v>
      </c>
      <c r="C53" s="32" t="e">
        <f>VLOOKUP(A53,Relay!$A$2:$C$101,3,FALSE)</f>
        <v>#N/A</v>
      </c>
      <c r="D53" s="39"/>
      <c r="E53" s="35"/>
      <c r="F53" s="58" t="str">
        <f t="shared" si="0"/>
        <v>INS</v>
      </c>
      <c r="G53" s="32" t="e">
        <f>IF(OR(E53="Jeopardy",E53="APP Moonlighting",E53="Differential Pay"),"",Dec[[#This Row],[SysID]])</f>
        <v>#N/A</v>
      </c>
      <c r="H53" s="32" t="e">
        <f>IF(E53="Jeopardy",IF(C53="MD",Relay!$E$7,Relay!$E$8),IF(C53="MD",IF(COUNTIF(G:G,B53)&gt;1,Relay!$E$2,Relay!$E$1),IF(AND(COUNTIF(G:G,B53)&gt;1,COUNTA(A53)&gt;0),Relay!$E$5,Relay!$E$4)))</f>
        <v>#N/A</v>
      </c>
      <c r="I53" s="8">
        <f t="shared" si="1"/>
        <v>0</v>
      </c>
      <c r="J53" s="35"/>
      <c r="K53" s="35"/>
      <c r="L53" s="35"/>
      <c r="M53" s="35"/>
      <c r="N53" s="32" t="e">
        <f>IF(H53=Dec!$E$2,"N",IF(AND(COUNTIF(B:B,B53)=1,D53&gt;14),"Y","N"))</f>
        <v>#N/A</v>
      </c>
      <c r="O53" s="55" t="str">
        <f>IF(COUNT(Dec[[#This Row],[Date]])&gt;0,IF(Dec[[#This Row],[Date]]&gt;14,"Yes","No"),"N/A")</f>
        <v>N/A</v>
      </c>
      <c r="P53" s="55"/>
      <c r="Q53" s="5">
        <f>Relay!A52</f>
        <v>0</v>
      </c>
      <c r="R53" s="5">
        <f>Relay!B52</f>
        <v>51</v>
      </c>
      <c r="S53" s="8">
        <f>IF(Dec[After the 14th?]="No",SUMIF(Dec[SysID],R53,Dec[Pay Amount]),0)+IF(Nov[After the 14th?]="Yes",SUMIF(Nov[SysID],R53,Nov[Pay Amount]),0)</f>
        <v>0</v>
      </c>
      <c r="T53" s="8"/>
      <c r="U53" s="5" t="str">
        <f t="shared" si="2"/>
        <v>N</v>
      </c>
      <c r="X53" s="56"/>
      <c r="Y53" s="56"/>
      <c r="Z53" s="56"/>
      <c r="AA53" s="56"/>
      <c r="AC53" s="56"/>
    </row>
    <row r="54" spans="1:29" x14ac:dyDescent="0.25">
      <c r="A54" s="35"/>
      <c r="B54" s="32" t="e">
        <f>VLOOKUP(A54,Relay!$A$1:$B$50,2,FALSE)</f>
        <v>#N/A</v>
      </c>
      <c r="C54" s="32" t="e">
        <f>VLOOKUP(A54,Relay!$A$2:$C$101,3,FALSE)</f>
        <v>#N/A</v>
      </c>
      <c r="D54" s="39"/>
      <c r="E54" s="35"/>
      <c r="F54" s="58" t="str">
        <f t="shared" si="0"/>
        <v>INS</v>
      </c>
      <c r="G54" s="32" t="e">
        <f>IF(OR(E54="Jeopardy",E54="APP Moonlighting",E54="Differential Pay"),"",Dec[[#This Row],[SysID]])</f>
        <v>#N/A</v>
      </c>
      <c r="H54" s="32" t="e">
        <f>IF(E54="Jeopardy",IF(C54="MD",Relay!$E$7,Relay!$E$8),IF(C54="MD",IF(COUNTIF(G:G,B54)&gt;1,Relay!$E$2,Relay!$E$1),IF(AND(COUNTIF(G:G,B54)&gt;1,COUNTA(A54)&gt;0),Relay!$E$5,Relay!$E$4)))</f>
        <v>#N/A</v>
      </c>
      <c r="I54" s="8">
        <f t="shared" si="1"/>
        <v>0</v>
      </c>
      <c r="J54" s="35"/>
      <c r="K54" s="35"/>
      <c r="L54" s="35"/>
      <c r="M54" s="35"/>
      <c r="N54" s="32" t="e">
        <f>IF(H54=Dec!$E$2,"N",IF(AND(COUNTIF(B:B,B54)=1,D54&gt;14),"Y","N"))</f>
        <v>#N/A</v>
      </c>
      <c r="O54" s="55" t="str">
        <f>IF(COUNT(Dec[[#This Row],[Date]])&gt;0,IF(Dec[[#This Row],[Date]]&gt;14,"Yes","No"),"N/A")</f>
        <v>N/A</v>
      </c>
      <c r="P54" s="55"/>
      <c r="Q54" s="5">
        <f>Relay!A53</f>
        <v>0</v>
      </c>
      <c r="R54" s="5">
        <f>Relay!B53</f>
        <v>52</v>
      </c>
      <c r="S54" s="8">
        <f>IF(Dec[After the 14th?]="No",SUMIF(Dec[SysID],R54,Dec[Pay Amount]),0)+IF(Nov[After the 14th?]="Yes",SUMIF(Nov[SysID],R54,Nov[Pay Amount]),0)</f>
        <v>0</v>
      </c>
      <c r="T54" s="8"/>
      <c r="U54" s="5" t="str">
        <f t="shared" si="2"/>
        <v>N</v>
      </c>
      <c r="X54" s="56"/>
      <c r="Y54" s="56"/>
      <c r="Z54" s="56"/>
      <c r="AA54" s="56"/>
      <c r="AC54" s="56"/>
    </row>
    <row r="55" spans="1:29" x14ac:dyDescent="0.25">
      <c r="A55" s="35"/>
      <c r="B55" s="32" t="e">
        <f>VLOOKUP(A55,Relay!$A$1:$B$50,2,FALSE)</f>
        <v>#N/A</v>
      </c>
      <c r="C55" s="32" t="e">
        <f>VLOOKUP(A55,Relay!$A$2:$C$101,3,FALSE)</f>
        <v>#N/A</v>
      </c>
      <c r="D55" s="39"/>
      <c r="E55" s="35"/>
      <c r="F55" s="58" t="str">
        <f t="shared" si="0"/>
        <v>INS</v>
      </c>
      <c r="G55" s="32" t="e">
        <f>IF(OR(E55="Jeopardy",E55="APP Moonlighting",E55="Differential Pay"),"",Dec[[#This Row],[SysID]])</f>
        <v>#N/A</v>
      </c>
      <c r="H55" s="32" t="e">
        <f>IF(E55="Jeopardy",IF(C55="MD",Relay!$E$7,Relay!$E$8),IF(C55="MD",IF(COUNTIF(G:G,B55)&gt;1,Relay!$E$2,Relay!$E$1),IF(AND(COUNTIF(G:G,B55)&gt;1,COUNTA(A55)&gt;0),Relay!$E$5,Relay!$E$4)))</f>
        <v>#N/A</v>
      </c>
      <c r="I55" s="8">
        <f t="shared" si="1"/>
        <v>0</v>
      </c>
      <c r="J55" s="35"/>
      <c r="K55" s="35"/>
      <c r="L55" s="35"/>
      <c r="M55" s="35"/>
      <c r="N55" s="32" t="e">
        <f>IF(H55=Dec!$E$2,"N",IF(AND(COUNTIF(B:B,B55)=1,D55&gt;14),"Y","N"))</f>
        <v>#N/A</v>
      </c>
      <c r="O55" s="55" t="str">
        <f>IF(COUNT(Dec[[#This Row],[Date]])&gt;0,IF(Dec[[#This Row],[Date]]&gt;14,"Yes","No"),"N/A")</f>
        <v>N/A</v>
      </c>
      <c r="P55" s="55"/>
      <c r="Q55" s="5">
        <f>Relay!A54</f>
        <v>0</v>
      </c>
      <c r="R55" s="5">
        <f>Relay!B54</f>
        <v>53</v>
      </c>
      <c r="S55" s="8">
        <f>IF(Dec[After the 14th?]="No",SUMIF(Dec[SysID],R55,Dec[Pay Amount]),0)+IF(Nov[After the 14th?]="Yes",SUMIF(Nov[SysID],R55,Nov[Pay Amount]),0)</f>
        <v>0</v>
      </c>
      <c r="T55" s="8"/>
      <c r="U55" s="5" t="str">
        <f t="shared" si="2"/>
        <v>N</v>
      </c>
      <c r="X55" s="56"/>
      <c r="Y55" s="56"/>
      <c r="Z55" s="56"/>
      <c r="AA55" s="56"/>
      <c r="AC55" s="56"/>
    </row>
    <row r="56" spans="1:29" x14ac:dyDescent="0.25">
      <c r="A56" s="35"/>
      <c r="B56" s="32" t="e">
        <f>VLOOKUP(A56,Relay!$A$1:$B$50,2,FALSE)</f>
        <v>#N/A</v>
      </c>
      <c r="C56" s="32" t="e">
        <f>VLOOKUP(A56,Relay!$A$2:$C$101,3,FALSE)</f>
        <v>#N/A</v>
      </c>
      <c r="D56" s="39"/>
      <c r="E56" s="35"/>
      <c r="F56" s="58" t="str">
        <f t="shared" si="0"/>
        <v>INS</v>
      </c>
      <c r="G56" s="32" t="e">
        <f>IF(OR(E56="Jeopardy",E56="APP Moonlighting",E56="Differential Pay"),"",Dec[[#This Row],[SysID]])</f>
        <v>#N/A</v>
      </c>
      <c r="H56" s="32" t="e">
        <f>IF(E56="Jeopardy",IF(C56="MD",Relay!$E$7,Relay!$E$8),IF(C56="MD",IF(COUNTIF(G:G,B56)&gt;1,Relay!$E$2,Relay!$E$1),IF(AND(COUNTIF(G:G,B56)&gt;1,COUNTA(A56)&gt;0),Relay!$E$5,Relay!$E$4)))</f>
        <v>#N/A</v>
      </c>
      <c r="I56" s="8">
        <f t="shared" si="1"/>
        <v>0</v>
      </c>
      <c r="J56" s="35"/>
      <c r="K56" s="35"/>
      <c r="L56" s="35"/>
      <c r="M56" s="35"/>
      <c r="N56" s="32" t="e">
        <f>IF(H56=Dec!$E$2,"N",IF(AND(COUNTIF(B:B,B56)=1,D56&gt;14),"Y","N"))</f>
        <v>#N/A</v>
      </c>
      <c r="O56" s="55" t="str">
        <f>IF(COUNT(Dec[[#This Row],[Date]])&gt;0,IF(Dec[[#This Row],[Date]]&gt;14,"Yes","No"),"N/A")</f>
        <v>N/A</v>
      </c>
      <c r="P56" s="55"/>
      <c r="Q56" s="5">
        <f>Relay!A55</f>
        <v>0</v>
      </c>
      <c r="R56" s="5">
        <f>Relay!B55</f>
        <v>54</v>
      </c>
      <c r="S56" s="8">
        <f>IF(Dec[After the 14th?]="No",SUMIF(Dec[SysID],R56,Dec[Pay Amount]),0)+IF(Nov[After the 14th?]="Yes",SUMIF(Nov[SysID],R56,Nov[Pay Amount]),0)</f>
        <v>0</v>
      </c>
      <c r="T56" s="8"/>
      <c r="U56" s="5" t="str">
        <f t="shared" si="2"/>
        <v>N</v>
      </c>
      <c r="X56" s="56"/>
      <c r="Y56" s="56"/>
      <c r="Z56" s="56"/>
      <c r="AA56" s="56"/>
      <c r="AC56" s="56"/>
    </row>
    <row r="57" spans="1:29" x14ac:dyDescent="0.25">
      <c r="A57" s="35"/>
      <c r="B57" s="32" t="e">
        <f>VLOOKUP(A57,Relay!$A$1:$B$50,2,FALSE)</f>
        <v>#N/A</v>
      </c>
      <c r="C57" s="32" t="e">
        <f>VLOOKUP(A57,Relay!$A$2:$C$101,3,FALSE)</f>
        <v>#N/A</v>
      </c>
      <c r="D57" s="39"/>
      <c r="E57" s="35"/>
      <c r="F57" s="58" t="str">
        <f t="shared" si="0"/>
        <v>INS</v>
      </c>
      <c r="G57" s="32" t="e">
        <f>IF(OR(E57="Jeopardy",E57="APP Moonlighting",E57="Differential Pay"),"",Dec[[#This Row],[SysID]])</f>
        <v>#N/A</v>
      </c>
      <c r="H57" s="32" t="e">
        <f>IF(E57="Jeopardy",IF(C57="MD",Relay!$E$7,Relay!$E$8),IF(C57="MD",IF(COUNTIF(G:G,B57)&gt;1,Relay!$E$2,Relay!$E$1),IF(AND(COUNTIF(G:G,B57)&gt;1,COUNTA(A57)&gt;0),Relay!$E$5,Relay!$E$4)))</f>
        <v>#N/A</v>
      </c>
      <c r="I57" s="8">
        <f t="shared" si="1"/>
        <v>0</v>
      </c>
      <c r="J57" s="35"/>
      <c r="K57" s="35"/>
      <c r="L57" s="35"/>
      <c r="M57" s="35"/>
      <c r="N57" s="32" t="e">
        <f>IF(H57=Dec!$E$2,"N",IF(AND(COUNTIF(B:B,B57)=1,D57&gt;14),"Y","N"))</f>
        <v>#N/A</v>
      </c>
      <c r="O57" s="55" t="str">
        <f>IF(COUNT(Dec[[#This Row],[Date]])&gt;0,IF(Dec[[#This Row],[Date]]&gt;14,"Yes","No"),"N/A")</f>
        <v>N/A</v>
      </c>
      <c r="P57" s="55"/>
      <c r="Q57" s="5">
        <f>Relay!A56</f>
        <v>0</v>
      </c>
      <c r="R57" s="5">
        <f>Relay!B56</f>
        <v>55</v>
      </c>
      <c r="S57" s="8">
        <f>IF(Dec[After the 14th?]="No",SUMIF(Dec[SysID],R57,Dec[Pay Amount]),0)+IF(Nov[After the 14th?]="Yes",SUMIF(Nov[SysID],R57,Nov[Pay Amount]),0)</f>
        <v>0</v>
      </c>
      <c r="T57" s="8"/>
      <c r="U57" s="5" t="str">
        <f t="shared" si="2"/>
        <v>N</v>
      </c>
      <c r="X57" s="56"/>
      <c r="Y57" s="56"/>
      <c r="Z57" s="56"/>
      <c r="AA57" s="56"/>
      <c r="AC57" s="56"/>
    </row>
    <row r="58" spans="1:29" x14ac:dyDescent="0.25">
      <c r="A58" s="35"/>
      <c r="B58" s="32" t="e">
        <f>VLOOKUP(A58,Relay!$A$1:$B$50,2,FALSE)</f>
        <v>#N/A</v>
      </c>
      <c r="C58" s="32" t="e">
        <f>VLOOKUP(A58,Relay!$A$2:$C$101,3,FALSE)</f>
        <v>#N/A</v>
      </c>
      <c r="D58" s="39"/>
      <c r="E58" s="35"/>
      <c r="F58" s="58" t="str">
        <f t="shared" si="0"/>
        <v>INS</v>
      </c>
      <c r="G58" s="32" t="e">
        <f>IF(OR(E58="Jeopardy",E58="APP Moonlighting",E58="Differential Pay"),"",Dec[[#This Row],[SysID]])</f>
        <v>#N/A</v>
      </c>
      <c r="H58" s="32" t="e">
        <f>IF(E58="Jeopardy",IF(C58="MD",Relay!$E$7,Relay!$E$8),IF(C58="MD",IF(COUNTIF(G:G,B58)&gt;1,Relay!$E$2,Relay!$E$1),IF(AND(COUNTIF(G:G,B58)&gt;1,COUNTA(A58)&gt;0),Relay!$E$5,Relay!$E$4)))</f>
        <v>#N/A</v>
      </c>
      <c r="I58" s="8">
        <f t="shared" si="1"/>
        <v>0</v>
      </c>
      <c r="J58" s="35"/>
      <c r="K58" s="35"/>
      <c r="L58" s="35"/>
      <c r="M58" s="35"/>
      <c r="N58" s="32" t="e">
        <f>IF(H58=Dec!$E$2,"N",IF(AND(COUNTIF(B:B,B58)=1,D58&gt;14),"Y","N"))</f>
        <v>#N/A</v>
      </c>
      <c r="O58" s="55" t="str">
        <f>IF(COUNT(Dec[[#This Row],[Date]])&gt;0,IF(Dec[[#This Row],[Date]]&gt;14,"Yes","No"),"N/A")</f>
        <v>N/A</v>
      </c>
      <c r="P58" s="55"/>
      <c r="Q58" s="5">
        <f>Relay!A57</f>
        <v>0</v>
      </c>
      <c r="R58" s="5">
        <f>Relay!B57</f>
        <v>56</v>
      </c>
      <c r="S58" s="8">
        <f>IF(Dec[After the 14th?]="No",SUMIF(Dec[SysID],R58,Dec[Pay Amount]),0)+IF(Nov[After the 14th?]="Yes",SUMIF(Nov[SysID],R58,Nov[Pay Amount]),0)</f>
        <v>0</v>
      </c>
      <c r="T58" s="8"/>
      <c r="U58" s="5" t="str">
        <f t="shared" si="2"/>
        <v>N</v>
      </c>
      <c r="X58" s="56"/>
      <c r="Y58" s="56"/>
      <c r="Z58" s="56"/>
      <c r="AA58" s="56"/>
      <c r="AC58" s="56"/>
    </row>
    <row r="59" spans="1:29" x14ac:dyDescent="0.25">
      <c r="A59" s="35"/>
      <c r="B59" s="32" t="e">
        <f>VLOOKUP(A59,Relay!$A$1:$B$50,2,FALSE)</f>
        <v>#N/A</v>
      </c>
      <c r="C59" s="32" t="e">
        <f>VLOOKUP(A59,Relay!$A$2:$C$101,3,FALSE)</f>
        <v>#N/A</v>
      </c>
      <c r="D59" s="39"/>
      <c r="E59" s="35"/>
      <c r="F59" s="58" t="str">
        <f t="shared" si="0"/>
        <v>INS</v>
      </c>
      <c r="G59" s="32" t="e">
        <f>IF(OR(E59="Jeopardy",E59="APP Moonlighting",E59="Differential Pay"),"",Dec[[#This Row],[SysID]])</f>
        <v>#N/A</v>
      </c>
      <c r="H59" s="32" t="e">
        <f>IF(E59="Jeopardy",IF(C59="MD",Relay!$E$7,Relay!$E$8),IF(C59="MD",IF(COUNTIF(G:G,B59)&gt;1,Relay!$E$2,Relay!$E$1),IF(AND(COUNTIF(G:G,B59)&gt;1,COUNTA(A59)&gt;0),Relay!$E$5,Relay!$E$4)))</f>
        <v>#N/A</v>
      </c>
      <c r="I59" s="8">
        <f t="shared" si="1"/>
        <v>0</v>
      </c>
      <c r="J59" s="35"/>
      <c r="K59" s="35"/>
      <c r="L59" s="35"/>
      <c r="M59" s="35"/>
      <c r="N59" s="32" t="e">
        <f>IF(H59=Dec!$E$2,"N",IF(AND(COUNTIF(B:B,B59)=1,D59&gt;14),"Y","N"))</f>
        <v>#N/A</v>
      </c>
      <c r="O59" s="55" t="str">
        <f>IF(COUNT(Dec[[#This Row],[Date]])&gt;0,IF(Dec[[#This Row],[Date]]&gt;14,"Yes","No"),"N/A")</f>
        <v>N/A</v>
      </c>
      <c r="P59" s="55"/>
      <c r="Q59" s="5">
        <f>Relay!A58</f>
        <v>0</v>
      </c>
      <c r="R59" s="5">
        <f>Relay!B58</f>
        <v>57</v>
      </c>
      <c r="S59" s="8">
        <f>IF(Dec[After the 14th?]="No",SUMIF(Dec[SysID],R59,Dec[Pay Amount]),0)+IF(Nov[After the 14th?]="Yes",SUMIF(Nov[SysID],R59,Nov[Pay Amount]),0)</f>
        <v>0</v>
      </c>
      <c r="T59" s="8"/>
      <c r="U59" s="5" t="str">
        <f t="shared" si="2"/>
        <v>N</v>
      </c>
      <c r="X59" s="56"/>
      <c r="Y59" s="56"/>
      <c r="Z59" s="56"/>
      <c r="AA59" s="56"/>
      <c r="AC59" s="56"/>
    </row>
    <row r="60" spans="1:29" x14ac:dyDescent="0.25">
      <c r="A60" s="35"/>
      <c r="B60" s="32" t="e">
        <f>VLOOKUP(A60,Relay!$A$1:$B$50,2,FALSE)</f>
        <v>#N/A</v>
      </c>
      <c r="C60" s="32" t="e">
        <f>VLOOKUP(A60,Relay!$A$2:$C$101,3,FALSE)</f>
        <v>#N/A</v>
      </c>
      <c r="D60" s="39"/>
      <c r="E60" s="35"/>
      <c r="F60" s="58" t="str">
        <f t="shared" si="0"/>
        <v>INS</v>
      </c>
      <c r="G60" s="32" t="e">
        <f>IF(OR(E60="Jeopardy",E60="APP Moonlighting",E60="Differential Pay"),"",Dec[[#This Row],[SysID]])</f>
        <v>#N/A</v>
      </c>
      <c r="H60" s="32" t="e">
        <f>IF(E60="Jeopardy",IF(C60="MD",Relay!$E$7,Relay!$E$8),IF(C60="MD",IF(COUNTIF(G:G,B60)&gt;1,Relay!$E$2,Relay!$E$1),IF(AND(COUNTIF(G:G,B60)&gt;1,COUNTA(A60)&gt;0),Relay!$E$5,Relay!$E$4)))</f>
        <v>#N/A</v>
      </c>
      <c r="I60" s="8">
        <f t="shared" si="1"/>
        <v>0</v>
      </c>
      <c r="J60" s="35"/>
      <c r="K60" s="35"/>
      <c r="L60" s="35"/>
      <c r="M60" s="35"/>
      <c r="N60" s="32" t="e">
        <f>IF(H60=Dec!$E$2,"N",IF(AND(COUNTIF(B:B,B60)=1,D60&gt;14),"Y","N"))</f>
        <v>#N/A</v>
      </c>
      <c r="O60" s="55" t="str">
        <f>IF(COUNT(Dec[[#This Row],[Date]])&gt;0,IF(Dec[[#This Row],[Date]]&gt;14,"Yes","No"),"N/A")</f>
        <v>N/A</v>
      </c>
      <c r="P60" s="55"/>
      <c r="Q60" s="5">
        <f>Relay!A59</f>
        <v>0</v>
      </c>
      <c r="R60" s="5">
        <f>Relay!B59</f>
        <v>58</v>
      </c>
      <c r="S60" s="8">
        <f>IF(Dec[After the 14th?]="No",SUMIF(Dec[SysID],R60,Dec[Pay Amount]),0)+IF(Nov[After the 14th?]="Yes",SUMIF(Nov[SysID],R60,Nov[Pay Amount]),0)</f>
        <v>0</v>
      </c>
      <c r="T60" s="8"/>
      <c r="U60" s="5" t="str">
        <f t="shared" si="2"/>
        <v>N</v>
      </c>
      <c r="X60" s="56"/>
      <c r="Y60" s="56"/>
      <c r="Z60" s="56"/>
      <c r="AA60" s="56"/>
      <c r="AC60" s="56"/>
    </row>
    <row r="61" spans="1:29" x14ac:dyDescent="0.25">
      <c r="A61" s="35"/>
      <c r="B61" s="32" t="e">
        <f>VLOOKUP(A61,Relay!$A$1:$B$50,2,FALSE)</f>
        <v>#N/A</v>
      </c>
      <c r="C61" s="32" t="e">
        <f>VLOOKUP(A61,Relay!$A$2:$C$101,3,FALSE)</f>
        <v>#N/A</v>
      </c>
      <c r="D61" s="39"/>
      <c r="E61" s="35"/>
      <c r="F61" s="58" t="str">
        <f t="shared" si="0"/>
        <v>INS</v>
      </c>
      <c r="G61" s="32" t="e">
        <f>IF(OR(E61="Jeopardy",E61="APP Moonlighting",E61="Differential Pay"),"",Dec[[#This Row],[SysID]])</f>
        <v>#N/A</v>
      </c>
      <c r="H61" s="32" t="e">
        <f>IF(E61="Jeopardy",IF(C61="MD",Relay!$E$7,Relay!$E$8),IF(C61="MD",IF(COUNTIF(G:G,B61)&gt;1,Relay!$E$2,Relay!$E$1),IF(AND(COUNTIF(G:G,B61)&gt;1,COUNTA(A61)&gt;0),Relay!$E$5,Relay!$E$4)))</f>
        <v>#N/A</v>
      </c>
      <c r="I61" s="8">
        <f t="shared" si="1"/>
        <v>0</v>
      </c>
      <c r="J61" s="35"/>
      <c r="K61" s="35"/>
      <c r="L61" s="35"/>
      <c r="M61" s="35"/>
      <c r="N61" s="32" t="e">
        <f>IF(H61=Dec!$E$2,"N",IF(AND(COUNTIF(B:B,B61)=1,D61&gt;14),"Y","N"))</f>
        <v>#N/A</v>
      </c>
      <c r="O61" s="55" t="str">
        <f>IF(COUNT(Dec[[#This Row],[Date]])&gt;0,IF(Dec[[#This Row],[Date]]&gt;14,"Yes","No"),"N/A")</f>
        <v>N/A</v>
      </c>
      <c r="P61" s="55"/>
      <c r="Q61" s="5">
        <f>Relay!A60</f>
        <v>0</v>
      </c>
      <c r="R61" s="5">
        <f>Relay!B60</f>
        <v>59</v>
      </c>
      <c r="S61" s="8">
        <f>IF(Dec[After the 14th?]="No",SUMIF(Dec[SysID],R61,Dec[Pay Amount]),0)+IF(Nov[After the 14th?]="Yes",SUMIF(Nov[SysID],R61,Nov[Pay Amount]),0)</f>
        <v>0</v>
      </c>
      <c r="T61" s="8"/>
      <c r="U61" s="5" t="str">
        <f t="shared" si="2"/>
        <v>N</v>
      </c>
      <c r="X61" s="56"/>
      <c r="Y61" s="56"/>
      <c r="Z61" s="56"/>
      <c r="AA61" s="56"/>
      <c r="AC61" s="56"/>
    </row>
    <row r="62" spans="1:29" x14ac:dyDescent="0.25">
      <c r="A62" s="35"/>
      <c r="B62" s="32" t="e">
        <f>VLOOKUP(A62,Relay!$A$1:$B$50,2,FALSE)</f>
        <v>#N/A</v>
      </c>
      <c r="C62" s="32" t="e">
        <f>VLOOKUP(A62,Relay!$A$2:$C$101,3,FALSE)</f>
        <v>#N/A</v>
      </c>
      <c r="D62" s="39"/>
      <c r="E62" s="35"/>
      <c r="F62" s="58" t="str">
        <f t="shared" si="0"/>
        <v>INS</v>
      </c>
      <c r="G62" s="32" t="e">
        <f>IF(OR(E62="Jeopardy",E62="APP Moonlighting",E62="Differential Pay"),"",Dec[[#This Row],[SysID]])</f>
        <v>#N/A</v>
      </c>
      <c r="H62" s="32" t="e">
        <f>IF(E62="Jeopardy",IF(C62="MD",Relay!$E$7,Relay!$E$8),IF(C62="MD",IF(COUNTIF(G:G,B62)&gt;1,Relay!$E$2,Relay!$E$1),IF(AND(COUNTIF(G:G,B62)&gt;1,COUNTA(A62)&gt;0),Relay!$E$5,Relay!$E$4)))</f>
        <v>#N/A</v>
      </c>
      <c r="I62" s="8">
        <f t="shared" si="1"/>
        <v>0</v>
      </c>
      <c r="J62" s="35"/>
      <c r="K62" s="35"/>
      <c r="L62" s="35"/>
      <c r="M62" s="35"/>
      <c r="N62" s="32" t="e">
        <f>IF(H62=Dec!$E$2,"N",IF(AND(COUNTIF(B:B,B62)=1,D62&gt;14),"Y","N"))</f>
        <v>#N/A</v>
      </c>
      <c r="O62" s="55" t="str">
        <f>IF(COUNT(Dec[[#This Row],[Date]])&gt;0,IF(Dec[[#This Row],[Date]]&gt;14,"Yes","No"),"N/A")</f>
        <v>N/A</v>
      </c>
      <c r="P62" s="55"/>
      <c r="Q62" s="5">
        <f>Relay!A61</f>
        <v>0</v>
      </c>
      <c r="R62" s="5">
        <f>Relay!B61</f>
        <v>60</v>
      </c>
      <c r="S62" s="8">
        <f>IF(Dec[After the 14th?]="No",SUMIF(Dec[SysID],R62,Dec[Pay Amount]),0)+IF(Nov[After the 14th?]="Yes",SUMIF(Nov[SysID],R62,Nov[Pay Amount]),0)</f>
        <v>0</v>
      </c>
      <c r="T62" s="8"/>
      <c r="U62" s="5" t="str">
        <f t="shared" si="2"/>
        <v>N</v>
      </c>
      <c r="X62" s="56"/>
      <c r="Y62" s="56"/>
      <c r="Z62" s="56"/>
      <c r="AA62" s="56"/>
      <c r="AC62" s="56"/>
    </row>
    <row r="63" spans="1:29" x14ac:dyDescent="0.25">
      <c r="A63" s="35"/>
      <c r="B63" s="32" t="e">
        <f>VLOOKUP(A63,Relay!$A$1:$B$50,2,FALSE)</f>
        <v>#N/A</v>
      </c>
      <c r="C63" s="32" t="e">
        <f>VLOOKUP(A63,Relay!$A$2:$C$101,3,FALSE)</f>
        <v>#N/A</v>
      </c>
      <c r="D63" s="39"/>
      <c r="E63" s="35"/>
      <c r="F63" s="58" t="str">
        <f t="shared" si="0"/>
        <v>INS</v>
      </c>
      <c r="G63" s="32" t="e">
        <f>IF(OR(E63="Jeopardy",E63="APP Moonlighting",E63="Differential Pay"),"",Dec[[#This Row],[SysID]])</f>
        <v>#N/A</v>
      </c>
      <c r="H63" s="32" t="e">
        <f>IF(E63="Jeopardy",IF(C63="MD",Relay!$E$7,Relay!$E$8),IF(C63="MD",IF(COUNTIF(G:G,B63)&gt;1,Relay!$E$2,Relay!$E$1),IF(AND(COUNTIF(G:G,B63)&gt;1,COUNTA(A63)&gt;0),Relay!$E$5,Relay!$E$4)))</f>
        <v>#N/A</v>
      </c>
      <c r="I63" s="8">
        <f t="shared" si="1"/>
        <v>0</v>
      </c>
      <c r="J63" s="35"/>
      <c r="K63" s="35"/>
      <c r="L63" s="35"/>
      <c r="M63" s="35"/>
      <c r="N63" s="32" t="e">
        <f>IF(H63=Dec!$E$2,"N",IF(AND(COUNTIF(B:B,B63)=1,D63&gt;14),"Y","N"))</f>
        <v>#N/A</v>
      </c>
      <c r="O63" s="55" t="str">
        <f>IF(COUNT(Dec[[#This Row],[Date]])&gt;0,IF(Dec[[#This Row],[Date]]&gt;14,"Yes","No"),"N/A")</f>
        <v>N/A</v>
      </c>
      <c r="P63" s="55"/>
      <c r="Q63" s="5">
        <f>Relay!A62</f>
        <v>0</v>
      </c>
      <c r="R63" s="5">
        <f>Relay!B62</f>
        <v>61</v>
      </c>
      <c r="S63" s="8">
        <f>IF(Dec[After the 14th?]="No",SUMIF(Dec[SysID],R63,Dec[Pay Amount]),0)+IF(Nov[After the 14th?]="Yes",SUMIF(Nov[SysID],R63,Nov[Pay Amount]),0)</f>
        <v>0</v>
      </c>
      <c r="T63" s="8"/>
      <c r="U63" s="5" t="str">
        <f t="shared" si="2"/>
        <v>N</v>
      </c>
      <c r="X63" s="56"/>
      <c r="Y63" s="56"/>
      <c r="Z63" s="56"/>
      <c r="AA63" s="56"/>
      <c r="AC63" s="56"/>
    </row>
    <row r="64" spans="1:29" x14ac:dyDescent="0.25">
      <c r="A64" s="35"/>
      <c r="B64" s="32" t="e">
        <f>VLOOKUP(A64,Relay!$A$1:$B$50,2,FALSE)</f>
        <v>#N/A</v>
      </c>
      <c r="C64" s="32" t="e">
        <f>VLOOKUP(A64,Relay!$A$2:$C$101,3,FALSE)</f>
        <v>#N/A</v>
      </c>
      <c r="D64" s="39"/>
      <c r="E64" s="35"/>
      <c r="F64" s="58" t="str">
        <f t="shared" si="0"/>
        <v>INS</v>
      </c>
      <c r="G64" s="32" t="e">
        <f>IF(OR(E64="Jeopardy",E64="APP Moonlighting",E64="Differential Pay"),"",Dec[[#This Row],[SysID]])</f>
        <v>#N/A</v>
      </c>
      <c r="H64" s="32" t="e">
        <f>IF(E64="Jeopardy",IF(C64="MD",Relay!$E$7,Relay!$E$8),IF(C64="MD",IF(COUNTIF(G:G,B64)&gt;1,Relay!$E$2,Relay!$E$1),IF(AND(COUNTIF(G:G,B64)&gt;1,COUNTA(A64)&gt;0),Relay!$E$5,Relay!$E$4)))</f>
        <v>#N/A</v>
      </c>
      <c r="I64" s="8">
        <f t="shared" si="1"/>
        <v>0</v>
      </c>
      <c r="J64" s="35"/>
      <c r="K64" s="35"/>
      <c r="L64" s="35"/>
      <c r="M64" s="35"/>
      <c r="N64" s="32" t="e">
        <f>IF(H64=Dec!$E$2,"N",IF(AND(COUNTIF(B:B,B64)=1,D64&gt;14),"Y","N"))</f>
        <v>#N/A</v>
      </c>
      <c r="O64" s="55" t="str">
        <f>IF(COUNT(Dec[[#This Row],[Date]])&gt;0,IF(Dec[[#This Row],[Date]]&gt;14,"Yes","No"),"N/A")</f>
        <v>N/A</v>
      </c>
      <c r="P64" s="55"/>
      <c r="Q64" s="5">
        <f>Relay!A63</f>
        <v>0</v>
      </c>
      <c r="R64" s="5">
        <f>Relay!B63</f>
        <v>62</v>
      </c>
      <c r="S64" s="8">
        <f>IF(Dec[After the 14th?]="No",SUMIF(Dec[SysID],R64,Dec[Pay Amount]),0)+IF(Nov[After the 14th?]="Yes",SUMIF(Nov[SysID],R64,Nov[Pay Amount]),0)</f>
        <v>0</v>
      </c>
      <c r="T64" s="8"/>
      <c r="U64" s="5" t="str">
        <f t="shared" si="2"/>
        <v>N</v>
      </c>
      <c r="X64" s="56"/>
      <c r="Y64" s="56"/>
      <c r="Z64" s="56"/>
      <c r="AA64" s="56"/>
      <c r="AC64" s="56"/>
    </row>
    <row r="65" spans="1:29" x14ac:dyDescent="0.25">
      <c r="A65" s="35"/>
      <c r="B65" s="32" t="e">
        <f>VLOOKUP(A65,Relay!$A$1:$B$50,2,FALSE)</f>
        <v>#N/A</v>
      </c>
      <c r="C65" s="32" t="e">
        <f>VLOOKUP(A65,Relay!$A$2:$C$101,3,FALSE)</f>
        <v>#N/A</v>
      </c>
      <c r="D65" s="39"/>
      <c r="E65" s="35"/>
      <c r="F65" s="58" t="str">
        <f t="shared" si="0"/>
        <v>INS</v>
      </c>
      <c r="G65" s="32" t="e">
        <f>IF(OR(E65="Jeopardy",E65="APP Moonlighting",E65="Differential Pay"),"",Dec[[#This Row],[SysID]])</f>
        <v>#N/A</v>
      </c>
      <c r="H65" s="32" t="e">
        <f>IF(E65="Jeopardy",IF(C65="MD",Relay!$E$7,Relay!$E$8),IF(C65="MD",IF(COUNTIF(G:G,B65)&gt;1,Relay!$E$2,Relay!$E$1),IF(AND(COUNTIF(G:G,B65)&gt;1,COUNTA(A65)&gt;0),Relay!$E$5,Relay!$E$4)))</f>
        <v>#N/A</v>
      </c>
      <c r="I65" s="8">
        <f t="shared" si="1"/>
        <v>0</v>
      </c>
      <c r="J65" s="35"/>
      <c r="K65" s="35"/>
      <c r="L65" s="35"/>
      <c r="M65" s="35"/>
      <c r="N65" s="32" t="e">
        <f>IF(H65=Dec!$E$2,"N",IF(AND(COUNTIF(B:B,B65)=1,D65&gt;14),"Y","N"))</f>
        <v>#N/A</v>
      </c>
      <c r="O65" s="55" t="str">
        <f>IF(COUNT(Dec[[#This Row],[Date]])&gt;0,IF(Dec[[#This Row],[Date]]&gt;14,"Yes","No"),"N/A")</f>
        <v>N/A</v>
      </c>
      <c r="P65" s="55"/>
      <c r="Q65" s="5">
        <f>Relay!A64</f>
        <v>0</v>
      </c>
      <c r="R65" s="5">
        <f>Relay!B64</f>
        <v>63</v>
      </c>
      <c r="S65" s="8">
        <f>IF(Dec[After the 14th?]="No",SUMIF(Dec[SysID],R65,Dec[Pay Amount]),0)+IF(Nov[After the 14th?]="Yes",SUMIF(Nov[SysID],R65,Nov[Pay Amount]),0)</f>
        <v>0</v>
      </c>
      <c r="T65" s="8"/>
      <c r="U65" s="5" t="str">
        <f t="shared" si="2"/>
        <v>N</v>
      </c>
      <c r="X65" s="56"/>
      <c r="Y65" s="56"/>
      <c r="Z65" s="56"/>
      <c r="AA65" s="56"/>
      <c r="AC65" s="56"/>
    </row>
    <row r="66" spans="1:29" x14ac:dyDescent="0.25">
      <c r="A66" s="35"/>
      <c r="B66" s="32" t="e">
        <f>VLOOKUP(A66,Relay!$A$1:$B$50,2,FALSE)</f>
        <v>#N/A</v>
      </c>
      <c r="C66" s="32" t="e">
        <f>VLOOKUP(A66,Relay!$A$2:$C$101,3,FALSE)</f>
        <v>#N/A</v>
      </c>
      <c r="D66" s="39"/>
      <c r="E66" s="35"/>
      <c r="F66" s="58" t="str">
        <f t="shared" si="0"/>
        <v>INS</v>
      </c>
      <c r="G66" s="32" t="e">
        <f>IF(OR(E66="Jeopardy",E66="APP Moonlighting",E66="Differential Pay"),"",Dec[[#This Row],[SysID]])</f>
        <v>#N/A</v>
      </c>
      <c r="H66" s="32" t="e">
        <f>IF(E66="Jeopardy",IF(C66="MD",Relay!$E$7,Relay!$E$8),IF(C66="MD",IF(COUNTIF(G:G,B66)&gt;1,Relay!$E$2,Relay!$E$1),IF(AND(COUNTIF(G:G,B66)&gt;1,COUNTA(A66)&gt;0),Relay!$E$5,Relay!$E$4)))</f>
        <v>#N/A</v>
      </c>
      <c r="I66" s="8">
        <f t="shared" si="1"/>
        <v>0</v>
      </c>
      <c r="J66" s="35"/>
      <c r="K66" s="35"/>
      <c r="L66" s="35"/>
      <c r="M66" s="35"/>
      <c r="N66" s="32" t="e">
        <f>IF(H66=Dec!$E$2,"N",IF(AND(COUNTIF(B:B,B66)=1,D66&gt;14),"Y","N"))</f>
        <v>#N/A</v>
      </c>
      <c r="O66" s="55" t="str">
        <f>IF(COUNT(Dec[[#This Row],[Date]])&gt;0,IF(Dec[[#This Row],[Date]]&gt;14,"Yes","No"),"N/A")</f>
        <v>N/A</v>
      </c>
      <c r="P66" s="55"/>
      <c r="Q66" s="5">
        <f>Relay!A65</f>
        <v>0</v>
      </c>
      <c r="R66" s="5">
        <f>Relay!B65</f>
        <v>64</v>
      </c>
      <c r="S66" s="8">
        <f>IF(Dec[After the 14th?]="No",SUMIF(Dec[SysID],R66,Dec[Pay Amount]),0)+IF(Nov[After the 14th?]="Yes",SUMIF(Nov[SysID],R66,Nov[Pay Amount]),0)</f>
        <v>0</v>
      </c>
      <c r="T66" s="8"/>
      <c r="U66" s="5" t="str">
        <f t="shared" si="2"/>
        <v>N</v>
      </c>
      <c r="X66" s="56"/>
      <c r="Y66" s="56"/>
      <c r="Z66" s="56"/>
      <c r="AA66" s="56"/>
      <c r="AC66" s="56"/>
    </row>
    <row r="67" spans="1:29" x14ac:dyDescent="0.25">
      <c r="A67" s="35"/>
      <c r="B67" s="32" t="e">
        <f>VLOOKUP(A67,Relay!$A$1:$B$50,2,FALSE)</f>
        <v>#N/A</v>
      </c>
      <c r="C67" s="32" t="e">
        <f>VLOOKUP(A67,Relay!$A$2:$C$101,3,FALSE)</f>
        <v>#N/A</v>
      </c>
      <c r="D67" s="39"/>
      <c r="E67" s="35"/>
      <c r="F67" s="58" t="str">
        <f t="shared" ref="F67:F103" si="3">IF(E67="Moonlighting", 12, "INS")</f>
        <v>INS</v>
      </c>
      <c r="G67" s="32" t="e">
        <f>IF(OR(E67="Jeopardy",E67="APP Moonlighting",E67="Differential Pay"),"",Dec[[#This Row],[SysID]])</f>
        <v>#N/A</v>
      </c>
      <c r="H67" s="32" t="e">
        <f>IF(E67="Jeopardy",IF(C67="MD",Relay!$E$7,Relay!$E$8),IF(C67="MD",IF(COUNTIF(G:G,B67)&gt;1,Relay!$E$2,Relay!$E$1),IF(AND(COUNTIF(G:G,B67)&gt;1,COUNTA(A67)&gt;0),Relay!$E$5,Relay!$E$4)))</f>
        <v>#N/A</v>
      </c>
      <c r="I67" s="8">
        <f t="shared" ref="I67:I103" si="4">IF(COUNTA(A67)&gt;0,H67*F67,0)</f>
        <v>0</v>
      </c>
      <c r="J67" s="35"/>
      <c r="K67" s="35"/>
      <c r="L67" s="35"/>
      <c r="M67" s="35"/>
      <c r="N67" s="32" t="e">
        <f>IF(H67=Dec!$E$2,"N",IF(AND(COUNTIF(B:B,B67)=1,D67&gt;14),"Y","N"))</f>
        <v>#N/A</v>
      </c>
      <c r="O67" s="55" t="str">
        <f>IF(COUNT(Dec[[#This Row],[Date]])&gt;0,IF(Dec[[#This Row],[Date]]&gt;14,"Yes","No"),"N/A")</f>
        <v>N/A</v>
      </c>
      <c r="P67" s="55"/>
      <c r="Q67" s="5">
        <f>Relay!A66</f>
        <v>0</v>
      </c>
      <c r="R67" s="5">
        <f>Relay!B66</f>
        <v>65</v>
      </c>
      <c r="S67" s="8">
        <f>IF(Dec[After the 14th?]="No",SUMIF(Dec[SysID],R67,Dec[Pay Amount]),0)+IF(Nov[After the 14th?]="Yes",SUMIF(Nov[SysID],R67,Nov[Pay Amount]),0)</f>
        <v>0</v>
      </c>
      <c r="T67" s="8"/>
      <c r="U67" s="5" t="str">
        <f t="shared" ref="U67:U103" si="5">IF(S67=T67,"N","Y")</f>
        <v>N</v>
      </c>
      <c r="X67" s="56"/>
      <c r="Y67" s="56"/>
      <c r="Z67" s="56"/>
      <c r="AA67" s="56"/>
      <c r="AC67" s="56"/>
    </row>
    <row r="68" spans="1:29" x14ac:dyDescent="0.25">
      <c r="A68" s="35"/>
      <c r="B68" s="32" t="e">
        <f>VLOOKUP(A68,Relay!$A$1:$B$50,2,FALSE)</f>
        <v>#N/A</v>
      </c>
      <c r="C68" s="32" t="e">
        <f>VLOOKUP(A68,Relay!$A$2:$C$101,3,FALSE)</f>
        <v>#N/A</v>
      </c>
      <c r="D68" s="39"/>
      <c r="E68" s="35"/>
      <c r="F68" s="58" t="str">
        <f t="shared" si="3"/>
        <v>INS</v>
      </c>
      <c r="G68" s="32" t="e">
        <f>IF(OR(E68="Jeopardy",E68="APP Moonlighting",E68="Differential Pay"),"",Dec[[#This Row],[SysID]])</f>
        <v>#N/A</v>
      </c>
      <c r="H68" s="32" t="e">
        <f>IF(E68="Jeopardy",IF(C68="MD",Relay!$E$7,Relay!$E$8),IF(C68="MD",IF(COUNTIF(G:G,B68)&gt;1,Relay!$E$2,Relay!$E$1),IF(AND(COUNTIF(G:G,B68)&gt;1,COUNTA(A68)&gt;0),Relay!$E$5,Relay!$E$4)))</f>
        <v>#N/A</v>
      </c>
      <c r="I68" s="8">
        <f t="shared" si="4"/>
        <v>0</v>
      </c>
      <c r="J68" s="35"/>
      <c r="K68" s="35"/>
      <c r="L68" s="35"/>
      <c r="M68" s="35"/>
      <c r="N68" s="32" t="e">
        <f>IF(H68=Dec!$E$2,"N",IF(AND(COUNTIF(B:B,B68)=1,D68&gt;14),"Y","N"))</f>
        <v>#N/A</v>
      </c>
      <c r="O68" s="55" t="str">
        <f>IF(COUNT(Dec[[#This Row],[Date]])&gt;0,IF(Dec[[#This Row],[Date]]&gt;14,"Yes","No"),"N/A")</f>
        <v>N/A</v>
      </c>
      <c r="P68" s="55"/>
      <c r="Q68" s="5">
        <f>Relay!A67</f>
        <v>0</v>
      </c>
      <c r="R68" s="5">
        <f>Relay!B67</f>
        <v>66</v>
      </c>
      <c r="S68" s="8">
        <f>IF(Dec[After the 14th?]="No",SUMIF(Dec[SysID],R68,Dec[Pay Amount]),0)+IF(Nov[After the 14th?]="Yes",SUMIF(Nov[SysID],R68,Nov[Pay Amount]),0)</f>
        <v>0</v>
      </c>
      <c r="T68" s="8"/>
      <c r="U68" s="5" t="str">
        <f t="shared" si="5"/>
        <v>N</v>
      </c>
      <c r="X68" s="56"/>
      <c r="Y68" s="56"/>
      <c r="Z68" s="56"/>
      <c r="AA68" s="56"/>
      <c r="AC68" s="56"/>
    </row>
    <row r="69" spans="1:29" x14ac:dyDescent="0.25">
      <c r="A69" s="35"/>
      <c r="B69" s="32" t="e">
        <f>VLOOKUP(A69,Relay!$A$1:$B$50,2,FALSE)</f>
        <v>#N/A</v>
      </c>
      <c r="C69" s="32" t="e">
        <f>VLOOKUP(A69,Relay!$A$2:$C$101,3,FALSE)</f>
        <v>#N/A</v>
      </c>
      <c r="D69" s="39"/>
      <c r="E69" s="35"/>
      <c r="F69" s="58" t="str">
        <f t="shared" si="3"/>
        <v>INS</v>
      </c>
      <c r="G69" s="32" t="e">
        <f>IF(OR(E69="Jeopardy",E69="APP Moonlighting",E69="Differential Pay"),"",Dec[[#This Row],[SysID]])</f>
        <v>#N/A</v>
      </c>
      <c r="H69" s="32" t="e">
        <f>IF(E69="Jeopardy",IF(C69="MD",Relay!$E$7,Relay!$E$8),IF(C69="MD",IF(COUNTIF(G:G,B69)&gt;1,Relay!$E$2,Relay!$E$1),IF(AND(COUNTIF(G:G,B69)&gt;1,COUNTA(A69)&gt;0),Relay!$E$5,Relay!$E$4)))</f>
        <v>#N/A</v>
      </c>
      <c r="I69" s="8">
        <f t="shared" si="4"/>
        <v>0</v>
      </c>
      <c r="J69" s="35"/>
      <c r="K69" s="35"/>
      <c r="L69" s="35"/>
      <c r="M69" s="35"/>
      <c r="N69" s="32" t="e">
        <f>IF(H69=Dec!$E$2,"N",IF(AND(COUNTIF(B:B,B69)=1,D69&gt;14),"Y","N"))</f>
        <v>#N/A</v>
      </c>
      <c r="O69" s="55" t="str">
        <f>IF(COUNT(Dec[[#This Row],[Date]])&gt;0,IF(Dec[[#This Row],[Date]]&gt;14,"Yes","No"),"N/A")</f>
        <v>N/A</v>
      </c>
      <c r="P69" s="55"/>
      <c r="Q69" s="5">
        <f>Relay!A68</f>
        <v>0</v>
      </c>
      <c r="R69" s="5">
        <f>Relay!B68</f>
        <v>67</v>
      </c>
      <c r="S69" s="8">
        <f>IF(Dec[After the 14th?]="No",SUMIF(Dec[SysID],R69,Dec[Pay Amount]),0)+IF(Nov[After the 14th?]="Yes",SUMIF(Nov[SysID],R69,Nov[Pay Amount]),0)</f>
        <v>0</v>
      </c>
      <c r="T69" s="8"/>
      <c r="U69" s="5" t="str">
        <f t="shared" si="5"/>
        <v>N</v>
      </c>
      <c r="X69" s="56"/>
      <c r="Y69" s="56"/>
      <c r="Z69" s="56"/>
      <c r="AA69" s="56"/>
      <c r="AC69" s="56"/>
    </row>
    <row r="70" spans="1:29" x14ac:dyDescent="0.25">
      <c r="A70" s="35"/>
      <c r="B70" s="32" t="e">
        <f>VLOOKUP(A70,Relay!$A$1:$B$50,2,FALSE)</f>
        <v>#N/A</v>
      </c>
      <c r="C70" s="32" t="e">
        <f>VLOOKUP(A70,Relay!$A$2:$C$101,3,FALSE)</f>
        <v>#N/A</v>
      </c>
      <c r="D70" s="39"/>
      <c r="E70" s="35"/>
      <c r="F70" s="58" t="str">
        <f t="shared" si="3"/>
        <v>INS</v>
      </c>
      <c r="G70" s="32" t="e">
        <f>IF(OR(E70="Jeopardy",E70="APP Moonlighting",E70="Differential Pay"),"",Dec[[#This Row],[SysID]])</f>
        <v>#N/A</v>
      </c>
      <c r="H70" s="32" t="e">
        <f>IF(E70="Jeopardy",IF(C70="MD",Relay!$E$7,Relay!$E$8),IF(C70="MD",IF(COUNTIF(G:G,B70)&gt;1,Relay!$E$2,Relay!$E$1),IF(AND(COUNTIF(G:G,B70)&gt;1,COUNTA(A70)&gt;0),Relay!$E$5,Relay!$E$4)))</f>
        <v>#N/A</v>
      </c>
      <c r="I70" s="8">
        <f t="shared" si="4"/>
        <v>0</v>
      </c>
      <c r="J70" s="35"/>
      <c r="K70" s="35"/>
      <c r="L70" s="35"/>
      <c r="M70" s="35"/>
      <c r="N70" s="32" t="e">
        <f>IF(H70=Dec!$E$2,"N",IF(AND(COUNTIF(B:B,B70)=1,D70&gt;14),"Y","N"))</f>
        <v>#N/A</v>
      </c>
      <c r="O70" s="55" t="str">
        <f>IF(COUNT(Dec[[#This Row],[Date]])&gt;0,IF(Dec[[#This Row],[Date]]&gt;14,"Yes","No"),"N/A")</f>
        <v>N/A</v>
      </c>
      <c r="P70" s="55"/>
      <c r="Q70" s="5">
        <f>Relay!A69</f>
        <v>0</v>
      </c>
      <c r="R70" s="5">
        <f>Relay!B69</f>
        <v>68</v>
      </c>
      <c r="S70" s="8">
        <f>IF(Dec[After the 14th?]="No",SUMIF(Dec[SysID],R70,Dec[Pay Amount]),0)+IF(Nov[After the 14th?]="Yes",SUMIF(Nov[SysID],R70,Nov[Pay Amount]),0)</f>
        <v>0</v>
      </c>
      <c r="T70" s="8"/>
      <c r="U70" s="5" t="str">
        <f t="shared" si="5"/>
        <v>N</v>
      </c>
      <c r="X70" s="56"/>
      <c r="Y70" s="56"/>
      <c r="Z70" s="56"/>
      <c r="AA70" s="56"/>
      <c r="AC70" s="56"/>
    </row>
    <row r="71" spans="1:29" x14ac:dyDescent="0.25">
      <c r="A71" s="35"/>
      <c r="B71" s="32" t="e">
        <f>VLOOKUP(A71,Relay!$A$1:$B$50,2,FALSE)</f>
        <v>#N/A</v>
      </c>
      <c r="C71" s="32" t="e">
        <f>VLOOKUP(A71,Relay!$A$2:$C$101,3,FALSE)</f>
        <v>#N/A</v>
      </c>
      <c r="D71" s="39"/>
      <c r="E71" s="35"/>
      <c r="F71" s="58" t="str">
        <f t="shared" si="3"/>
        <v>INS</v>
      </c>
      <c r="G71" s="32" t="e">
        <f>IF(OR(E71="Jeopardy",E71="APP Moonlighting",E71="Differential Pay"),"",Dec[[#This Row],[SysID]])</f>
        <v>#N/A</v>
      </c>
      <c r="H71" s="32" t="e">
        <f>IF(E71="Jeopardy",IF(C71="MD",Relay!$E$7,Relay!$E$8),IF(C71="MD",IF(COUNTIF(G:G,B71)&gt;1,Relay!$E$2,Relay!$E$1),IF(AND(COUNTIF(G:G,B71)&gt;1,COUNTA(A71)&gt;0),Relay!$E$5,Relay!$E$4)))</f>
        <v>#N/A</v>
      </c>
      <c r="I71" s="8">
        <f t="shared" si="4"/>
        <v>0</v>
      </c>
      <c r="J71" s="35"/>
      <c r="K71" s="35"/>
      <c r="L71" s="35"/>
      <c r="M71" s="35"/>
      <c r="N71" s="32" t="e">
        <f>IF(H71=Dec!$E$2,"N",IF(AND(COUNTIF(B:B,B71)=1,D71&gt;14),"Y","N"))</f>
        <v>#N/A</v>
      </c>
      <c r="O71" s="55" t="str">
        <f>IF(COUNT(Dec[[#This Row],[Date]])&gt;0,IF(Dec[[#This Row],[Date]]&gt;14,"Yes","No"),"N/A")</f>
        <v>N/A</v>
      </c>
      <c r="P71" s="55"/>
      <c r="Q71" s="5">
        <f>Relay!A70</f>
        <v>0</v>
      </c>
      <c r="R71" s="5">
        <f>Relay!B70</f>
        <v>69</v>
      </c>
      <c r="S71" s="8">
        <f>IF(Dec[After the 14th?]="No",SUMIF(Dec[SysID],R71,Dec[Pay Amount]),0)+IF(Nov[After the 14th?]="Yes",SUMIF(Nov[SysID],R71,Nov[Pay Amount]),0)</f>
        <v>0</v>
      </c>
      <c r="T71" s="8"/>
      <c r="U71" s="5" t="str">
        <f t="shared" si="5"/>
        <v>N</v>
      </c>
      <c r="X71" s="56"/>
      <c r="Y71" s="56"/>
      <c r="Z71" s="56"/>
      <c r="AA71" s="56"/>
      <c r="AC71" s="56"/>
    </row>
    <row r="72" spans="1:29" x14ac:dyDescent="0.25">
      <c r="A72" s="35"/>
      <c r="B72" s="32" t="e">
        <f>VLOOKUP(A72,Relay!$A$1:$B$50,2,FALSE)</f>
        <v>#N/A</v>
      </c>
      <c r="C72" s="32" t="e">
        <f>VLOOKUP(A72,Relay!$A$2:$C$101,3,FALSE)</f>
        <v>#N/A</v>
      </c>
      <c r="D72" s="39"/>
      <c r="E72" s="35"/>
      <c r="F72" s="58" t="str">
        <f t="shared" si="3"/>
        <v>INS</v>
      </c>
      <c r="G72" s="32" t="e">
        <f>IF(OR(E72="Jeopardy",E72="APP Moonlighting",E72="Differential Pay"),"",Dec[[#This Row],[SysID]])</f>
        <v>#N/A</v>
      </c>
      <c r="H72" s="32" t="e">
        <f>IF(E72="Jeopardy",IF(C72="MD",Relay!$E$7,Relay!$E$8),IF(C72="MD",IF(COUNTIF(G:G,B72)&gt;1,Relay!$E$2,Relay!$E$1),IF(AND(COUNTIF(G:G,B72)&gt;1,COUNTA(A72)&gt;0),Relay!$E$5,Relay!$E$4)))</f>
        <v>#N/A</v>
      </c>
      <c r="I72" s="8">
        <f t="shared" si="4"/>
        <v>0</v>
      </c>
      <c r="J72" s="35"/>
      <c r="K72" s="35"/>
      <c r="L72" s="35"/>
      <c r="M72" s="35"/>
      <c r="N72" s="32" t="e">
        <f>IF(H72=Dec!$E$2,"N",IF(AND(COUNTIF(B:B,B72)=1,D72&gt;14),"Y","N"))</f>
        <v>#N/A</v>
      </c>
      <c r="O72" s="55" t="str">
        <f>IF(COUNT(Dec[[#This Row],[Date]])&gt;0,IF(Dec[[#This Row],[Date]]&gt;14,"Yes","No"),"N/A")</f>
        <v>N/A</v>
      </c>
      <c r="P72" s="55"/>
      <c r="Q72" s="5">
        <f>Relay!A71</f>
        <v>0</v>
      </c>
      <c r="R72" s="5">
        <f>Relay!B71</f>
        <v>70</v>
      </c>
      <c r="S72" s="8">
        <f>IF(Dec[After the 14th?]="No",SUMIF(Dec[SysID],R72,Dec[Pay Amount]),0)+IF(Nov[After the 14th?]="Yes",SUMIF(Nov[SysID],R72,Nov[Pay Amount]),0)</f>
        <v>0</v>
      </c>
      <c r="T72" s="8"/>
      <c r="U72" s="5" t="str">
        <f t="shared" si="5"/>
        <v>N</v>
      </c>
      <c r="X72" s="56"/>
      <c r="Y72" s="56"/>
      <c r="Z72" s="56"/>
      <c r="AA72" s="56"/>
      <c r="AC72" s="56"/>
    </row>
    <row r="73" spans="1:29" x14ac:dyDescent="0.25">
      <c r="A73" s="35"/>
      <c r="B73" s="32" t="e">
        <f>VLOOKUP(A73,Relay!$A$1:$B$50,2,FALSE)</f>
        <v>#N/A</v>
      </c>
      <c r="C73" s="32" t="e">
        <f>VLOOKUP(A73,Relay!$A$2:$C$101,3,FALSE)</f>
        <v>#N/A</v>
      </c>
      <c r="D73" s="39"/>
      <c r="E73" s="35"/>
      <c r="F73" s="58" t="str">
        <f t="shared" si="3"/>
        <v>INS</v>
      </c>
      <c r="G73" s="32" t="e">
        <f>IF(OR(E73="Jeopardy",E73="APP Moonlighting",E73="Differential Pay"),"",Dec[[#This Row],[SysID]])</f>
        <v>#N/A</v>
      </c>
      <c r="H73" s="32" t="e">
        <f>IF(E73="Jeopardy",IF(C73="MD",Relay!$E$7,Relay!$E$8),IF(C73="MD",IF(COUNTIF(G:G,B73)&gt;1,Relay!$E$2,Relay!$E$1),IF(AND(COUNTIF(G:G,B73)&gt;1,COUNTA(A73)&gt;0),Relay!$E$5,Relay!$E$4)))</f>
        <v>#N/A</v>
      </c>
      <c r="I73" s="8">
        <f t="shared" si="4"/>
        <v>0</v>
      </c>
      <c r="J73" s="35"/>
      <c r="K73" s="35"/>
      <c r="L73" s="35"/>
      <c r="M73" s="35"/>
      <c r="N73" s="32" t="e">
        <f>IF(H73=Dec!$E$2,"N",IF(AND(COUNTIF(B:B,B73)=1,D73&gt;14),"Y","N"))</f>
        <v>#N/A</v>
      </c>
      <c r="O73" s="55" t="str">
        <f>IF(COUNT(Dec[[#This Row],[Date]])&gt;0,IF(Dec[[#This Row],[Date]]&gt;14,"Yes","No"),"N/A")</f>
        <v>N/A</v>
      </c>
      <c r="P73" s="55"/>
      <c r="Q73" s="5">
        <f>Relay!A72</f>
        <v>0</v>
      </c>
      <c r="R73" s="5">
        <f>Relay!B72</f>
        <v>71</v>
      </c>
      <c r="S73" s="8">
        <f>IF(Dec[After the 14th?]="No",SUMIF(Dec[SysID],R73,Dec[Pay Amount]),0)+IF(Nov[After the 14th?]="Yes",SUMIF(Nov[SysID],R73,Nov[Pay Amount]),0)</f>
        <v>0</v>
      </c>
      <c r="T73" s="8"/>
      <c r="U73" s="5" t="str">
        <f t="shared" si="5"/>
        <v>N</v>
      </c>
      <c r="X73" s="56"/>
      <c r="Y73" s="56"/>
      <c r="Z73" s="56"/>
      <c r="AA73" s="56"/>
      <c r="AC73" s="56"/>
    </row>
    <row r="74" spans="1:29" x14ac:dyDescent="0.25">
      <c r="A74" s="35"/>
      <c r="B74" s="32" t="e">
        <f>VLOOKUP(A74,Relay!$A$1:$B$50,2,FALSE)</f>
        <v>#N/A</v>
      </c>
      <c r="C74" s="32" t="e">
        <f>VLOOKUP(A74,Relay!$A$2:$C$101,3,FALSE)</f>
        <v>#N/A</v>
      </c>
      <c r="D74" s="39"/>
      <c r="E74" s="35"/>
      <c r="F74" s="58" t="str">
        <f t="shared" si="3"/>
        <v>INS</v>
      </c>
      <c r="G74" s="32" t="e">
        <f>IF(OR(E74="Jeopardy",E74="APP Moonlighting",E74="Differential Pay"),"",Dec[[#This Row],[SysID]])</f>
        <v>#N/A</v>
      </c>
      <c r="H74" s="32" t="e">
        <f>IF(E74="Jeopardy",IF(C74="MD",Relay!$E$7,Relay!$E$8),IF(C74="MD",IF(COUNTIF(G:G,B74)&gt;1,Relay!$E$2,Relay!$E$1),IF(AND(COUNTIF(G:G,B74)&gt;1,COUNTA(A74)&gt;0),Relay!$E$5,Relay!$E$4)))</f>
        <v>#N/A</v>
      </c>
      <c r="I74" s="8">
        <f t="shared" si="4"/>
        <v>0</v>
      </c>
      <c r="J74" s="35"/>
      <c r="K74" s="35"/>
      <c r="L74" s="35"/>
      <c r="M74" s="35"/>
      <c r="N74" s="32" t="e">
        <f>IF(H74=Dec!$E$2,"N",IF(AND(COUNTIF(B:B,B74)=1,D74&gt;14),"Y","N"))</f>
        <v>#N/A</v>
      </c>
      <c r="O74" s="55" t="str">
        <f>IF(COUNT(Dec[[#This Row],[Date]])&gt;0,IF(Dec[[#This Row],[Date]]&gt;14,"Yes","No"),"N/A")</f>
        <v>N/A</v>
      </c>
      <c r="P74" s="55"/>
      <c r="Q74" s="5">
        <f>Relay!A73</f>
        <v>0</v>
      </c>
      <c r="R74" s="5">
        <f>Relay!B73</f>
        <v>72</v>
      </c>
      <c r="S74" s="8">
        <f>IF(Dec[After the 14th?]="No",SUMIF(Dec[SysID],R74,Dec[Pay Amount]),0)+IF(Nov[After the 14th?]="Yes",SUMIF(Nov[SysID],R74,Nov[Pay Amount]),0)</f>
        <v>0</v>
      </c>
      <c r="T74" s="8"/>
      <c r="U74" s="5" t="str">
        <f t="shared" si="5"/>
        <v>N</v>
      </c>
      <c r="X74" s="56"/>
      <c r="Y74" s="56"/>
      <c r="Z74" s="56"/>
      <c r="AA74" s="56"/>
      <c r="AC74" s="56"/>
    </row>
    <row r="75" spans="1:29" x14ac:dyDescent="0.25">
      <c r="A75" s="35"/>
      <c r="B75" s="32" t="e">
        <f>VLOOKUP(A75,Relay!$A$1:$B$50,2,FALSE)</f>
        <v>#N/A</v>
      </c>
      <c r="C75" s="32" t="e">
        <f>VLOOKUP(A75,Relay!$A$2:$C$101,3,FALSE)</f>
        <v>#N/A</v>
      </c>
      <c r="D75" s="39"/>
      <c r="E75" s="35"/>
      <c r="F75" s="58" t="str">
        <f t="shared" si="3"/>
        <v>INS</v>
      </c>
      <c r="G75" s="32" t="e">
        <f>IF(OR(E75="Jeopardy",E75="APP Moonlighting",E75="Differential Pay"),"",Dec[[#This Row],[SysID]])</f>
        <v>#N/A</v>
      </c>
      <c r="H75" s="32" t="e">
        <f>IF(E75="Jeopardy",IF(C75="MD",Relay!$E$7,Relay!$E$8),IF(C75="MD",IF(COUNTIF(G:G,B75)&gt;1,Relay!$E$2,Relay!$E$1),IF(AND(COUNTIF(G:G,B75)&gt;1,COUNTA(A75)&gt;0),Relay!$E$5,Relay!$E$4)))</f>
        <v>#N/A</v>
      </c>
      <c r="I75" s="8">
        <f t="shared" si="4"/>
        <v>0</v>
      </c>
      <c r="J75" s="35"/>
      <c r="K75" s="35"/>
      <c r="L75" s="35"/>
      <c r="M75" s="35"/>
      <c r="N75" s="32" t="e">
        <f>IF(H75=Dec!$E$2,"N",IF(AND(COUNTIF(B:B,B75)=1,D75&gt;14),"Y","N"))</f>
        <v>#N/A</v>
      </c>
      <c r="O75" s="55" t="str">
        <f>IF(COUNT(Dec[[#This Row],[Date]])&gt;0,IF(Dec[[#This Row],[Date]]&gt;14,"Yes","No"),"N/A")</f>
        <v>N/A</v>
      </c>
      <c r="P75" s="55"/>
      <c r="Q75" s="5">
        <f>Relay!A74</f>
        <v>0</v>
      </c>
      <c r="R75" s="5">
        <f>Relay!B74</f>
        <v>73</v>
      </c>
      <c r="S75" s="8">
        <f>IF(Dec[After the 14th?]="No",SUMIF(Dec[SysID],R75,Dec[Pay Amount]),0)+IF(Nov[After the 14th?]="Yes",SUMIF(Nov[SysID],R75,Nov[Pay Amount]),0)</f>
        <v>0</v>
      </c>
      <c r="T75" s="8"/>
      <c r="U75" s="5" t="str">
        <f t="shared" si="5"/>
        <v>N</v>
      </c>
      <c r="X75" s="56"/>
      <c r="Y75" s="56"/>
      <c r="Z75" s="56"/>
      <c r="AA75" s="56"/>
      <c r="AC75" s="56"/>
    </row>
    <row r="76" spans="1:29" x14ac:dyDescent="0.25">
      <c r="A76" s="35"/>
      <c r="B76" s="32" t="e">
        <f>VLOOKUP(A76,Relay!$A$1:$B$50,2,FALSE)</f>
        <v>#N/A</v>
      </c>
      <c r="C76" s="32" t="e">
        <f>VLOOKUP(A76,Relay!$A$2:$C$101,3,FALSE)</f>
        <v>#N/A</v>
      </c>
      <c r="D76" s="39"/>
      <c r="E76" s="35"/>
      <c r="F76" s="58" t="str">
        <f t="shared" si="3"/>
        <v>INS</v>
      </c>
      <c r="G76" s="32" t="e">
        <f>IF(OR(E76="Jeopardy",E76="APP Moonlighting",E76="Differential Pay"),"",Dec[[#This Row],[SysID]])</f>
        <v>#N/A</v>
      </c>
      <c r="H76" s="32" t="e">
        <f>IF(E76="Jeopardy",IF(C76="MD",Relay!$E$7,Relay!$E$8),IF(C76="MD",IF(COUNTIF(G:G,B76)&gt;1,Relay!$E$2,Relay!$E$1),IF(AND(COUNTIF(G:G,B76)&gt;1,COUNTA(A76)&gt;0),Relay!$E$5,Relay!$E$4)))</f>
        <v>#N/A</v>
      </c>
      <c r="I76" s="8">
        <f t="shared" si="4"/>
        <v>0</v>
      </c>
      <c r="J76" s="35"/>
      <c r="K76" s="35"/>
      <c r="L76" s="35"/>
      <c r="M76" s="35"/>
      <c r="N76" s="32" t="e">
        <f>IF(H76=Dec!$E$2,"N",IF(AND(COUNTIF(B:B,B76)=1,D76&gt;14),"Y","N"))</f>
        <v>#N/A</v>
      </c>
      <c r="O76" s="55" t="str">
        <f>IF(COUNT(Dec[[#This Row],[Date]])&gt;0,IF(Dec[[#This Row],[Date]]&gt;14,"Yes","No"),"N/A")</f>
        <v>N/A</v>
      </c>
      <c r="P76" s="55"/>
      <c r="Q76" s="5">
        <f>Relay!A75</f>
        <v>0</v>
      </c>
      <c r="R76" s="5">
        <f>Relay!B75</f>
        <v>74</v>
      </c>
      <c r="S76" s="8">
        <f>IF(Dec[After the 14th?]="No",SUMIF(Dec[SysID],R76,Dec[Pay Amount]),0)+IF(Nov[After the 14th?]="Yes",SUMIF(Nov[SysID],R76,Nov[Pay Amount]),0)</f>
        <v>0</v>
      </c>
      <c r="T76" s="8"/>
      <c r="U76" s="5" t="str">
        <f t="shared" si="5"/>
        <v>N</v>
      </c>
      <c r="X76" s="56"/>
      <c r="Y76" s="56"/>
      <c r="Z76" s="56"/>
      <c r="AA76" s="56"/>
      <c r="AC76" s="56"/>
    </row>
    <row r="77" spans="1:29" x14ac:dyDescent="0.25">
      <c r="A77" s="35"/>
      <c r="B77" s="32" t="e">
        <f>VLOOKUP(A77,Relay!$A$1:$B$50,2,FALSE)</f>
        <v>#N/A</v>
      </c>
      <c r="C77" s="32" t="e">
        <f>VLOOKUP(A77,Relay!$A$2:$C$101,3,FALSE)</f>
        <v>#N/A</v>
      </c>
      <c r="D77" s="39"/>
      <c r="E77" s="35"/>
      <c r="F77" s="58" t="str">
        <f t="shared" si="3"/>
        <v>INS</v>
      </c>
      <c r="G77" s="32" t="e">
        <f>IF(OR(E77="Jeopardy",E77="APP Moonlighting",E77="Differential Pay"),"",Dec[[#This Row],[SysID]])</f>
        <v>#N/A</v>
      </c>
      <c r="H77" s="32" t="e">
        <f>IF(E77="Jeopardy",IF(C77="MD",Relay!$E$7,Relay!$E$8),IF(C77="MD",IF(COUNTIF(G:G,B77)&gt;1,Relay!$E$2,Relay!$E$1),IF(AND(COUNTIF(G:G,B77)&gt;1,COUNTA(A77)&gt;0),Relay!$E$5,Relay!$E$4)))</f>
        <v>#N/A</v>
      </c>
      <c r="I77" s="8">
        <f t="shared" si="4"/>
        <v>0</v>
      </c>
      <c r="J77" s="35"/>
      <c r="K77" s="35"/>
      <c r="L77" s="35"/>
      <c r="M77" s="35"/>
      <c r="N77" s="32" t="e">
        <f>IF(H77=Dec!$E$2,"N",IF(AND(COUNTIF(B:B,B77)=1,D77&gt;14),"Y","N"))</f>
        <v>#N/A</v>
      </c>
      <c r="O77" s="55" t="str">
        <f>IF(COUNT(Dec[[#This Row],[Date]])&gt;0,IF(Dec[[#This Row],[Date]]&gt;14,"Yes","No"),"N/A")</f>
        <v>N/A</v>
      </c>
      <c r="P77" s="55"/>
      <c r="Q77" s="5">
        <f>Relay!A76</f>
        <v>0</v>
      </c>
      <c r="R77" s="5">
        <f>Relay!B76</f>
        <v>75</v>
      </c>
      <c r="S77" s="8">
        <f>IF(Dec[After the 14th?]="No",SUMIF(Dec[SysID],R77,Dec[Pay Amount]),0)+IF(Nov[After the 14th?]="Yes",SUMIF(Nov[SysID],R77,Nov[Pay Amount]),0)</f>
        <v>0</v>
      </c>
      <c r="T77" s="8"/>
      <c r="U77" s="5" t="str">
        <f t="shared" si="5"/>
        <v>N</v>
      </c>
      <c r="X77" s="56"/>
      <c r="Y77" s="56"/>
      <c r="Z77" s="56"/>
      <c r="AA77" s="56"/>
      <c r="AC77" s="56"/>
    </row>
    <row r="78" spans="1:29" x14ac:dyDescent="0.25">
      <c r="A78" s="35"/>
      <c r="B78" s="32" t="e">
        <f>VLOOKUP(A78,Relay!$A$1:$B$50,2,FALSE)</f>
        <v>#N/A</v>
      </c>
      <c r="C78" s="32" t="e">
        <f>VLOOKUP(A78,Relay!$A$2:$C$101,3,FALSE)</f>
        <v>#N/A</v>
      </c>
      <c r="D78" s="39"/>
      <c r="E78" s="35"/>
      <c r="F78" s="58" t="str">
        <f t="shared" si="3"/>
        <v>INS</v>
      </c>
      <c r="G78" s="32" t="e">
        <f>IF(OR(E78="Jeopardy",E78="APP Moonlighting",E78="Differential Pay"),"",Dec[[#This Row],[SysID]])</f>
        <v>#N/A</v>
      </c>
      <c r="H78" s="32" t="e">
        <f>IF(E78="Jeopardy",IF(C78="MD",Relay!$E$7,Relay!$E$8),IF(C78="MD",IF(COUNTIF(G:G,B78)&gt;1,Relay!$E$2,Relay!$E$1),IF(AND(COUNTIF(G:G,B78)&gt;1,COUNTA(A78)&gt;0),Relay!$E$5,Relay!$E$4)))</f>
        <v>#N/A</v>
      </c>
      <c r="I78" s="8">
        <f t="shared" si="4"/>
        <v>0</v>
      </c>
      <c r="J78" s="35"/>
      <c r="K78" s="35"/>
      <c r="L78" s="35"/>
      <c r="M78" s="35"/>
      <c r="N78" s="32" t="e">
        <f>IF(H78=Dec!$E$2,"N",IF(AND(COUNTIF(B:B,B78)=1,D78&gt;14),"Y","N"))</f>
        <v>#N/A</v>
      </c>
      <c r="O78" s="55" t="str">
        <f>IF(COUNT(Dec[[#This Row],[Date]])&gt;0,IF(Dec[[#This Row],[Date]]&gt;14,"Yes","No"),"N/A")</f>
        <v>N/A</v>
      </c>
      <c r="P78" s="55"/>
      <c r="Q78" s="5">
        <f>Relay!A77</f>
        <v>0</v>
      </c>
      <c r="R78" s="5">
        <f>Relay!B77</f>
        <v>76</v>
      </c>
      <c r="S78" s="8">
        <f>IF(Dec[After the 14th?]="No",SUMIF(Dec[SysID],R78,Dec[Pay Amount]),0)+IF(Nov[After the 14th?]="Yes",SUMIF(Nov[SysID],R78,Nov[Pay Amount]),0)</f>
        <v>0</v>
      </c>
      <c r="T78" s="8"/>
      <c r="U78" s="5" t="str">
        <f t="shared" si="5"/>
        <v>N</v>
      </c>
      <c r="X78" s="56"/>
      <c r="Y78" s="56"/>
      <c r="Z78" s="56"/>
      <c r="AA78" s="56"/>
      <c r="AC78" s="56"/>
    </row>
    <row r="79" spans="1:29" x14ac:dyDescent="0.25">
      <c r="A79" s="35"/>
      <c r="B79" s="32" t="e">
        <f>VLOOKUP(A79,Relay!$A$1:$B$50,2,FALSE)</f>
        <v>#N/A</v>
      </c>
      <c r="C79" s="32" t="e">
        <f>VLOOKUP(A79,Relay!$A$2:$C$101,3,FALSE)</f>
        <v>#N/A</v>
      </c>
      <c r="D79" s="39"/>
      <c r="E79" s="35"/>
      <c r="F79" s="58" t="str">
        <f t="shared" si="3"/>
        <v>INS</v>
      </c>
      <c r="G79" s="32" t="e">
        <f>IF(OR(E79="Jeopardy",E79="APP Moonlighting",E79="Differential Pay"),"",Dec[[#This Row],[SysID]])</f>
        <v>#N/A</v>
      </c>
      <c r="H79" s="32" t="e">
        <f>IF(E79="Jeopardy",IF(C79="MD",Relay!$E$7,Relay!$E$8),IF(C79="MD",IF(COUNTIF(G:G,B79)&gt;1,Relay!$E$2,Relay!$E$1),IF(AND(COUNTIF(G:G,B79)&gt;1,COUNTA(A79)&gt;0),Relay!$E$5,Relay!$E$4)))</f>
        <v>#N/A</v>
      </c>
      <c r="I79" s="8">
        <f t="shared" si="4"/>
        <v>0</v>
      </c>
      <c r="J79" s="35"/>
      <c r="K79" s="35"/>
      <c r="L79" s="35"/>
      <c r="M79" s="35"/>
      <c r="N79" s="32" t="e">
        <f>IF(H79=Dec!$E$2,"N",IF(AND(COUNTIF(B:B,B79)=1,D79&gt;14),"Y","N"))</f>
        <v>#N/A</v>
      </c>
      <c r="O79" s="55" t="str">
        <f>IF(COUNT(Dec[[#This Row],[Date]])&gt;0,IF(Dec[[#This Row],[Date]]&gt;14,"Yes","No"),"N/A")</f>
        <v>N/A</v>
      </c>
      <c r="P79" s="55"/>
      <c r="Q79" s="5">
        <f>Relay!A78</f>
        <v>0</v>
      </c>
      <c r="R79" s="5">
        <f>Relay!B78</f>
        <v>77</v>
      </c>
      <c r="S79" s="8">
        <f>IF(Dec[After the 14th?]="No",SUMIF(Dec[SysID],R79,Dec[Pay Amount]),0)+IF(Nov[After the 14th?]="Yes",SUMIF(Nov[SysID],R79,Nov[Pay Amount]),0)</f>
        <v>0</v>
      </c>
      <c r="T79" s="8"/>
      <c r="U79" s="5" t="str">
        <f t="shared" si="5"/>
        <v>N</v>
      </c>
      <c r="X79" s="56"/>
      <c r="Y79" s="56"/>
      <c r="Z79" s="56"/>
      <c r="AA79" s="56"/>
      <c r="AC79" s="56"/>
    </row>
    <row r="80" spans="1:29" x14ac:dyDescent="0.25">
      <c r="A80" s="35"/>
      <c r="B80" s="32" t="e">
        <f>VLOOKUP(A80,Relay!$A$1:$B$50,2,FALSE)</f>
        <v>#N/A</v>
      </c>
      <c r="C80" s="32" t="e">
        <f>VLOOKUP(A80,Relay!$A$2:$C$101,3,FALSE)</f>
        <v>#N/A</v>
      </c>
      <c r="D80" s="39"/>
      <c r="E80" s="35"/>
      <c r="F80" s="58" t="str">
        <f t="shared" si="3"/>
        <v>INS</v>
      </c>
      <c r="G80" s="32" t="e">
        <f>IF(OR(E80="Jeopardy",E80="APP Moonlighting",E80="Differential Pay"),"",Dec[[#This Row],[SysID]])</f>
        <v>#N/A</v>
      </c>
      <c r="H80" s="32" t="e">
        <f>IF(E80="Jeopardy",IF(C80="MD",Relay!$E$7,Relay!$E$8),IF(C80="MD",IF(COUNTIF(G:G,B80)&gt;1,Relay!$E$2,Relay!$E$1),IF(AND(COUNTIF(G:G,B80)&gt;1,COUNTA(A80)&gt;0),Relay!$E$5,Relay!$E$4)))</f>
        <v>#N/A</v>
      </c>
      <c r="I80" s="8">
        <f t="shared" si="4"/>
        <v>0</v>
      </c>
      <c r="J80" s="35"/>
      <c r="K80" s="35"/>
      <c r="L80" s="35"/>
      <c r="M80" s="35"/>
      <c r="N80" s="32" t="e">
        <f>IF(H80=Dec!$E$2,"N",IF(AND(COUNTIF(B:B,B80)=1,D80&gt;14),"Y","N"))</f>
        <v>#N/A</v>
      </c>
      <c r="O80" s="55" t="str">
        <f>IF(COUNT(Dec[[#This Row],[Date]])&gt;0,IF(Dec[[#This Row],[Date]]&gt;14,"Yes","No"),"N/A")</f>
        <v>N/A</v>
      </c>
      <c r="P80" s="55"/>
      <c r="Q80" s="5">
        <f>Relay!A79</f>
        <v>0</v>
      </c>
      <c r="R80" s="5">
        <f>Relay!B79</f>
        <v>78</v>
      </c>
      <c r="S80" s="8">
        <f>IF(Dec[After the 14th?]="No",SUMIF(Dec[SysID],R80,Dec[Pay Amount]),0)+IF(Nov[After the 14th?]="Yes",SUMIF(Nov[SysID],R80,Nov[Pay Amount]),0)</f>
        <v>0</v>
      </c>
      <c r="T80" s="8"/>
      <c r="U80" s="5" t="str">
        <f t="shared" si="5"/>
        <v>N</v>
      </c>
      <c r="X80" s="56"/>
      <c r="Y80" s="56"/>
      <c r="Z80" s="56"/>
      <c r="AA80" s="56"/>
      <c r="AC80" s="56"/>
    </row>
    <row r="81" spans="1:29" x14ac:dyDescent="0.25">
      <c r="A81" s="35"/>
      <c r="B81" s="32" t="e">
        <f>VLOOKUP(A81,Relay!$A$1:$B$50,2,FALSE)</f>
        <v>#N/A</v>
      </c>
      <c r="C81" s="32" t="e">
        <f>VLOOKUP(A81,Relay!$A$2:$C$101,3,FALSE)</f>
        <v>#N/A</v>
      </c>
      <c r="D81" s="39"/>
      <c r="E81" s="35"/>
      <c r="F81" s="58" t="str">
        <f t="shared" si="3"/>
        <v>INS</v>
      </c>
      <c r="G81" s="32" t="e">
        <f>IF(OR(E81="Jeopardy",E81="APP Moonlighting",E81="Differential Pay"),"",Dec[[#This Row],[SysID]])</f>
        <v>#N/A</v>
      </c>
      <c r="H81" s="32" t="e">
        <f>IF(E81="Jeopardy",IF(C81="MD",Relay!$E$7,Relay!$E$8),IF(C81="MD",IF(COUNTIF(G:G,B81)&gt;1,Relay!$E$2,Relay!$E$1),IF(AND(COUNTIF(G:G,B81)&gt;1,COUNTA(A81)&gt;0),Relay!$E$5,Relay!$E$4)))</f>
        <v>#N/A</v>
      </c>
      <c r="I81" s="8">
        <f t="shared" si="4"/>
        <v>0</v>
      </c>
      <c r="J81" s="35"/>
      <c r="K81" s="35"/>
      <c r="L81" s="35"/>
      <c r="M81" s="35"/>
      <c r="N81" s="32" t="e">
        <f>IF(H81=Dec!$E$2,"N",IF(AND(COUNTIF(B:B,B81)=1,D81&gt;14),"Y","N"))</f>
        <v>#N/A</v>
      </c>
      <c r="O81" s="55" t="str">
        <f>IF(COUNT(Dec[[#This Row],[Date]])&gt;0,IF(Dec[[#This Row],[Date]]&gt;14,"Yes","No"),"N/A")</f>
        <v>N/A</v>
      </c>
      <c r="P81" s="55"/>
      <c r="Q81" s="5">
        <f>Relay!A80</f>
        <v>0</v>
      </c>
      <c r="R81" s="5">
        <f>Relay!B80</f>
        <v>79</v>
      </c>
      <c r="S81" s="8">
        <f>IF(Dec[After the 14th?]="No",SUMIF(Dec[SysID],R81,Dec[Pay Amount]),0)+IF(Nov[After the 14th?]="Yes",SUMIF(Nov[SysID],R81,Nov[Pay Amount]),0)</f>
        <v>0</v>
      </c>
      <c r="T81" s="8"/>
      <c r="U81" s="5" t="str">
        <f t="shared" si="5"/>
        <v>N</v>
      </c>
      <c r="X81" s="56"/>
      <c r="Y81" s="56"/>
      <c r="Z81" s="56"/>
      <c r="AA81" s="56"/>
      <c r="AC81" s="56"/>
    </row>
    <row r="82" spans="1:29" x14ac:dyDescent="0.25">
      <c r="A82" s="35"/>
      <c r="B82" s="32" t="e">
        <f>VLOOKUP(A82,Relay!$A$1:$B$50,2,FALSE)</f>
        <v>#N/A</v>
      </c>
      <c r="C82" s="32" t="e">
        <f>VLOOKUP(A82,Relay!$A$2:$C$101,3,FALSE)</f>
        <v>#N/A</v>
      </c>
      <c r="D82" s="39"/>
      <c r="E82" s="35"/>
      <c r="F82" s="58" t="str">
        <f t="shared" si="3"/>
        <v>INS</v>
      </c>
      <c r="G82" s="32" t="e">
        <f>IF(OR(E82="Jeopardy",E82="APP Moonlighting",E82="Differential Pay"),"",Dec[[#This Row],[SysID]])</f>
        <v>#N/A</v>
      </c>
      <c r="H82" s="32" t="e">
        <f>IF(E82="Jeopardy",IF(C82="MD",Relay!$E$7,Relay!$E$8),IF(C82="MD",IF(COUNTIF(G:G,B82)&gt;1,Relay!$E$2,Relay!$E$1),IF(AND(COUNTIF(G:G,B82)&gt;1,COUNTA(A82)&gt;0),Relay!$E$5,Relay!$E$4)))</f>
        <v>#N/A</v>
      </c>
      <c r="I82" s="8">
        <f t="shared" si="4"/>
        <v>0</v>
      </c>
      <c r="J82" s="35"/>
      <c r="K82" s="35"/>
      <c r="L82" s="35"/>
      <c r="M82" s="35"/>
      <c r="N82" s="32" t="e">
        <f>IF(H82=Dec!$E$2,"N",IF(AND(COUNTIF(B:B,B82)=1,D82&gt;14),"Y","N"))</f>
        <v>#N/A</v>
      </c>
      <c r="O82" s="55" t="str">
        <f>IF(COUNT(Dec[[#This Row],[Date]])&gt;0,IF(Dec[[#This Row],[Date]]&gt;14,"Yes","No"),"N/A")</f>
        <v>N/A</v>
      </c>
      <c r="P82" s="55"/>
      <c r="Q82" s="5">
        <f>Relay!A81</f>
        <v>0</v>
      </c>
      <c r="R82" s="5">
        <f>Relay!B81</f>
        <v>80</v>
      </c>
      <c r="S82" s="8">
        <f>IF(Dec[After the 14th?]="No",SUMIF(Dec[SysID],R82,Dec[Pay Amount]),0)+IF(Nov[After the 14th?]="Yes",SUMIF(Nov[SysID],R82,Nov[Pay Amount]),0)</f>
        <v>0</v>
      </c>
      <c r="T82" s="8"/>
      <c r="U82" s="5" t="str">
        <f t="shared" si="5"/>
        <v>N</v>
      </c>
      <c r="X82" s="56"/>
      <c r="Y82" s="56"/>
      <c r="Z82" s="56"/>
      <c r="AA82" s="56"/>
      <c r="AC82" s="56"/>
    </row>
    <row r="83" spans="1:29" x14ac:dyDescent="0.25">
      <c r="A83" s="35"/>
      <c r="B83" s="32" t="e">
        <f>VLOOKUP(A83,Relay!$A$1:$B$50,2,FALSE)</f>
        <v>#N/A</v>
      </c>
      <c r="C83" s="32" t="e">
        <f>VLOOKUP(A83,Relay!$A$2:$C$101,3,FALSE)</f>
        <v>#N/A</v>
      </c>
      <c r="D83" s="39"/>
      <c r="E83" s="35"/>
      <c r="F83" s="58" t="str">
        <f t="shared" si="3"/>
        <v>INS</v>
      </c>
      <c r="G83" s="32" t="e">
        <f>IF(OR(E83="Jeopardy",E83="APP Moonlighting",E83="Differential Pay"),"",Dec[[#This Row],[SysID]])</f>
        <v>#N/A</v>
      </c>
      <c r="H83" s="32" t="e">
        <f>IF(E83="Jeopardy",IF(C83="MD",Relay!$E$7,Relay!$E$8),IF(C83="MD",IF(COUNTIF(G:G,B83)&gt;1,Relay!$E$2,Relay!$E$1),IF(AND(COUNTIF(G:G,B83)&gt;1,COUNTA(A83)&gt;0),Relay!$E$5,Relay!$E$4)))</f>
        <v>#N/A</v>
      </c>
      <c r="I83" s="8">
        <f t="shared" si="4"/>
        <v>0</v>
      </c>
      <c r="J83" s="35"/>
      <c r="K83" s="35"/>
      <c r="L83" s="35"/>
      <c r="M83" s="35"/>
      <c r="N83" s="32" t="e">
        <f>IF(H83=Dec!$E$2,"N",IF(AND(COUNTIF(B:B,B83)=1,D83&gt;14),"Y","N"))</f>
        <v>#N/A</v>
      </c>
      <c r="O83" s="55" t="str">
        <f>IF(COUNT(Dec[[#This Row],[Date]])&gt;0,IF(Dec[[#This Row],[Date]]&gt;14,"Yes","No"),"N/A")</f>
        <v>N/A</v>
      </c>
      <c r="P83" s="55"/>
      <c r="Q83" s="5">
        <f>Relay!A82</f>
        <v>0</v>
      </c>
      <c r="R83" s="5">
        <f>Relay!B82</f>
        <v>81</v>
      </c>
      <c r="S83" s="8">
        <f>IF(Dec[After the 14th?]="No",SUMIF(Dec[SysID],R83,Dec[Pay Amount]),0)+IF(Nov[After the 14th?]="Yes",SUMIF(Nov[SysID],R83,Nov[Pay Amount]),0)</f>
        <v>0</v>
      </c>
      <c r="T83" s="8"/>
      <c r="U83" s="5" t="str">
        <f t="shared" si="5"/>
        <v>N</v>
      </c>
      <c r="X83" s="56"/>
      <c r="Y83" s="56"/>
      <c r="Z83" s="56"/>
      <c r="AA83" s="56"/>
      <c r="AC83" s="56"/>
    </row>
    <row r="84" spans="1:29" x14ac:dyDescent="0.25">
      <c r="A84" s="35"/>
      <c r="B84" s="32" t="e">
        <f>VLOOKUP(A84,Relay!$A$1:$B$50,2,FALSE)</f>
        <v>#N/A</v>
      </c>
      <c r="C84" s="32" t="e">
        <f>VLOOKUP(A84,Relay!$A$2:$C$101,3,FALSE)</f>
        <v>#N/A</v>
      </c>
      <c r="D84" s="39"/>
      <c r="E84" s="35"/>
      <c r="F84" s="58" t="str">
        <f t="shared" si="3"/>
        <v>INS</v>
      </c>
      <c r="G84" s="32" t="e">
        <f>IF(OR(E84="Jeopardy",E84="APP Moonlighting",E84="Differential Pay"),"",Dec[[#This Row],[SysID]])</f>
        <v>#N/A</v>
      </c>
      <c r="H84" s="32" t="e">
        <f>IF(E84="Jeopardy",IF(C84="MD",Relay!$E$7,Relay!$E$8),IF(C84="MD",IF(COUNTIF(G:G,B84)&gt;1,Relay!$E$2,Relay!$E$1),IF(AND(COUNTIF(G:G,B84)&gt;1,COUNTA(A84)&gt;0),Relay!$E$5,Relay!$E$4)))</f>
        <v>#N/A</v>
      </c>
      <c r="I84" s="8">
        <f t="shared" si="4"/>
        <v>0</v>
      </c>
      <c r="J84" s="35"/>
      <c r="K84" s="35"/>
      <c r="L84" s="35"/>
      <c r="M84" s="35"/>
      <c r="N84" s="32" t="e">
        <f>IF(H84=Dec!$E$2,"N",IF(AND(COUNTIF(B:B,B84)=1,D84&gt;14),"Y","N"))</f>
        <v>#N/A</v>
      </c>
      <c r="O84" s="55" t="str">
        <f>IF(COUNT(Dec[[#This Row],[Date]])&gt;0,IF(Dec[[#This Row],[Date]]&gt;14,"Yes","No"),"N/A")</f>
        <v>N/A</v>
      </c>
      <c r="P84" s="55"/>
      <c r="Q84" s="5">
        <f>Relay!A83</f>
        <v>0</v>
      </c>
      <c r="R84" s="5">
        <f>Relay!B83</f>
        <v>82</v>
      </c>
      <c r="S84" s="8">
        <f>IF(Dec[After the 14th?]="No",SUMIF(Dec[SysID],R84,Dec[Pay Amount]),0)+IF(Nov[After the 14th?]="Yes",SUMIF(Nov[SysID],R84,Nov[Pay Amount]),0)</f>
        <v>0</v>
      </c>
      <c r="T84" s="8"/>
      <c r="U84" s="5" t="str">
        <f t="shared" si="5"/>
        <v>N</v>
      </c>
      <c r="X84" s="56"/>
      <c r="Y84" s="56"/>
      <c r="Z84" s="56"/>
      <c r="AA84" s="56"/>
      <c r="AC84" s="56"/>
    </row>
    <row r="85" spans="1:29" x14ac:dyDescent="0.25">
      <c r="A85" s="35"/>
      <c r="B85" s="32" t="e">
        <f>VLOOKUP(A85,Relay!$A$1:$B$50,2,FALSE)</f>
        <v>#N/A</v>
      </c>
      <c r="C85" s="32" t="e">
        <f>VLOOKUP(A85,Relay!$A$2:$C$101,3,FALSE)</f>
        <v>#N/A</v>
      </c>
      <c r="D85" s="39"/>
      <c r="E85" s="35"/>
      <c r="F85" s="58" t="str">
        <f t="shared" si="3"/>
        <v>INS</v>
      </c>
      <c r="G85" s="32" t="e">
        <f>IF(OR(E85="Jeopardy",E85="APP Moonlighting",E85="Differential Pay"),"",Dec[[#This Row],[SysID]])</f>
        <v>#N/A</v>
      </c>
      <c r="H85" s="32" t="e">
        <f>IF(E85="Jeopardy",IF(C85="MD",Relay!$E$7,Relay!$E$8),IF(C85="MD",IF(COUNTIF(G:G,B85)&gt;1,Relay!$E$2,Relay!$E$1),IF(AND(COUNTIF(G:G,B85)&gt;1,COUNTA(A85)&gt;0),Relay!$E$5,Relay!$E$4)))</f>
        <v>#N/A</v>
      </c>
      <c r="I85" s="8">
        <f t="shared" si="4"/>
        <v>0</v>
      </c>
      <c r="J85" s="35"/>
      <c r="K85" s="35"/>
      <c r="L85" s="35"/>
      <c r="M85" s="35"/>
      <c r="N85" s="32" t="e">
        <f>IF(H85=Dec!$E$2,"N",IF(AND(COUNTIF(B:B,B85)=1,D85&gt;14),"Y","N"))</f>
        <v>#N/A</v>
      </c>
      <c r="O85" s="55" t="str">
        <f>IF(COUNT(Dec[[#This Row],[Date]])&gt;0,IF(Dec[[#This Row],[Date]]&gt;14,"Yes","No"),"N/A")</f>
        <v>N/A</v>
      </c>
      <c r="P85" s="55"/>
      <c r="Q85" s="5">
        <f>Relay!A84</f>
        <v>0</v>
      </c>
      <c r="R85" s="5">
        <f>Relay!B84</f>
        <v>83</v>
      </c>
      <c r="S85" s="8">
        <f>IF(Dec[After the 14th?]="No",SUMIF(Dec[SysID],R85,Dec[Pay Amount]),0)+IF(Nov[After the 14th?]="Yes",SUMIF(Nov[SysID],R85,Nov[Pay Amount]),0)</f>
        <v>0</v>
      </c>
      <c r="T85" s="8"/>
      <c r="U85" s="5" t="str">
        <f t="shared" si="5"/>
        <v>N</v>
      </c>
      <c r="X85" s="56"/>
      <c r="Y85" s="56"/>
      <c r="Z85" s="56"/>
      <c r="AA85" s="56"/>
      <c r="AC85" s="56"/>
    </row>
    <row r="86" spans="1:29" x14ac:dyDescent="0.25">
      <c r="A86" s="35"/>
      <c r="B86" s="32" t="e">
        <f>VLOOKUP(A86,Relay!$A$1:$B$50,2,FALSE)</f>
        <v>#N/A</v>
      </c>
      <c r="C86" s="32" t="e">
        <f>VLOOKUP(A86,Relay!$A$2:$C$101,3,FALSE)</f>
        <v>#N/A</v>
      </c>
      <c r="D86" s="39"/>
      <c r="E86" s="35"/>
      <c r="F86" s="58" t="str">
        <f t="shared" si="3"/>
        <v>INS</v>
      </c>
      <c r="G86" s="32" t="e">
        <f>IF(OR(E86="Jeopardy",E86="APP Moonlighting",E86="Differential Pay"),"",Dec[[#This Row],[SysID]])</f>
        <v>#N/A</v>
      </c>
      <c r="H86" s="32" t="e">
        <f>IF(E86="Jeopardy",IF(C86="MD",Relay!$E$7,Relay!$E$8),IF(C86="MD",IF(COUNTIF(G:G,B86)&gt;1,Relay!$E$2,Relay!$E$1),IF(AND(COUNTIF(G:G,B86)&gt;1,COUNTA(A86)&gt;0),Relay!$E$5,Relay!$E$4)))</f>
        <v>#N/A</v>
      </c>
      <c r="I86" s="8">
        <f t="shared" si="4"/>
        <v>0</v>
      </c>
      <c r="J86" s="35"/>
      <c r="K86" s="35"/>
      <c r="L86" s="35"/>
      <c r="M86" s="35"/>
      <c r="N86" s="32" t="e">
        <f>IF(H86=Dec!$E$2,"N",IF(AND(COUNTIF(B:B,B86)=1,D86&gt;14),"Y","N"))</f>
        <v>#N/A</v>
      </c>
      <c r="O86" s="55" t="str">
        <f>IF(COUNT(Dec[[#This Row],[Date]])&gt;0,IF(Dec[[#This Row],[Date]]&gt;14,"Yes","No"),"N/A")</f>
        <v>N/A</v>
      </c>
      <c r="P86" s="55"/>
      <c r="Q86" s="5">
        <f>Relay!A85</f>
        <v>0</v>
      </c>
      <c r="R86" s="5">
        <f>Relay!B85</f>
        <v>84</v>
      </c>
      <c r="S86" s="8">
        <f>IF(Dec[After the 14th?]="No",SUMIF(Dec[SysID],R86,Dec[Pay Amount]),0)+IF(Nov[After the 14th?]="Yes",SUMIF(Nov[SysID],R86,Nov[Pay Amount]),0)</f>
        <v>0</v>
      </c>
      <c r="T86" s="8"/>
      <c r="U86" s="5" t="str">
        <f t="shared" si="5"/>
        <v>N</v>
      </c>
      <c r="X86" s="56"/>
      <c r="Y86" s="56"/>
      <c r="Z86" s="56"/>
      <c r="AA86" s="56"/>
      <c r="AC86" s="56"/>
    </row>
    <row r="87" spans="1:29" x14ac:dyDescent="0.25">
      <c r="A87" s="35"/>
      <c r="B87" s="32" t="e">
        <f>VLOOKUP(A87,Relay!$A$1:$B$50,2,FALSE)</f>
        <v>#N/A</v>
      </c>
      <c r="C87" s="32" t="e">
        <f>VLOOKUP(A87,Relay!$A$2:$C$101,3,FALSE)</f>
        <v>#N/A</v>
      </c>
      <c r="D87" s="39"/>
      <c r="E87" s="35"/>
      <c r="F87" s="58" t="str">
        <f t="shared" si="3"/>
        <v>INS</v>
      </c>
      <c r="G87" s="32" t="e">
        <f>IF(OR(E87="Jeopardy",E87="APP Moonlighting",E87="Differential Pay"),"",Dec[[#This Row],[SysID]])</f>
        <v>#N/A</v>
      </c>
      <c r="H87" s="32" t="e">
        <f>IF(E87="Jeopardy",IF(C87="MD",Relay!$E$7,Relay!$E$8),IF(C87="MD",IF(COUNTIF(G:G,B87)&gt;1,Relay!$E$2,Relay!$E$1),IF(AND(COUNTIF(G:G,B87)&gt;1,COUNTA(A87)&gt;0),Relay!$E$5,Relay!$E$4)))</f>
        <v>#N/A</v>
      </c>
      <c r="I87" s="8">
        <f t="shared" si="4"/>
        <v>0</v>
      </c>
      <c r="J87" s="35"/>
      <c r="K87" s="35"/>
      <c r="L87" s="35"/>
      <c r="M87" s="35"/>
      <c r="N87" s="32" t="e">
        <f>IF(H87=Dec!$E$2,"N",IF(AND(COUNTIF(B:B,B87)=1,D87&gt;14),"Y","N"))</f>
        <v>#N/A</v>
      </c>
      <c r="O87" s="55" t="str">
        <f>IF(COUNT(Dec[[#This Row],[Date]])&gt;0,IF(Dec[[#This Row],[Date]]&gt;14,"Yes","No"),"N/A")</f>
        <v>N/A</v>
      </c>
      <c r="P87" s="55"/>
      <c r="Q87" s="5">
        <f>Relay!A86</f>
        <v>0</v>
      </c>
      <c r="R87" s="5">
        <f>Relay!B86</f>
        <v>85</v>
      </c>
      <c r="S87" s="8">
        <f>IF(Dec[After the 14th?]="No",SUMIF(Dec[SysID],R87,Dec[Pay Amount]),0)+IF(Nov[After the 14th?]="Yes",SUMIF(Nov[SysID],R87,Nov[Pay Amount]),0)</f>
        <v>0</v>
      </c>
      <c r="T87" s="8"/>
      <c r="U87" s="5" t="str">
        <f t="shared" si="5"/>
        <v>N</v>
      </c>
      <c r="X87" s="56"/>
      <c r="Y87" s="56"/>
      <c r="Z87" s="56"/>
      <c r="AA87" s="56"/>
      <c r="AC87" s="56"/>
    </row>
    <row r="88" spans="1:29" x14ac:dyDescent="0.25">
      <c r="A88" s="35"/>
      <c r="B88" s="32" t="e">
        <f>VLOOKUP(A88,Relay!$A$1:$B$50,2,FALSE)</f>
        <v>#N/A</v>
      </c>
      <c r="C88" s="32" t="e">
        <f>VLOOKUP(A88,Relay!$A$2:$C$101,3,FALSE)</f>
        <v>#N/A</v>
      </c>
      <c r="D88" s="39"/>
      <c r="E88" s="35"/>
      <c r="F88" s="58" t="str">
        <f t="shared" si="3"/>
        <v>INS</v>
      </c>
      <c r="G88" s="32" t="e">
        <f>IF(OR(E88="Jeopardy",E88="APP Moonlighting",E88="Differential Pay"),"",Dec[[#This Row],[SysID]])</f>
        <v>#N/A</v>
      </c>
      <c r="H88" s="32" t="e">
        <f>IF(E88="Jeopardy",IF(C88="MD",Relay!$E$7,Relay!$E$8),IF(C88="MD",IF(COUNTIF(G:G,B88)&gt;1,Relay!$E$2,Relay!$E$1),IF(AND(COUNTIF(G:G,B88)&gt;1,COUNTA(A88)&gt;0),Relay!$E$5,Relay!$E$4)))</f>
        <v>#N/A</v>
      </c>
      <c r="I88" s="8">
        <f t="shared" si="4"/>
        <v>0</v>
      </c>
      <c r="J88" s="35"/>
      <c r="K88" s="35"/>
      <c r="L88" s="35"/>
      <c r="M88" s="35"/>
      <c r="N88" s="32" t="e">
        <f>IF(H88=Dec!$E$2,"N",IF(AND(COUNTIF(B:B,B88)=1,D88&gt;14),"Y","N"))</f>
        <v>#N/A</v>
      </c>
      <c r="O88" s="55" t="str">
        <f>IF(COUNT(Dec[[#This Row],[Date]])&gt;0,IF(Dec[[#This Row],[Date]]&gt;14,"Yes","No"),"N/A")</f>
        <v>N/A</v>
      </c>
      <c r="P88" s="55"/>
      <c r="Q88" s="5">
        <f>Relay!A87</f>
        <v>0</v>
      </c>
      <c r="R88" s="5">
        <f>Relay!B87</f>
        <v>86</v>
      </c>
      <c r="S88" s="8">
        <f>IF(Dec[After the 14th?]="No",SUMIF(Dec[SysID],R88,Dec[Pay Amount]),0)+IF(Nov[After the 14th?]="Yes",SUMIF(Nov[SysID],R88,Nov[Pay Amount]),0)</f>
        <v>0</v>
      </c>
      <c r="T88" s="8"/>
      <c r="U88" s="5" t="str">
        <f t="shared" si="5"/>
        <v>N</v>
      </c>
      <c r="X88" s="56"/>
      <c r="Y88" s="56"/>
      <c r="Z88" s="56"/>
      <c r="AA88" s="56"/>
      <c r="AC88" s="56"/>
    </row>
    <row r="89" spans="1:29" x14ac:dyDescent="0.25">
      <c r="A89" s="35"/>
      <c r="B89" s="32" t="e">
        <f>VLOOKUP(A89,Relay!$A$1:$B$50,2,FALSE)</f>
        <v>#N/A</v>
      </c>
      <c r="C89" s="32" t="e">
        <f>VLOOKUP(A89,Relay!$A$2:$C$101,3,FALSE)</f>
        <v>#N/A</v>
      </c>
      <c r="D89" s="39"/>
      <c r="E89" s="35"/>
      <c r="F89" s="58" t="str">
        <f t="shared" si="3"/>
        <v>INS</v>
      </c>
      <c r="G89" s="32" t="e">
        <f>IF(OR(E89="Jeopardy",E89="APP Moonlighting",E89="Differential Pay"),"",Dec[[#This Row],[SysID]])</f>
        <v>#N/A</v>
      </c>
      <c r="H89" s="32" t="e">
        <f>IF(E89="Jeopardy",IF(C89="MD",Relay!$E$7,Relay!$E$8),IF(C89="MD",IF(COUNTIF(G:G,B89)&gt;1,Relay!$E$2,Relay!$E$1),IF(AND(COUNTIF(G:G,B89)&gt;1,COUNTA(A89)&gt;0),Relay!$E$5,Relay!$E$4)))</f>
        <v>#N/A</v>
      </c>
      <c r="I89" s="8">
        <f t="shared" si="4"/>
        <v>0</v>
      </c>
      <c r="J89" s="35"/>
      <c r="K89" s="35"/>
      <c r="L89" s="35"/>
      <c r="M89" s="35"/>
      <c r="N89" s="32" t="e">
        <f>IF(H89=Dec!$E$2,"N",IF(AND(COUNTIF(B:B,B89)=1,D89&gt;14),"Y","N"))</f>
        <v>#N/A</v>
      </c>
      <c r="O89" s="55" t="str">
        <f>IF(COUNT(Dec[[#This Row],[Date]])&gt;0,IF(Dec[[#This Row],[Date]]&gt;14,"Yes","No"),"N/A")</f>
        <v>N/A</v>
      </c>
      <c r="P89" s="55"/>
      <c r="Q89" s="5">
        <f>Relay!A88</f>
        <v>0</v>
      </c>
      <c r="R89" s="5">
        <f>Relay!B88</f>
        <v>87</v>
      </c>
      <c r="S89" s="8">
        <f>IF(Dec[After the 14th?]="No",SUMIF(Dec[SysID],R89,Dec[Pay Amount]),0)+IF(Nov[After the 14th?]="Yes",SUMIF(Nov[SysID],R89,Nov[Pay Amount]),0)</f>
        <v>0</v>
      </c>
      <c r="T89" s="8"/>
      <c r="U89" s="5" t="str">
        <f t="shared" si="5"/>
        <v>N</v>
      </c>
      <c r="X89" s="56"/>
      <c r="Y89" s="56"/>
      <c r="Z89" s="56"/>
      <c r="AA89" s="56"/>
      <c r="AC89" s="56"/>
    </row>
    <row r="90" spans="1:29" x14ac:dyDescent="0.25">
      <c r="A90" s="35"/>
      <c r="B90" s="32" t="e">
        <f>VLOOKUP(A90,Relay!$A$1:$B$50,2,FALSE)</f>
        <v>#N/A</v>
      </c>
      <c r="C90" s="32" t="e">
        <f>VLOOKUP(A90,Relay!$A$2:$C$101,3,FALSE)</f>
        <v>#N/A</v>
      </c>
      <c r="D90" s="39"/>
      <c r="E90" s="35"/>
      <c r="F90" s="58" t="str">
        <f t="shared" si="3"/>
        <v>INS</v>
      </c>
      <c r="G90" s="32" t="e">
        <f>IF(OR(E90="Jeopardy",E90="APP Moonlighting",E90="Differential Pay"),"",Dec[[#This Row],[SysID]])</f>
        <v>#N/A</v>
      </c>
      <c r="H90" s="32" t="e">
        <f>IF(E90="Jeopardy",IF(C90="MD",Relay!$E$7,Relay!$E$8),IF(C90="MD",IF(COUNTIF(G:G,B90)&gt;1,Relay!$E$2,Relay!$E$1),IF(AND(COUNTIF(G:G,B90)&gt;1,COUNTA(A90)&gt;0),Relay!$E$5,Relay!$E$4)))</f>
        <v>#N/A</v>
      </c>
      <c r="I90" s="8">
        <f t="shared" si="4"/>
        <v>0</v>
      </c>
      <c r="J90" s="35"/>
      <c r="K90" s="35"/>
      <c r="L90" s="35"/>
      <c r="M90" s="35"/>
      <c r="N90" s="32" t="e">
        <f>IF(H90=Dec!$E$2,"N",IF(AND(COUNTIF(B:B,B90)=1,D90&gt;14),"Y","N"))</f>
        <v>#N/A</v>
      </c>
      <c r="O90" s="55" t="str">
        <f>IF(COUNT(Dec[[#This Row],[Date]])&gt;0,IF(Dec[[#This Row],[Date]]&gt;14,"Yes","No"),"N/A")</f>
        <v>N/A</v>
      </c>
      <c r="P90" s="55"/>
      <c r="Q90" s="5">
        <f>Relay!A89</f>
        <v>0</v>
      </c>
      <c r="R90" s="5">
        <f>Relay!B89</f>
        <v>88</v>
      </c>
      <c r="S90" s="8">
        <f>IF(Dec[After the 14th?]="No",SUMIF(Dec[SysID],R90,Dec[Pay Amount]),0)+IF(Nov[After the 14th?]="Yes",SUMIF(Nov[SysID],R90,Nov[Pay Amount]),0)</f>
        <v>0</v>
      </c>
      <c r="T90" s="8"/>
      <c r="U90" s="5" t="str">
        <f t="shared" si="5"/>
        <v>N</v>
      </c>
      <c r="X90" s="56"/>
      <c r="Y90" s="56"/>
      <c r="Z90" s="56"/>
      <c r="AA90" s="56"/>
      <c r="AC90" s="56"/>
    </row>
    <row r="91" spans="1:29" x14ac:dyDescent="0.25">
      <c r="A91" s="35"/>
      <c r="B91" s="32" t="e">
        <f>VLOOKUP(A91,Relay!$A$1:$B$50,2,FALSE)</f>
        <v>#N/A</v>
      </c>
      <c r="C91" s="32" t="e">
        <f>VLOOKUP(A91,Relay!$A$2:$C$101,3,FALSE)</f>
        <v>#N/A</v>
      </c>
      <c r="D91" s="39"/>
      <c r="E91" s="35"/>
      <c r="F91" s="58" t="str">
        <f t="shared" si="3"/>
        <v>INS</v>
      </c>
      <c r="G91" s="32" t="e">
        <f>IF(OR(E91="Jeopardy",E91="APP Moonlighting",E91="Differential Pay"),"",Dec[[#This Row],[SysID]])</f>
        <v>#N/A</v>
      </c>
      <c r="H91" s="32" t="e">
        <f>IF(E91="Jeopardy",IF(C91="MD",Relay!$E$7,Relay!$E$8),IF(C91="MD",IF(COUNTIF(G:G,B91)&gt;1,Relay!$E$2,Relay!$E$1),IF(AND(COUNTIF(G:G,B91)&gt;1,COUNTA(A91)&gt;0),Relay!$E$5,Relay!$E$4)))</f>
        <v>#N/A</v>
      </c>
      <c r="I91" s="8">
        <f t="shared" si="4"/>
        <v>0</v>
      </c>
      <c r="J91" s="35"/>
      <c r="K91" s="35"/>
      <c r="L91" s="35"/>
      <c r="M91" s="35"/>
      <c r="N91" s="32" t="e">
        <f>IF(H91=Dec!$E$2,"N",IF(AND(COUNTIF(B:B,B91)=1,D91&gt;14),"Y","N"))</f>
        <v>#N/A</v>
      </c>
      <c r="O91" s="55" t="str">
        <f>IF(COUNT(Dec[[#This Row],[Date]])&gt;0,IF(Dec[[#This Row],[Date]]&gt;14,"Yes","No"),"N/A")</f>
        <v>N/A</v>
      </c>
      <c r="P91" s="55"/>
      <c r="Q91" s="5">
        <f>Relay!A90</f>
        <v>0</v>
      </c>
      <c r="R91" s="5">
        <f>Relay!B90</f>
        <v>89</v>
      </c>
      <c r="S91" s="8">
        <f>IF(Dec[After the 14th?]="No",SUMIF(Dec[SysID],R91,Dec[Pay Amount]),0)+IF(Nov[After the 14th?]="Yes",SUMIF(Nov[SysID],R91,Nov[Pay Amount]),0)</f>
        <v>0</v>
      </c>
      <c r="T91" s="8"/>
      <c r="U91" s="5" t="str">
        <f t="shared" si="5"/>
        <v>N</v>
      </c>
      <c r="X91" s="56"/>
      <c r="Y91" s="56"/>
      <c r="Z91" s="56"/>
      <c r="AA91" s="56"/>
      <c r="AC91" s="56"/>
    </row>
    <row r="92" spans="1:29" x14ac:dyDescent="0.25">
      <c r="A92" s="35"/>
      <c r="B92" s="32" t="e">
        <f>VLOOKUP(A92,Relay!$A$1:$B$50,2,FALSE)</f>
        <v>#N/A</v>
      </c>
      <c r="C92" s="32" t="e">
        <f>VLOOKUP(A92,Relay!$A$2:$C$101,3,FALSE)</f>
        <v>#N/A</v>
      </c>
      <c r="D92" s="39"/>
      <c r="E92" s="35"/>
      <c r="F92" s="58" t="str">
        <f t="shared" si="3"/>
        <v>INS</v>
      </c>
      <c r="G92" s="32" t="e">
        <f>IF(OR(E92="Jeopardy",E92="APP Moonlighting",E92="Differential Pay"),"",Dec[[#This Row],[SysID]])</f>
        <v>#N/A</v>
      </c>
      <c r="H92" s="32" t="e">
        <f>IF(E92="Jeopardy",IF(C92="MD",Relay!$E$7,Relay!$E$8),IF(C92="MD",IF(COUNTIF(G:G,B92)&gt;1,Relay!$E$2,Relay!$E$1),IF(AND(COUNTIF(G:G,B92)&gt;1,COUNTA(A92)&gt;0),Relay!$E$5,Relay!$E$4)))</f>
        <v>#N/A</v>
      </c>
      <c r="I92" s="8">
        <f t="shared" si="4"/>
        <v>0</v>
      </c>
      <c r="J92" s="35"/>
      <c r="K92" s="35"/>
      <c r="L92" s="35"/>
      <c r="M92" s="35"/>
      <c r="N92" s="32" t="e">
        <f>IF(H92=Dec!$E$2,"N",IF(AND(COUNTIF(B:B,B92)=1,D92&gt;14),"Y","N"))</f>
        <v>#N/A</v>
      </c>
      <c r="O92" s="55" t="str">
        <f>IF(COUNT(Dec[[#This Row],[Date]])&gt;0,IF(Dec[[#This Row],[Date]]&gt;14,"Yes","No"),"N/A")</f>
        <v>N/A</v>
      </c>
      <c r="P92" s="55"/>
      <c r="Q92" s="5">
        <f>Relay!A91</f>
        <v>0</v>
      </c>
      <c r="R92" s="5">
        <f>Relay!B91</f>
        <v>90</v>
      </c>
      <c r="S92" s="8">
        <f>IF(Dec[After the 14th?]="No",SUMIF(Dec[SysID],R92,Dec[Pay Amount]),0)+IF(Nov[After the 14th?]="Yes",SUMIF(Nov[SysID],R92,Nov[Pay Amount]),0)</f>
        <v>0</v>
      </c>
      <c r="T92" s="8"/>
      <c r="U92" s="5" t="str">
        <f t="shared" si="5"/>
        <v>N</v>
      </c>
      <c r="X92" s="56"/>
      <c r="Y92" s="56"/>
      <c r="Z92" s="56"/>
      <c r="AA92" s="56"/>
      <c r="AC92" s="56"/>
    </row>
    <row r="93" spans="1:29" x14ac:dyDescent="0.25">
      <c r="A93" s="35"/>
      <c r="B93" s="32" t="e">
        <f>VLOOKUP(A93,Relay!$A$1:$B$50,2,FALSE)</f>
        <v>#N/A</v>
      </c>
      <c r="C93" s="32" t="e">
        <f>VLOOKUP(A93,Relay!$A$2:$C$101,3,FALSE)</f>
        <v>#N/A</v>
      </c>
      <c r="D93" s="39"/>
      <c r="E93" s="35"/>
      <c r="F93" s="58" t="str">
        <f t="shared" si="3"/>
        <v>INS</v>
      </c>
      <c r="G93" s="32" t="e">
        <f>IF(OR(E93="Jeopardy",E93="APP Moonlighting",E93="Differential Pay"),"",Dec[[#This Row],[SysID]])</f>
        <v>#N/A</v>
      </c>
      <c r="H93" s="32" t="e">
        <f>IF(E93="Jeopardy",IF(C93="MD",Relay!$E$7,Relay!$E$8),IF(C93="MD",IF(COUNTIF(G:G,B93)&gt;1,Relay!$E$2,Relay!$E$1),IF(AND(COUNTIF(G:G,B93)&gt;1,COUNTA(A93)&gt;0),Relay!$E$5,Relay!$E$4)))</f>
        <v>#N/A</v>
      </c>
      <c r="I93" s="8">
        <f t="shared" si="4"/>
        <v>0</v>
      </c>
      <c r="J93" s="35"/>
      <c r="K93" s="35"/>
      <c r="L93" s="35"/>
      <c r="M93" s="35"/>
      <c r="N93" s="32" t="e">
        <f>IF(H93=Dec!$E$2,"N",IF(AND(COUNTIF(B:B,B93)=1,D93&gt;14),"Y","N"))</f>
        <v>#N/A</v>
      </c>
      <c r="O93" s="55" t="str">
        <f>IF(COUNT(Dec[[#This Row],[Date]])&gt;0,IF(Dec[[#This Row],[Date]]&gt;14,"Yes","No"),"N/A")</f>
        <v>N/A</v>
      </c>
      <c r="P93" s="55"/>
      <c r="Q93" s="5">
        <f>Relay!A92</f>
        <v>0</v>
      </c>
      <c r="R93" s="5">
        <f>Relay!B92</f>
        <v>91</v>
      </c>
      <c r="S93" s="8">
        <f>IF(Dec[After the 14th?]="No",SUMIF(Dec[SysID],R93,Dec[Pay Amount]),0)+IF(Nov[After the 14th?]="Yes",SUMIF(Nov[SysID],R93,Nov[Pay Amount]),0)</f>
        <v>0</v>
      </c>
      <c r="T93" s="8"/>
      <c r="U93" s="5" t="str">
        <f t="shared" si="5"/>
        <v>N</v>
      </c>
      <c r="X93" s="56"/>
      <c r="Y93" s="56"/>
      <c r="Z93" s="56"/>
      <c r="AA93" s="56"/>
      <c r="AC93" s="56"/>
    </row>
    <row r="94" spans="1:29" x14ac:dyDescent="0.25">
      <c r="A94" s="35"/>
      <c r="B94" s="32" t="e">
        <f>VLOOKUP(A94,Relay!$A$1:$B$50,2,FALSE)</f>
        <v>#N/A</v>
      </c>
      <c r="C94" s="32" t="e">
        <f>VLOOKUP(A94,Relay!$A$2:$C$101,3,FALSE)</f>
        <v>#N/A</v>
      </c>
      <c r="D94" s="39"/>
      <c r="E94" s="35"/>
      <c r="F94" s="58" t="str">
        <f t="shared" si="3"/>
        <v>INS</v>
      </c>
      <c r="G94" s="32" t="e">
        <f>IF(OR(E94="Jeopardy",E94="APP Moonlighting",E94="Differential Pay"),"",Dec[[#This Row],[SysID]])</f>
        <v>#N/A</v>
      </c>
      <c r="H94" s="32" t="e">
        <f>IF(E94="Jeopardy",IF(C94="MD",Relay!$E$7,Relay!$E$8),IF(C94="MD",IF(COUNTIF(G:G,B94)&gt;1,Relay!$E$2,Relay!$E$1),IF(AND(COUNTIF(G:G,B94)&gt;1,COUNTA(A94)&gt;0),Relay!$E$5,Relay!$E$4)))</f>
        <v>#N/A</v>
      </c>
      <c r="I94" s="8">
        <f t="shared" si="4"/>
        <v>0</v>
      </c>
      <c r="J94" s="35"/>
      <c r="K94" s="35"/>
      <c r="L94" s="35"/>
      <c r="M94" s="35"/>
      <c r="N94" s="32" t="e">
        <f>IF(H94=Dec!$E$2,"N",IF(AND(COUNTIF(B:B,B94)=1,D94&gt;14),"Y","N"))</f>
        <v>#N/A</v>
      </c>
      <c r="O94" s="55" t="str">
        <f>IF(COUNT(Dec[[#This Row],[Date]])&gt;0,IF(Dec[[#This Row],[Date]]&gt;14,"Yes","No"),"N/A")</f>
        <v>N/A</v>
      </c>
      <c r="P94" s="55"/>
      <c r="Q94" s="5">
        <f>Relay!A93</f>
        <v>0</v>
      </c>
      <c r="R94" s="5">
        <f>Relay!B93</f>
        <v>92</v>
      </c>
      <c r="S94" s="8">
        <f>IF(Dec[After the 14th?]="No",SUMIF(Dec[SysID],R94,Dec[Pay Amount]),0)+IF(Nov[After the 14th?]="Yes",SUMIF(Nov[SysID],R94,Nov[Pay Amount]),0)</f>
        <v>0</v>
      </c>
      <c r="T94" s="8"/>
      <c r="U94" s="5" t="str">
        <f t="shared" si="5"/>
        <v>N</v>
      </c>
      <c r="X94" s="56"/>
      <c r="Y94" s="56"/>
      <c r="Z94" s="56"/>
      <c r="AA94" s="56"/>
      <c r="AC94" s="56"/>
    </row>
    <row r="95" spans="1:29" x14ac:dyDescent="0.25">
      <c r="A95" s="35"/>
      <c r="B95" s="32" t="e">
        <f>VLOOKUP(A95,Relay!$A$1:$B$50,2,FALSE)</f>
        <v>#N/A</v>
      </c>
      <c r="C95" s="32" t="e">
        <f>VLOOKUP(A95,Relay!$A$2:$C$101,3,FALSE)</f>
        <v>#N/A</v>
      </c>
      <c r="D95" s="39"/>
      <c r="E95" s="35"/>
      <c r="F95" s="58" t="str">
        <f t="shared" si="3"/>
        <v>INS</v>
      </c>
      <c r="G95" s="32" t="e">
        <f>IF(OR(E95="Jeopardy",E95="APP Moonlighting",E95="Differential Pay"),"",Dec[[#This Row],[SysID]])</f>
        <v>#N/A</v>
      </c>
      <c r="H95" s="32" t="e">
        <f>IF(E95="Jeopardy",IF(C95="MD",Relay!$E$7,Relay!$E$8),IF(C95="MD",IF(COUNTIF(G:G,B95)&gt;1,Relay!$E$2,Relay!$E$1),IF(AND(COUNTIF(G:G,B95)&gt;1,COUNTA(A95)&gt;0),Relay!$E$5,Relay!$E$4)))</f>
        <v>#N/A</v>
      </c>
      <c r="I95" s="8">
        <f t="shared" si="4"/>
        <v>0</v>
      </c>
      <c r="J95" s="35"/>
      <c r="K95" s="35"/>
      <c r="L95" s="35"/>
      <c r="M95" s="35"/>
      <c r="N95" s="32" t="e">
        <f>IF(H95=Dec!$E$2,"N",IF(AND(COUNTIF(B:B,B95)=1,D95&gt;14),"Y","N"))</f>
        <v>#N/A</v>
      </c>
      <c r="O95" s="55" t="str">
        <f>IF(COUNT(Dec[[#This Row],[Date]])&gt;0,IF(Dec[[#This Row],[Date]]&gt;14,"Yes","No"),"N/A")</f>
        <v>N/A</v>
      </c>
      <c r="P95" s="55"/>
      <c r="Q95" s="5">
        <f>Relay!A94</f>
        <v>0</v>
      </c>
      <c r="R95" s="5">
        <f>Relay!B94</f>
        <v>93</v>
      </c>
      <c r="S95" s="8">
        <f>IF(Dec[After the 14th?]="No",SUMIF(Dec[SysID],R95,Dec[Pay Amount]),0)+IF(Nov[After the 14th?]="Yes",SUMIF(Nov[SysID],R95,Nov[Pay Amount]),0)</f>
        <v>0</v>
      </c>
      <c r="T95" s="8"/>
      <c r="U95" s="5" t="str">
        <f t="shared" si="5"/>
        <v>N</v>
      </c>
      <c r="X95" s="56"/>
      <c r="Y95" s="56"/>
      <c r="Z95" s="56"/>
      <c r="AA95" s="56"/>
      <c r="AC95" s="56"/>
    </row>
    <row r="96" spans="1:29" x14ac:dyDescent="0.25">
      <c r="A96" s="35"/>
      <c r="B96" s="32" t="e">
        <f>VLOOKUP(A96,Relay!$A$1:$B$50,2,FALSE)</f>
        <v>#N/A</v>
      </c>
      <c r="C96" s="32" t="e">
        <f>VLOOKUP(A96,Relay!$A$2:$C$101,3,FALSE)</f>
        <v>#N/A</v>
      </c>
      <c r="D96" s="39"/>
      <c r="E96" s="35"/>
      <c r="F96" s="58" t="str">
        <f t="shared" si="3"/>
        <v>INS</v>
      </c>
      <c r="G96" s="32" t="e">
        <f>IF(OR(E96="Jeopardy",E96="APP Moonlighting",E96="Differential Pay"),"",Dec[[#This Row],[SysID]])</f>
        <v>#N/A</v>
      </c>
      <c r="H96" s="32" t="e">
        <f>IF(E96="Jeopardy",IF(C96="MD",Relay!$E$7,Relay!$E$8),IF(C96="MD",IF(COUNTIF(G:G,B96)&gt;1,Relay!$E$2,Relay!$E$1),IF(AND(COUNTIF(G:G,B96)&gt;1,COUNTA(A96)&gt;0),Relay!$E$5,Relay!$E$4)))</f>
        <v>#N/A</v>
      </c>
      <c r="I96" s="8">
        <f t="shared" si="4"/>
        <v>0</v>
      </c>
      <c r="J96" s="35"/>
      <c r="K96" s="35"/>
      <c r="L96" s="35"/>
      <c r="M96" s="35"/>
      <c r="N96" s="32" t="e">
        <f>IF(H96=Dec!$E$2,"N",IF(AND(COUNTIF(B:B,B96)=1,D96&gt;14),"Y","N"))</f>
        <v>#N/A</v>
      </c>
      <c r="O96" s="55" t="str">
        <f>IF(COUNT(Dec[[#This Row],[Date]])&gt;0,IF(Dec[[#This Row],[Date]]&gt;14,"Yes","No"),"N/A")</f>
        <v>N/A</v>
      </c>
      <c r="P96" s="55"/>
      <c r="Q96" s="5">
        <f>Relay!A95</f>
        <v>0</v>
      </c>
      <c r="R96" s="5">
        <f>Relay!B95</f>
        <v>94</v>
      </c>
      <c r="S96" s="8">
        <f>IF(Dec[After the 14th?]="No",SUMIF(Dec[SysID],R96,Dec[Pay Amount]),0)+IF(Nov[After the 14th?]="Yes",SUMIF(Nov[SysID],R96,Nov[Pay Amount]),0)</f>
        <v>0</v>
      </c>
      <c r="T96" s="8"/>
      <c r="U96" s="5" t="str">
        <f t="shared" si="5"/>
        <v>N</v>
      </c>
      <c r="X96" s="56"/>
      <c r="Y96" s="56"/>
      <c r="Z96" s="56"/>
      <c r="AA96" s="56"/>
      <c r="AC96" s="56"/>
    </row>
    <row r="97" spans="1:29" x14ac:dyDescent="0.25">
      <c r="A97" s="35"/>
      <c r="B97" s="32" t="e">
        <f>VLOOKUP(A97,Relay!$A$1:$B$50,2,FALSE)</f>
        <v>#N/A</v>
      </c>
      <c r="C97" s="32" t="e">
        <f>VLOOKUP(A97,Relay!$A$2:$C$101,3,FALSE)</f>
        <v>#N/A</v>
      </c>
      <c r="D97" s="39"/>
      <c r="E97" s="35"/>
      <c r="F97" s="58" t="str">
        <f t="shared" si="3"/>
        <v>INS</v>
      </c>
      <c r="G97" s="32" t="e">
        <f>IF(OR(E97="Jeopardy",E97="APP Moonlighting",E97="Differential Pay"),"",Dec[[#This Row],[SysID]])</f>
        <v>#N/A</v>
      </c>
      <c r="H97" s="32" t="e">
        <f>IF(E97="Jeopardy",IF(C97="MD",Relay!$E$7,Relay!$E$8),IF(C97="MD",IF(COUNTIF(G:G,B97)&gt;1,Relay!$E$2,Relay!$E$1),IF(AND(COUNTIF(G:G,B97)&gt;1,COUNTA(A97)&gt;0),Relay!$E$5,Relay!$E$4)))</f>
        <v>#N/A</v>
      </c>
      <c r="I97" s="8">
        <f t="shared" si="4"/>
        <v>0</v>
      </c>
      <c r="J97" s="35"/>
      <c r="K97" s="35"/>
      <c r="L97" s="35"/>
      <c r="M97" s="35"/>
      <c r="N97" s="32" t="e">
        <f>IF(H97=Dec!$E$2,"N",IF(AND(COUNTIF(B:B,B97)=1,D97&gt;14),"Y","N"))</f>
        <v>#N/A</v>
      </c>
      <c r="O97" s="55" t="str">
        <f>IF(COUNT(Dec[[#This Row],[Date]])&gt;0,IF(Dec[[#This Row],[Date]]&gt;14,"Yes","No"),"N/A")</f>
        <v>N/A</v>
      </c>
      <c r="P97" s="55"/>
      <c r="Q97" s="5">
        <f>Relay!A96</f>
        <v>0</v>
      </c>
      <c r="R97" s="5">
        <f>Relay!B96</f>
        <v>95</v>
      </c>
      <c r="S97" s="8">
        <f>IF(Dec[After the 14th?]="No",SUMIF(Dec[SysID],R97,Dec[Pay Amount]),0)+IF(Nov[After the 14th?]="Yes",SUMIF(Nov[SysID],R97,Nov[Pay Amount]),0)</f>
        <v>0</v>
      </c>
      <c r="T97" s="8"/>
      <c r="U97" s="5" t="str">
        <f t="shared" si="5"/>
        <v>N</v>
      </c>
      <c r="X97" s="56"/>
      <c r="Y97" s="56"/>
      <c r="Z97" s="56"/>
      <c r="AA97" s="56"/>
      <c r="AC97" s="56"/>
    </row>
    <row r="98" spans="1:29" x14ac:dyDescent="0.25">
      <c r="A98" s="35"/>
      <c r="B98" s="32" t="e">
        <f>VLOOKUP(A98,Relay!$A$1:$B$50,2,FALSE)</f>
        <v>#N/A</v>
      </c>
      <c r="C98" s="32" t="e">
        <f>VLOOKUP(A98,Relay!$A$2:$C$101,3,FALSE)</f>
        <v>#N/A</v>
      </c>
      <c r="D98" s="39"/>
      <c r="E98" s="35"/>
      <c r="F98" s="58" t="str">
        <f t="shared" si="3"/>
        <v>INS</v>
      </c>
      <c r="G98" s="32" t="e">
        <f>IF(OR(E98="Jeopardy",E98="APP Moonlighting",E98="Differential Pay"),"",Dec[[#This Row],[SysID]])</f>
        <v>#N/A</v>
      </c>
      <c r="H98" s="32" t="e">
        <f>IF(E98="Jeopardy",IF(C98="MD",Relay!$E$7,Relay!$E$8),IF(C98="MD",IF(COUNTIF(G:G,B98)&gt;1,Relay!$E$2,Relay!$E$1),IF(AND(COUNTIF(G:G,B98)&gt;1,COUNTA(A98)&gt;0),Relay!$E$5,Relay!$E$4)))</f>
        <v>#N/A</v>
      </c>
      <c r="I98" s="8">
        <f t="shared" si="4"/>
        <v>0</v>
      </c>
      <c r="J98" s="35"/>
      <c r="K98" s="35"/>
      <c r="L98" s="35"/>
      <c r="M98" s="35"/>
      <c r="N98" s="32" t="e">
        <f>IF(H98=Dec!$E$2,"N",IF(AND(COUNTIF(B:B,B98)=1,D98&gt;14),"Y","N"))</f>
        <v>#N/A</v>
      </c>
      <c r="O98" s="55" t="str">
        <f>IF(COUNT(Dec[[#This Row],[Date]])&gt;0,IF(Dec[[#This Row],[Date]]&gt;14,"Yes","No"),"N/A")</f>
        <v>N/A</v>
      </c>
      <c r="P98" s="55"/>
      <c r="Q98" s="5">
        <f>Relay!A97</f>
        <v>0</v>
      </c>
      <c r="R98" s="5">
        <f>Relay!B97</f>
        <v>96</v>
      </c>
      <c r="S98" s="8">
        <f>IF(Dec[After the 14th?]="No",SUMIF(Dec[SysID],R98,Dec[Pay Amount]),0)+IF(Nov[After the 14th?]="Yes",SUMIF(Nov[SysID],R98,Nov[Pay Amount]),0)</f>
        <v>0</v>
      </c>
      <c r="T98" s="8"/>
      <c r="U98" s="5" t="str">
        <f t="shared" si="5"/>
        <v>N</v>
      </c>
      <c r="X98" s="56"/>
      <c r="Y98" s="56"/>
      <c r="Z98" s="56"/>
      <c r="AA98" s="56"/>
      <c r="AC98" s="56"/>
    </row>
    <row r="99" spans="1:29" x14ac:dyDescent="0.25">
      <c r="A99" s="35"/>
      <c r="B99" s="32" t="e">
        <f>VLOOKUP(A99,Relay!$A$1:$B$50,2,FALSE)</f>
        <v>#N/A</v>
      </c>
      <c r="C99" s="32" t="e">
        <f>VLOOKUP(A99,Relay!$A$2:$C$101,3,FALSE)</f>
        <v>#N/A</v>
      </c>
      <c r="D99" s="39"/>
      <c r="E99" s="35"/>
      <c r="F99" s="58" t="str">
        <f t="shared" si="3"/>
        <v>INS</v>
      </c>
      <c r="G99" s="32" t="e">
        <f>IF(OR(E99="Jeopardy",E99="APP Moonlighting",E99="Differential Pay"),"",Dec[[#This Row],[SysID]])</f>
        <v>#N/A</v>
      </c>
      <c r="H99" s="32" t="e">
        <f>IF(E99="Jeopardy",IF(C99="MD",Relay!$E$7,Relay!$E$8),IF(C99="MD",IF(COUNTIF(G:G,B99)&gt;1,Relay!$E$2,Relay!$E$1),IF(AND(COUNTIF(G:G,B99)&gt;1,COUNTA(A99)&gt;0),Relay!$E$5,Relay!$E$4)))</f>
        <v>#N/A</v>
      </c>
      <c r="I99" s="8">
        <f t="shared" si="4"/>
        <v>0</v>
      </c>
      <c r="J99" s="35"/>
      <c r="K99" s="35"/>
      <c r="L99" s="35"/>
      <c r="M99" s="35"/>
      <c r="N99" s="32" t="e">
        <f>IF(H99=Dec!$E$2,"N",IF(AND(COUNTIF(B:B,B99)=1,D99&gt;14),"Y","N"))</f>
        <v>#N/A</v>
      </c>
      <c r="O99" s="55" t="str">
        <f>IF(COUNT(Dec[[#This Row],[Date]])&gt;0,IF(Dec[[#This Row],[Date]]&gt;14,"Yes","No"),"N/A")</f>
        <v>N/A</v>
      </c>
      <c r="P99" s="55"/>
      <c r="Q99" s="5">
        <f>Relay!A98</f>
        <v>0</v>
      </c>
      <c r="R99" s="5">
        <f>Relay!B98</f>
        <v>97</v>
      </c>
      <c r="S99" s="8">
        <f>IF(Dec[After the 14th?]="No",SUMIF(Dec[SysID],R99,Dec[Pay Amount]),0)+IF(Nov[After the 14th?]="Yes",SUMIF(Nov[SysID],R99,Nov[Pay Amount]),0)</f>
        <v>0</v>
      </c>
      <c r="T99" s="8"/>
      <c r="U99" s="5" t="str">
        <f t="shared" si="5"/>
        <v>N</v>
      </c>
      <c r="X99" s="56"/>
      <c r="Y99" s="56"/>
      <c r="Z99" s="56"/>
      <c r="AA99" s="56"/>
      <c r="AC99" s="56"/>
    </row>
    <row r="100" spans="1:29" x14ac:dyDescent="0.25">
      <c r="A100" s="35"/>
      <c r="B100" s="32" t="e">
        <f>VLOOKUP(A100,Relay!$A$1:$B$50,2,FALSE)</f>
        <v>#N/A</v>
      </c>
      <c r="C100" s="32" t="e">
        <f>VLOOKUP(A100,Relay!$A$2:$C$101,3,FALSE)</f>
        <v>#N/A</v>
      </c>
      <c r="D100" s="39"/>
      <c r="E100" s="35"/>
      <c r="F100" s="58" t="str">
        <f t="shared" si="3"/>
        <v>INS</v>
      </c>
      <c r="G100" s="32" t="e">
        <f>IF(OR(E100="Jeopardy",E100="APP Moonlighting",E100="Differential Pay"),"",Dec[[#This Row],[SysID]])</f>
        <v>#N/A</v>
      </c>
      <c r="H100" s="32" t="e">
        <f>IF(E100="Jeopardy",IF(C100="MD",Relay!$E$7,Relay!$E$8),IF(C100="MD",IF(COUNTIF(G:G,B100)&gt;1,Relay!$E$2,Relay!$E$1),IF(AND(COUNTIF(G:G,B100)&gt;1,COUNTA(A100)&gt;0),Relay!$E$5,Relay!$E$4)))</f>
        <v>#N/A</v>
      </c>
      <c r="I100" s="8">
        <f t="shared" si="4"/>
        <v>0</v>
      </c>
      <c r="J100" s="35"/>
      <c r="K100" s="35"/>
      <c r="L100" s="35"/>
      <c r="M100" s="35"/>
      <c r="N100" s="32" t="e">
        <f>IF(H100=Dec!$E$2,"N",IF(AND(COUNTIF(B:B,B100)=1,D100&gt;14),"Y","N"))</f>
        <v>#N/A</v>
      </c>
      <c r="O100" s="55" t="str">
        <f>IF(COUNT(Dec[[#This Row],[Date]])&gt;0,IF(Dec[[#This Row],[Date]]&gt;14,"Yes","No"),"N/A")</f>
        <v>N/A</v>
      </c>
      <c r="P100" s="55"/>
      <c r="Q100" s="5">
        <f>Relay!A99</f>
        <v>0</v>
      </c>
      <c r="R100" s="5">
        <f>Relay!B99</f>
        <v>98</v>
      </c>
      <c r="S100" s="8">
        <f>IF(Dec[After the 14th?]="No",SUMIF(Dec[SysID],R100,Dec[Pay Amount]),0)+IF(Nov[After the 14th?]="Yes",SUMIF(Nov[SysID],R100,Nov[Pay Amount]),0)</f>
        <v>0</v>
      </c>
      <c r="T100" s="8"/>
      <c r="U100" s="5" t="str">
        <f t="shared" si="5"/>
        <v>N</v>
      </c>
      <c r="X100" s="56"/>
      <c r="Y100" s="56"/>
      <c r="Z100" s="56"/>
      <c r="AA100" s="56"/>
      <c r="AC100" s="56"/>
    </row>
    <row r="101" spans="1:29" x14ac:dyDescent="0.25">
      <c r="A101" s="35"/>
      <c r="B101" s="32" t="e">
        <f>VLOOKUP(A101,Relay!$A$1:$B$50,2,FALSE)</f>
        <v>#N/A</v>
      </c>
      <c r="C101" s="32" t="e">
        <f>VLOOKUP(A101,Relay!$A$2:$C$101,3,FALSE)</f>
        <v>#N/A</v>
      </c>
      <c r="D101" s="39"/>
      <c r="E101" s="35"/>
      <c r="F101" s="58" t="str">
        <f t="shared" si="3"/>
        <v>INS</v>
      </c>
      <c r="G101" s="32" t="e">
        <f>IF(OR(E101="Jeopardy",E101="APP Moonlighting",E101="Differential Pay"),"",Dec[[#This Row],[SysID]])</f>
        <v>#N/A</v>
      </c>
      <c r="H101" s="32" t="e">
        <f>IF(E101="Jeopardy",IF(C101="MD",Relay!$E$7,Relay!$E$8),IF(C101="MD",IF(COUNTIF(G:G,B101)&gt;1,Relay!$E$2,Relay!$E$1),IF(AND(COUNTIF(G:G,B101)&gt;1,COUNTA(A101)&gt;0),Relay!$E$5,Relay!$E$4)))</f>
        <v>#N/A</v>
      </c>
      <c r="I101" s="8">
        <f t="shared" si="4"/>
        <v>0</v>
      </c>
      <c r="J101" s="35"/>
      <c r="K101" s="35"/>
      <c r="L101" s="35"/>
      <c r="M101" s="35"/>
      <c r="N101" s="32" t="e">
        <f>IF(H101=Dec!$E$2,"N",IF(AND(COUNTIF(B:B,B101)=1,D101&gt;14),"Y","N"))</f>
        <v>#N/A</v>
      </c>
      <c r="O101" s="55" t="str">
        <f>IF(COUNT(Dec[[#This Row],[Date]])&gt;0,IF(Dec[[#This Row],[Date]]&gt;14,"Yes","No"),"N/A")</f>
        <v>N/A</v>
      </c>
      <c r="P101" s="55"/>
      <c r="Q101" s="5">
        <f>Relay!A100</f>
        <v>0</v>
      </c>
      <c r="R101" s="5">
        <f>Relay!B100</f>
        <v>99</v>
      </c>
      <c r="S101" s="8">
        <f>IF(Dec[After the 14th?]="No",SUMIF(Dec[SysID],R101,Dec[Pay Amount]),0)+IF(Nov[After the 14th?]="Yes",SUMIF(Nov[SysID],R101,Nov[Pay Amount]),0)</f>
        <v>0</v>
      </c>
      <c r="T101" s="8"/>
      <c r="U101" s="5" t="str">
        <f t="shared" si="5"/>
        <v>N</v>
      </c>
      <c r="X101" s="56"/>
      <c r="Y101" s="56"/>
      <c r="Z101" s="56"/>
      <c r="AA101" s="56"/>
      <c r="AC101" s="56"/>
    </row>
    <row r="102" spans="1:29" x14ac:dyDescent="0.25">
      <c r="A102" s="35"/>
      <c r="B102" s="32" t="e">
        <f>VLOOKUP(A102,Relay!$A$1:$B$50,2,FALSE)</f>
        <v>#N/A</v>
      </c>
      <c r="C102" s="32" t="e">
        <f>VLOOKUP(A102,Relay!$A$2:$C$101,3,FALSE)</f>
        <v>#N/A</v>
      </c>
      <c r="D102" s="39"/>
      <c r="E102" s="35"/>
      <c r="F102" s="58" t="str">
        <f t="shared" si="3"/>
        <v>INS</v>
      </c>
      <c r="G102" s="32" t="e">
        <f>IF(OR(E102="Jeopardy",E102="APP Moonlighting",E102="Differential Pay"),"",Dec[[#This Row],[SysID]])</f>
        <v>#N/A</v>
      </c>
      <c r="H102" s="32" t="e">
        <f>IF(E102="Jeopardy",IF(C102="MD",Relay!$E$7,Relay!$E$8),IF(C102="MD",IF(COUNTIF(G:G,B102)&gt;1,Relay!$E$2,Relay!$E$1),IF(AND(COUNTIF(G:G,B102)&gt;1,COUNTA(A102)&gt;0),Relay!$E$5,Relay!$E$4)))</f>
        <v>#N/A</v>
      </c>
      <c r="I102" s="8">
        <f t="shared" si="4"/>
        <v>0</v>
      </c>
      <c r="J102" s="35"/>
      <c r="K102" s="35"/>
      <c r="L102" s="35"/>
      <c r="M102" s="35"/>
      <c r="N102" s="32" t="e">
        <f>IF(H102=Dec!$E$2,"N",IF(AND(COUNTIF(B:B,B102)=1,D102&gt;14),"Y","N"))</f>
        <v>#N/A</v>
      </c>
      <c r="O102" s="55" t="str">
        <f>IF(COUNT(Dec[[#This Row],[Date]])&gt;0,IF(Dec[[#This Row],[Date]]&gt;14,"Yes","No"),"N/A")</f>
        <v>N/A</v>
      </c>
      <c r="P102" s="55"/>
      <c r="Q102" s="5">
        <f>Relay!A101</f>
        <v>0</v>
      </c>
      <c r="R102" s="5">
        <f>Relay!B101</f>
        <v>100</v>
      </c>
      <c r="S102" s="8">
        <f>IF(Dec[After the 14th?]="No",SUMIF(Dec[SysID],R102,Dec[Pay Amount]),0)+IF(Nov[After the 14th?]="Yes",SUMIF(Nov[SysID],R102,Nov[Pay Amount]),0)</f>
        <v>0</v>
      </c>
      <c r="T102" s="8"/>
      <c r="U102" s="5" t="str">
        <f t="shared" si="5"/>
        <v>N</v>
      </c>
      <c r="X102" s="56"/>
      <c r="Y102" s="56"/>
      <c r="Z102" s="56"/>
      <c r="AA102" s="56"/>
      <c r="AC102" s="56"/>
    </row>
    <row r="103" spans="1:29" x14ac:dyDescent="0.25">
      <c r="A103" s="35"/>
      <c r="B103" s="32" t="e">
        <f>VLOOKUP(A103,Relay!$A$1:$B$50,2,FALSE)</f>
        <v>#N/A</v>
      </c>
      <c r="C103" s="32" t="e">
        <f>VLOOKUP(A103,Relay!$A$2:$C$101,3,FALSE)</f>
        <v>#N/A</v>
      </c>
      <c r="D103" s="39"/>
      <c r="E103" s="35"/>
      <c r="F103" s="58" t="str">
        <f t="shared" si="3"/>
        <v>INS</v>
      </c>
      <c r="G103" s="32" t="e">
        <f>IF(OR(E103="Jeopardy",E103="APP Moonlighting",E103="Differential Pay"),"",Dec[[#This Row],[SysID]])</f>
        <v>#N/A</v>
      </c>
      <c r="H103" s="32" t="e">
        <f>IF(E103="Jeopardy",IF(C103="MD",Relay!$E$7,Relay!$E$8),IF(C103="MD",IF(COUNTIF(G:G,B103)&gt;1,Relay!$E$2,Relay!$E$1),IF(AND(COUNTIF(G:G,B103)&gt;1,COUNTA(A103)&gt;0),Relay!$E$5,Relay!$E$4)))</f>
        <v>#N/A</v>
      </c>
      <c r="I103" s="8">
        <f t="shared" si="4"/>
        <v>0</v>
      </c>
      <c r="J103" s="35"/>
      <c r="K103" s="35"/>
      <c r="L103" s="35"/>
      <c r="M103" s="35"/>
      <c r="N103" s="32" t="e">
        <f>IF(H103=Dec!$E$2,"N",IF(AND(COUNTIF(B:B,B103)=1,D103&gt;14),"Y","N"))</f>
        <v>#N/A</v>
      </c>
      <c r="O103" s="55" t="str">
        <f>IF(COUNT(Dec[[#This Row],[Date]])&gt;0,IF(Dec[[#This Row],[Date]]&gt;14,"Yes","No"),"N/A")</f>
        <v>N/A</v>
      </c>
      <c r="P103" s="55"/>
      <c r="Q103">
        <f>Relay!A102</f>
        <v>0</v>
      </c>
      <c r="R103">
        <f>Relay!B102</f>
        <v>0</v>
      </c>
      <c r="S103" s="9">
        <f>IF(Dec[After the 14th?]="No",SUMIF(Dec[SysID],R103,Dec[Pay Amount]),0)+IF(Nov[After the 14th?]="Yes",SUMIF(Nov[SysID],R103,Nov[Pay Amount]),0)</f>
        <v>0</v>
      </c>
      <c r="U103" s="5" t="str">
        <f t="shared" si="5"/>
        <v>N</v>
      </c>
      <c r="X103" s="56"/>
      <c r="Y103" s="56"/>
      <c r="Z103" s="56"/>
      <c r="AA103" s="56"/>
      <c r="AC103" s="56"/>
    </row>
  </sheetData>
  <conditionalFormatting sqref="N1:N1048576">
    <cfRule type="containsText" dxfId="279" priority="6" operator="containsText" text="Y">
      <formula>NOT(ISERROR(SEARCH("Y",N1)))</formula>
    </cfRule>
  </conditionalFormatting>
  <conditionalFormatting sqref="F1:G1048576">
    <cfRule type="containsText" dxfId="278" priority="5" operator="containsText" text="INS">
      <formula>NOT(ISERROR(SEARCH("INS",F1)))</formula>
    </cfRule>
  </conditionalFormatting>
  <conditionalFormatting sqref="O1:O1048576">
    <cfRule type="containsText" dxfId="277" priority="2" operator="containsText" text="yes">
      <formula>NOT(ISERROR(SEARCH("yes",O1)))</formula>
    </cfRule>
    <cfRule type="containsText" dxfId="276" priority="3" operator="containsText" text="no">
      <formula>NOT(ISERROR(SEARCH("no",O1)))</formula>
    </cfRule>
    <cfRule type="containsText" dxfId="275" priority="4" operator="containsText" text="/">
      <formula>NOT(ISERROR(SEARCH("/",O1)))</formula>
    </cfRule>
  </conditionalFormatting>
  <conditionalFormatting sqref="U1:U1048576">
    <cfRule type="containsText" dxfId="274" priority="1" operator="containsText" text="Y">
      <formula>NOT(ISERROR(SEARCH("Y",U1)))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Relay!$D$11:$D$16</xm:f>
          </x14:formula1>
          <xm:sqref>E3:E103</xm:sqref>
        </x14:dataValidation>
        <x14:dataValidation type="list" allowBlank="1" showInputMessage="1" showErrorMessage="1">
          <x14:formula1>
            <xm:f>Relay!$A$2:$A$101</xm:f>
          </x14:formula1>
          <xm:sqref>A3:A103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103"/>
  <sheetViews>
    <sheetView workbookViewId="0">
      <selection activeCell="B1" sqref="B1:B1048576"/>
    </sheetView>
  </sheetViews>
  <sheetFormatPr defaultRowHeight="15" x14ac:dyDescent="0.25"/>
  <cols>
    <col min="1" max="1" width="21.7109375" style="36" customWidth="1"/>
    <col min="2" max="2" width="9.140625" hidden="1" customWidth="1"/>
    <col min="3" max="3" width="12.85546875" bestFit="1" customWidth="1"/>
    <col min="4" max="4" width="10.7109375" style="40" bestFit="1" customWidth="1"/>
    <col min="5" max="5" width="12.85546875" style="36" bestFit="1" customWidth="1"/>
    <col min="6" max="6" width="12.85546875" style="36" customWidth="1"/>
    <col min="7" max="7" width="12.85546875" customWidth="1"/>
    <col min="8" max="8" width="10.7109375" customWidth="1"/>
    <col min="9" max="9" width="15.5703125" style="9" bestFit="1" customWidth="1"/>
    <col min="10" max="10" width="9.140625" style="36" customWidth="1"/>
    <col min="11" max="11" width="13.140625" style="36" bestFit="1" customWidth="1"/>
    <col min="12" max="12" width="15.5703125" style="36" bestFit="1" customWidth="1"/>
    <col min="13" max="13" width="14.140625" style="36" bestFit="1" customWidth="1"/>
    <col min="14" max="14" width="19.5703125" hidden="1" customWidth="1"/>
    <col min="15" max="16" width="17" customWidth="1"/>
    <col min="17" max="17" width="16.42578125" customWidth="1"/>
    <col min="19" max="19" width="15" style="9" bestFit="1" customWidth="1"/>
    <col min="20" max="20" width="16.28515625" style="9" bestFit="1" customWidth="1"/>
    <col min="21" max="21" width="9.140625" style="5"/>
    <col min="22" max="22" width="14.28515625" bestFit="1" customWidth="1"/>
    <col min="23" max="23" width="21.7109375" customWidth="1"/>
    <col min="27" max="27" width="12.85546875" bestFit="1" customWidth="1"/>
    <col min="28" max="28" width="9" style="9" bestFit="1" customWidth="1"/>
    <col min="29" max="29" width="8.42578125" bestFit="1" customWidth="1"/>
    <col min="30" max="30" width="10.42578125" style="9" bestFit="1" customWidth="1"/>
  </cols>
  <sheetData>
    <row r="1" spans="1:30" s="3" customFormat="1" x14ac:dyDescent="0.25">
      <c r="A1" s="33" t="s">
        <v>55</v>
      </c>
      <c r="D1" s="37"/>
      <c r="E1" s="41"/>
      <c r="F1" s="41"/>
      <c r="I1" s="6"/>
      <c r="J1" s="41"/>
      <c r="K1" s="41"/>
      <c r="L1" s="41"/>
      <c r="M1" s="41"/>
      <c r="Q1" s="2" t="s">
        <v>14</v>
      </c>
      <c r="S1" s="6"/>
      <c r="T1" s="6"/>
      <c r="U1" s="71"/>
      <c r="V1" s="2"/>
      <c r="AB1" s="6"/>
      <c r="AD1" s="6"/>
    </row>
    <row r="2" spans="1:30" x14ac:dyDescent="0.25">
      <c r="A2" s="34" t="s">
        <v>3</v>
      </c>
      <c r="B2" s="4" t="s">
        <v>2</v>
      </c>
      <c r="C2" s="4" t="s">
        <v>4</v>
      </c>
      <c r="D2" s="38" t="s">
        <v>1</v>
      </c>
      <c r="E2" s="34" t="s">
        <v>5</v>
      </c>
      <c r="F2" s="34" t="s">
        <v>6</v>
      </c>
      <c r="G2" s="4" t="s">
        <v>35</v>
      </c>
      <c r="H2" s="4" t="s">
        <v>7</v>
      </c>
      <c r="I2" s="7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11" t="s">
        <v>13</v>
      </c>
      <c r="O2" s="4" t="s">
        <v>70</v>
      </c>
      <c r="P2" s="4"/>
      <c r="Q2" s="5" t="s">
        <v>69</v>
      </c>
      <c r="R2" s="5" t="s">
        <v>2</v>
      </c>
      <c r="S2" s="8" t="s">
        <v>71</v>
      </c>
      <c r="T2" s="8" t="s">
        <v>16</v>
      </c>
      <c r="U2" s="5" t="s">
        <v>13</v>
      </c>
    </row>
    <row r="3" spans="1:30" x14ac:dyDescent="0.25">
      <c r="A3" s="35"/>
      <c r="B3" s="5" t="e">
        <f>VLOOKUP(A3,Relay!$A$1:$B$50,2,FALSE)</f>
        <v>#N/A</v>
      </c>
      <c r="C3" s="5" t="e">
        <f>VLOOKUP(A3,Relay!$A$2:$C$51,3,FALSE)</f>
        <v>#N/A</v>
      </c>
      <c r="D3" s="39"/>
      <c r="E3" s="35"/>
      <c r="F3" s="35" t="str">
        <f t="shared" ref="F3:F66" si="0">IF(E3="Moonlighting", 12, "INS")</f>
        <v>INS</v>
      </c>
      <c r="G3" s="5" t="e">
        <f>IF(OR(E3="Jeopardy",E3="APP Moonlighting",E3="Differential Pay"),"",Jan[[#This Row],[SysID]])</f>
        <v>#N/A</v>
      </c>
      <c r="H3" s="5" t="e">
        <f>IF(E3="Jeopardy",IF(C3="MD",Relay!$E$7,Relay!$E$8),IF(C3="MD",IF(COUNTIF(G:G,B3)&gt;1,Relay!$E$2,Relay!$E$1),IF(AND(COUNTIF(G:G,B3)&gt;1,COUNTA(A3)&gt;0),Relay!$E$5,Relay!$E$4)))</f>
        <v>#N/A</v>
      </c>
      <c r="I3" s="8">
        <f t="shared" ref="I3:I66" si="1">IF(COUNTA(A3)&gt;0,H3*F3,0)</f>
        <v>0</v>
      </c>
      <c r="J3" s="35"/>
      <c r="K3" s="35"/>
      <c r="L3" s="35"/>
      <c r="M3" s="35"/>
      <c r="N3" s="10" t="e">
        <f>IF(H3=Jan!$E$2,"N",IF(AND(COUNTIF(B:B,B3)=1,D3&gt;14),"Y","N"))</f>
        <v>#N/A</v>
      </c>
      <c r="O3" s="55" t="str">
        <f>IF(COUNT(Jan[[#This Row],[Date]])&gt;0,IF(Jan[[#This Row],[Date]]&gt;14,"Yes","No"),"N/A")</f>
        <v>N/A</v>
      </c>
      <c r="P3" s="55"/>
      <c r="Q3" s="5">
        <f>Relay!A2</f>
        <v>0</v>
      </c>
      <c r="R3" s="5">
        <f>Relay!B2</f>
        <v>1</v>
      </c>
      <c r="S3" s="8">
        <f>IF(Jan[After the 14th?]="No",SUMIF(Jan[SysID],R3,Jan[Pay Amount]),0)+IF(Dec[After the 14th?]="Yes",SUMIF(Dec[SysID],R3,Dec[Pay Amount]),0)</f>
        <v>0</v>
      </c>
      <c r="T3" s="8"/>
      <c r="U3" s="5" t="str">
        <f t="shared" ref="U3:U66" si="2">IF(S3=T3,"N","Y")</f>
        <v>N</v>
      </c>
      <c r="V3" s="57"/>
      <c r="W3" s="57"/>
      <c r="X3" s="56"/>
      <c r="Y3" s="56"/>
      <c r="Z3" s="56"/>
      <c r="AA3" s="56"/>
      <c r="AC3" s="56"/>
    </row>
    <row r="4" spans="1:30" x14ac:dyDescent="0.25">
      <c r="A4" s="35"/>
      <c r="B4" s="5" t="e">
        <f>VLOOKUP(A4,Relay!$A$1:$B$50,2,FALSE)</f>
        <v>#N/A</v>
      </c>
      <c r="C4" s="5" t="e">
        <f>VLOOKUP(A4,Relay!$A$2:$C$51,3,FALSE)</f>
        <v>#N/A</v>
      </c>
      <c r="D4" s="39"/>
      <c r="E4" s="35"/>
      <c r="F4" s="35" t="str">
        <f t="shared" si="0"/>
        <v>INS</v>
      </c>
      <c r="G4" s="5" t="e">
        <f>IF(OR(E4="Jeopardy",E4="APP Moonlighting",E4="Differential Pay"),"",Jan[[#This Row],[SysID]])</f>
        <v>#N/A</v>
      </c>
      <c r="H4" s="5" t="e">
        <f>IF(E4="Jeopardy",IF(C4="MD",Relay!$E$7,Relay!$E$8),IF(C4="MD",IF(COUNTIF(G:G,B4)&gt;1,Relay!$E$2,Relay!$E$1),IF(AND(COUNTIF(G:G,B4)&gt;1,COUNTA(A4)&gt;0),Relay!$E$5,Relay!$E$4)))</f>
        <v>#N/A</v>
      </c>
      <c r="I4" s="8">
        <f t="shared" si="1"/>
        <v>0</v>
      </c>
      <c r="J4" s="35"/>
      <c r="K4" s="35"/>
      <c r="L4" s="35"/>
      <c r="M4" s="35"/>
      <c r="N4" s="10" t="e">
        <f>IF(H4=Jan!$E$2,"N",IF(AND(COUNTIF(B:B,B4)=1,D4&gt;14),"Y","N"))</f>
        <v>#N/A</v>
      </c>
      <c r="O4" s="55" t="str">
        <f>IF(COUNT(Jan[[#This Row],[Date]])&gt;0,IF(Jan[[#This Row],[Date]]&gt;14,"Yes","No"),"N/A")</f>
        <v>N/A</v>
      </c>
      <c r="P4" s="55"/>
      <c r="Q4" s="5">
        <f>Relay!A3</f>
        <v>0</v>
      </c>
      <c r="R4" s="5">
        <f>Relay!B3</f>
        <v>2</v>
      </c>
      <c r="S4" s="8">
        <f>IF(Jan[After the 14th?]="No",SUMIF(Jan[SysID],R4,Jan[Pay Amount]),0)+IF(Dec[After the 14th?]="Yes",SUMIF(Dec[SysID],R4,Dec[Pay Amount]),0)</f>
        <v>0</v>
      </c>
      <c r="T4" s="8"/>
      <c r="U4" s="5" t="str">
        <f t="shared" si="2"/>
        <v>N</v>
      </c>
      <c r="X4" s="56"/>
      <c r="Y4" s="56"/>
      <c r="Z4" s="56"/>
      <c r="AA4" s="56"/>
      <c r="AC4" s="56"/>
    </row>
    <row r="5" spans="1:30" x14ac:dyDescent="0.25">
      <c r="A5" s="35"/>
      <c r="B5" s="5" t="e">
        <f>VLOOKUP(A5,Relay!$A$1:$B$50,2,FALSE)</f>
        <v>#N/A</v>
      </c>
      <c r="C5" s="5" t="e">
        <f>VLOOKUP(A5,Relay!$A$2:$C$51,3,FALSE)</f>
        <v>#N/A</v>
      </c>
      <c r="D5" s="39"/>
      <c r="E5" s="35"/>
      <c r="F5" s="35" t="str">
        <f t="shared" si="0"/>
        <v>INS</v>
      </c>
      <c r="G5" s="5" t="e">
        <f>IF(OR(E5="Jeopardy",E5="APP Moonlighting",E5="Differential Pay"),"",Jan[[#This Row],[SysID]])</f>
        <v>#N/A</v>
      </c>
      <c r="H5" s="5" t="e">
        <f>IF(E5="Jeopardy",IF(C5="MD",Relay!$E$7,Relay!$E$8),IF(C5="MD",IF(COUNTIF(G:G,B5)&gt;1,Relay!$E$2,Relay!$E$1),IF(AND(COUNTIF(G:G,B5)&gt;1,COUNTA(A5)&gt;0),Relay!$E$5,Relay!$E$4)))</f>
        <v>#N/A</v>
      </c>
      <c r="I5" s="8">
        <f t="shared" si="1"/>
        <v>0</v>
      </c>
      <c r="J5" s="35"/>
      <c r="K5" s="35"/>
      <c r="L5" s="35"/>
      <c r="M5" s="35"/>
      <c r="N5" s="10" t="e">
        <f>IF(H5=Jan!$E$2,"N",IF(AND(COUNTIF(B:B,B5)=1,D5&gt;14),"Y","N"))</f>
        <v>#N/A</v>
      </c>
      <c r="O5" s="55" t="str">
        <f>IF(COUNT(Jan[[#This Row],[Date]])&gt;0,IF(Jan[[#This Row],[Date]]&gt;14,"Yes","No"),"N/A")</f>
        <v>N/A</v>
      </c>
      <c r="P5" s="55"/>
      <c r="Q5" s="5">
        <f>Relay!A4</f>
        <v>0</v>
      </c>
      <c r="R5" s="5">
        <f>Relay!B4</f>
        <v>3</v>
      </c>
      <c r="S5" s="8">
        <f>IF(Jan[After the 14th?]="No",SUMIF(Jan[SysID],R5,Jan[Pay Amount]),0)+IF(Dec[After the 14th?]="Yes",SUMIF(Dec[SysID],R5,Dec[Pay Amount]),0)</f>
        <v>0</v>
      </c>
      <c r="T5" s="8"/>
      <c r="U5" s="5" t="str">
        <f t="shared" si="2"/>
        <v>N</v>
      </c>
      <c r="X5" s="56"/>
      <c r="Y5" s="56"/>
      <c r="Z5" s="56"/>
      <c r="AA5" s="56"/>
      <c r="AC5" s="56"/>
    </row>
    <row r="6" spans="1:30" x14ac:dyDescent="0.25">
      <c r="A6" s="35"/>
      <c r="B6" s="5" t="e">
        <f>VLOOKUP(A6,Relay!$A$1:$B$50,2,FALSE)</f>
        <v>#N/A</v>
      </c>
      <c r="C6" s="5" t="e">
        <f>VLOOKUP(A6,Relay!$A$2:$C$51,3,FALSE)</f>
        <v>#N/A</v>
      </c>
      <c r="D6" s="39"/>
      <c r="E6" s="35"/>
      <c r="F6" s="35" t="str">
        <f t="shared" si="0"/>
        <v>INS</v>
      </c>
      <c r="G6" s="5" t="e">
        <f>IF(OR(E6="Jeopardy",E6="APP Moonlighting",E6="Differential Pay"),"",Jan[[#This Row],[SysID]])</f>
        <v>#N/A</v>
      </c>
      <c r="H6" s="5" t="e">
        <f>IF(E6="Jeopardy",IF(C6="MD",Relay!$E$7,Relay!$E$8),IF(C6="MD",IF(COUNTIF(G:G,B6)&gt;1,Relay!$E$2,Relay!$E$1),IF(AND(COUNTIF(G:G,B6)&gt;1,COUNTA(A6)&gt;0),Relay!$E$5,Relay!$E$4)))</f>
        <v>#N/A</v>
      </c>
      <c r="I6" s="8">
        <f t="shared" si="1"/>
        <v>0</v>
      </c>
      <c r="J6" s="35"/>
      <c r="K6" s="35"/>
      <c r="L6" s="35"/>
      <c r="M6" s="35"/>
      <c r="N6" s="10" t="e">
        <f>IF(H6=Jan!$E$2,"N",IF(AND(COUNTIF(B:B,B6)=1,D6&gt;14),"Y","N"))</f>
        <v>#N/A</v>
      </c>
      <c r="O6" s="55" t="str">
        <f>IF(COUNT(Jan[[#This Row],[Date]])&gt;0,IF(Jan[[#This Row],[Date]]&gt;14,"Yes","No"),"N/A")</f>
        <v>N/A</v>
      </c>
      <c r="P6" s="55"/>
      <c r="Q6" s="5">
        <f>Relay!A5</f>
        <v>0</v>
      </c>
      <c r="R6" s="5">
        <f>Relay!B5</f>
        <v>4</v>
      </c>
      <c r="S6" s="8">
        <f>IF(Jan[After the 14th?]="No",SUMIF(Jan[SysID],R6,Jan[Pay Amount]),0)+IF(Dec[After the 14th?]="Yes",SUMIF(Dec[SysID],R6,Dec[Pay Amount]),0)</f>
        <v>0</v>
      </c>
      <c r="T6" s="8"/>
      <c r="U6" s="5" t="str">
        <f t="shared" si="2"/>
        <v>N</v>
      </c>
      <c r="X6" s="56"/>
      <c r="Y6" s="56"/>
      <c r="Z6" s="56"/>
      <c r="AA6" s="56"/>
      <c r="AC6" s="56"/>
    </row>
    <row r="7" spans="1:30" x14ac:dyDescent="0.25">
      <c r="A7" s="35"/>
      <c r="B7" s="5" t="e">
        <f>VLOOKUP(A7,Relay!$A$1:$B$50,2,FALSE)</f>
        <v>#N/A</v>
      </c>
      <c r="C7" s="5" t="e">
        <f>VLOOKUP(A7,Relay!$A$2:$C$51,3,FALSE)</f>
        <v>#N/A</v>
      </c>
      <c r="D7" s="39"/>
      <c r="E7" s="35"/>
      <c r="F7" s="35" t="str">
        <f t="shared" si="0"/>
        <v>INS</v>
      </c>
      <c r="G7" s="5" t="e">
        <f>IF(OR(E7="Jeopardy",E7="APP Moonlighting",E7="Differential Pay"),"",Jan[[#This Row],[SysID]])</f>
        <v>#N/A</v>
      </c>
      <c r="H7" s="5" t="e">
        <f>IF(E7="Jeopardy",IF(C7="MD",Relay!$E$7,Relay!$E$8),IF(C7="MD",IF(COUNTIF(G:G,B7)&gt;1,Relay!$E$2,Relay!$E$1),IF(AND(COUNTIF(G:G,B7)&gt;1,COUNTA(A7)&gt;0),Relay!$E$5,Relay!$E$4)))</f>
        <v>#N/A</v>
      </c>
      <c r="I7" s="8">
        <f t="shared" si="1"/>
        <v>0</v>
      </c>
      <c r="J7" s="35"/>
      <c r="K7" s="35"/>
      <c r="L7" s="35"/>
      <c r="M7" s="35"/>
      <c r="N7" s="10" t="e">
        <f>IF(H7=Jan!$E$2,"N",IF(AND(COUNTIF(B:B,B7)=1,D7&gt;14),"Y","N"))</f>
        <v>#N/A</v>
      </c>
      <c r="O7" s="55" t="str">
        <f>IF(COUNT(Jan[[#This Row],[Date]])&gt;0,IF(Jan[[#This Row],[Date]]&gt;14,"Yes","No"),"N/A")</f>
        <v>N/A</v>
      </c>
      <c r="P7" s="55"/>
      <c r="Q7" s="5">
        <f>Relay!A6</f>
        <v>0</v>
      </c>
      <c r="R7" s="5">
        <f>Relay!B6</f>
        <v>5</v>
      </c>
      <c r="S7" s="8">
        <f>IF(Jan[After the 14th?]="No",SUMIF(Jan[SysID],R7,Jan[Pay Amount]),0)+IF(Dec[After the 14th?]="Yes",SUMIF(Dec[SysID],R7,Dec[Pay Amount]),0)</f>
        <v>0</v>
      </c>
      <c r="T7" s="8"/>
      <c r="U7" s="5" t="str">
        <f t="shared" si="2"/>
        <v>N</v>
      </c>
      <c r="X7" s="56"/>
      <c r="Y7" s="56"/>
      <c r="Z7" s="56"/>
      <c r="AA7" s="56"/>
      <c r="AC7" s="56"/>
    </row>
    <row r="8" spans="1:30" x14ac:dyDescent="0.25">
      <c r="A8" s="35"/>
      <c r="B8" s="5" t="e">
        <f>VLOOKUP(A8,Relay!$A$1:$B$50,2,FALSE)</f>
        <v>#N/A</v>
      </c>
      <c r="C8" s="5" t="e">
        <f>VLOOKUP(A8,Relay!$A$2:$C$51,3,FALSE)</f>
        <v>#N/A</v>
      </c>
      <c r="D8" s="39"/>
      <c r="E8" s="35"/>
      <c r="F8" s="35" t="str">
        <f t="shared" si="0"/>
        <v>INS</v>
      </c>
      <c r="G8" s="5" t="e">
        <f>IF(OR(E8="Jeopardy",E8="APP Moonlighting",E8="Differential Pay"),"",Jan[[#This Row],[SysID]])</f>
        <v>#N/A</v>
      </c>
      <c r="H8" s="5" t="e">
        <f>IF(E8="Jeopardy",IF(C8="MD",Relay!$E$7,Relay!$E$8),IF(C8="MD",IF(COUNTIF(G:G,B8)&gt;1,Relay!$E$2,Relay!$E$1),IF(AND(COUNTIF(G:G,B8)&gt;1,COUNTA(A8)&gt;0),Relay!$E$5,Relay!$E$4)))</f>
        <v>#N/A</v>
      </c>
      <c r="I8" s="8">
        <f t="shared" si="1"/>
        <v>0</v>
      </c>
      <c r="J8" s="35"/>
      <c r="K8" s="35"/>
      <c r="L8" s="35"/>
      <c r="M8" s="35"/>
      <c r="N8" s="10" t="e">
        <f>IF(H8=Jan!$E$2,"N",IF(AND(COUNTIF(B:B,B8)=1,D8&gt;14),"Y","N"))</f>
        <v>#N/A</v>
      </c>
      <c r="O8" s="55" t="str">
        <f>IF(COUNT(Jan[[#This Row],[Date]])&gt;0,IF(Jan[[#This Row],[Date]]&gt;14,"Yes","No"),"N/A")</f>
        <v>N/A</v>
      </c>
      <c r="P8" s="55"/>
      <c r="Q8" s="5">
        <f>Relay!A7</f>
        <v>0</v>
      </c>
      <c r="R8" s="5">
        <f>Relay!B7</f>
        <v>6</v>
      </c>
      <c r="S8" s="8">
        <f>IF(Jan[After the 14th?]="No",SUMIF(Jan[SysID],R8,Jan[Pay Amount]),0)+IF(Dec[After the 14th?]="Yes",SUMIF(Dec[SysID],R8,Dec[Pay Amount]),0)</f>
        <v>0</v>
      </c>
      <c r="T8" s="8"/>
      <c r="U8" s="5" t="str">
        <f t="shared" si="2"/>
        <v>N</v>
      </c>
      <c r="X8" s="56"/>
      <c r="Y8" s="56"/>
      <c r="Z8" s="56"/>
      <c r="AA8" s="56"/>
      <c r="AC8" s="56"/>
    </row>
    <row r="9" spans="1:30" x14ac:dyDescent="0.25">
      <c r="A9" s="35"/>
      <c r="B9" s="5" t="e">
        <f>VLOOKUP(A9,Relay!$A$1:$B$50,2,FALSE)</f>
        <v>#N/A</v>
      </c>
      <c r="C9" s="5" t="e">
        <f>VLOOKUP(A9,Relay!$A$2:$C$51,3,FALSE)</f>
        <v>#N/A</v>
      </c>
      <c r="D9" s="39"/>
      <c r="E9" s="35"/>
      <c r="F9" s="35" t="str">
        <f t="shared" si="0"/>
        <v>INS</v>
      </c>
      <c r="G9" s="5" t="e">
        <f>IF(OR(E9="Jeopardy",E9="APP Moonlighting",E9="Differential Pay"),"",Jan[[#This Row],[SysID]])</f>
        <v>#N/A</v>
      </c>
      <c r="H9" s="5" t="e">
        <f>IF(E9="Jeopardy",IF(C9="MD",Relay!$E$7,Relay!$E$8),IF(C9="MD",IF(COUNTIF(G:G,B9)&gt;1,Relay!$E$2,Relay!$E$1),IF(AND(COUNTIF(G:G,B9)&gt;1,COUNTA(A9)&gt;0),Relay!$E$5,Relay!$E$4)))</f>
        <v>#N/A</v>
      </c>
      <c r="I9" s="8">
        <f t="shared" si="1"/>
        <v>0</v>
      </c>
      <c r="J9" s="35"/>
      <c r="K9" s="35"/>
      <c r="L9" s="35"/>
      <c r="M9" s="35"/>
      <c r="N9" s="10" t="e">
        <f>IF(H9=Jan!$E$2,"N",IF(AND(COUNTIF(B:B,B9)=1,D9&gt;14),"Y","N"))</f>
        <v>#N/A</v>
      </c>
      <c r="O9" s="55" t="str">
        <f>IF(COUNT(Jan[[#This Row],[Date]])&gt;0,IF(Jan[[#This Row],[Date]]&gt;14,"Yes","No"),"N/A")</f>
        <v>N/A</v>
      </c>
      <c r="P9" s="55"/>
      <c r="Q9" s="5">
        <f>Relay!A8</f>
        <v>0</v>
      </c>
      <c r="R9" s="5">
        <f>Relay!B8</f>
        <v>7</v>
      </c>
      <c r="S9" s="8">
        <f>IF(Jan[After the 14th?]="No",SUMIF(Jan[SysID],R9,Jan[Pay Amount]),0)+IF(Dec[After the 14th?]="Yes",SUMIF(Dec[SysID],R9,Dec[Pay Amount]),0)</f>
        <v>0</v>
      </c>
      <c r="T9" s="8"/>
      <c r="U9" s="5" t="str">
        <f t="shared" si="2"/>
        <v>N</v>
      </c>
      <c r="X9" s="56"/>
      <c r="Y9" s="56"/>
      <c r="Z9" s="56"/>
      <c r="AA9" s="56"/>
      <c r="AC9" s="56"/>
    </row>
    <row r="10" spans="1:30" x14ac:dyDescent="0.25">
      <c r="A10" s="35"/>
      <c r="B10" s="5" t="e">
        <f>VLOOKUP(A10,Relay!$A$1:$B$50,2,FALSE)</f>
        <v>#N/A</v>
      </c>
      <c r="C10" s="5" t="e">
        <f>VLOOKUP(A10,Relay!$A$2:$C$51,3,FALSE)</f>
        <v>#N/A</v>
      </c>
      <c r="D10" s="39"/>
      <c r="E10" s="35"/>
      <c r="F10" s="35" t="str">
        <f t="shared" si="0"/>
        <v>INS</v>
      </c>
      <c r="G10" s="5" t="e">
        <f>IF(OR(E10="Jeopardy",E10="APP Moonlighting",E10="Differential Pay"),"",Jan[[#This Row],[SysID]])</f>
        <v>#N/A</v>
      </c>
      <c r="H10" s="5" t="e">
        <f>IF(E10="Jeopardy",IF(C10="MD",Relay!$E$7,Relay!$E$8),IF(C10="MD",IF(COUNTIF(G:G,B10)&gt;1,Relay!$E$2,Relay!$E$1),IF(AND(COUNTIF(G:G,B10)&gt;1,COUNTA(A10)&gt;0),Relay!$E$5,Relay!$E$4)))</f>
        <v>#N/A</v>
      </c>
      <c r="I10" s="8">
        <f t="shared" si="1"/>
        <v>0</v>
      </c>
      <c r="J10" s="35"/>
      <c r="K10" s="35"/>
      <c r="L10" s="35"/>
      <c r="M10" s="35"/>
      <c r="N10" s="10" t="e">
        <f>IF(H10=Jan!$E$2,"N",IF(AND(COUNTIF(B:B,B10)=1,D10&gt;14),"Y","N"))</f>
        <v>#N/A</v>
      </c>
      <c r="O10" s="55" t="str">
        <f>IF(COUNT(Jan[[#This Row],[Date]])&gt;0,IF(Jan[[#This Row],[Date]]&gt;14,"Yes","No"),"N/A")</f>
        <v>N/A</v>
      </c>
      <c r="P10" s="55"/>
      <c r="Q10" s="5">
        <f>Relay!A9</f>
        <v>0</v>
      </c>
      <c r="R10" s="5">
        <f>Relay!B9</f>
        <v>8</v>
      </c>
      <c r="S10" s="8">
        <f>IF(Jan[After the 14th?]="No",SUMIF(Jan[SysID],R10,Jan[Pay Amount]),0)+IF(Dec[After the 14th?]="Yes",SUMIF(Dec[SysID],R10,Dec[Pay Amount]),0)</f>
        <v>0</v>
      </c>
      <c r="T10" s="8"/>
      <c r="U10" s="5" t="str">
        <f t="shared" si="2"/>
        <v>N</v>
      </c>
      <c r="X10" s="56"/>
      <c r="Y10" s="56"/>
      <c r="Z10" s="56"/>
      <c r="AA10" s="56"/>
      <c r="AC10" s="56"/>
    </row>
    <row r="11" spans="1:30" x14ac:dyDescent="0.25">
      <c r="A11" s="35"/>
      <c r="B11" s="5" t="e">
        <f>VLOOKUP(A11,Relay!$A$1:$B$50,2,FALSE)</f>
        <v>#N/A</v>
      </c>
      <c r="C11" s="5" t="e">
        <f>VLOOKUP(A11,Relay!$A$2:$C$51,3,FALSE)</f>
        <v>#N/A</v>
      </c>
      <c r="D11" s="39"/>
      <c r="E11" s="35"/>
      <c r="F11" s="35" t="str">
        <f t="shared" si="0"/>
        <v>INS</v>
      </c>
      <c r="G11" s="5" t="e">
        <f>IF(OR(E11="Jeopardy",E11="APP Moonlighting",E11="Differential Pay"),"",Jan[[#This Row],[SysID]])</f>
        <v>#N/A</v>
      </c>
      <c r="H11" s="5" t="e">
        <f>IF(E11="Jeopardy",IF(C11="MD",Relay!$E$7,Relay!$E$8),IF(C11="MD",IF(COUNTIF(G:G,B11)&gt;1,Relay!$E$2,Relay!$E$1),IF(AND(COUNTIF(G:G,B11)&gt;1,COUNTA(A11)&gt;0),Relay!$E$5,Relay!$E$4)))</f>
        <v>#N/A</v>
      </c>
      <c r="I11" s="8">
        <f t="shared" si="1"/>
        <v>0</v>
      </c>
      <c r="J11" s="35"/>
      <c r="K11" s="35"/>
      <c r="L11" s="35"/>
      <c r="M11" s="35"/>
      <c r="N11" s="10" t="e">
        <f>IF(H11=Jan!$E$2,"N",IF(AND(COUNTIF(B:B,B11)=1,D11&gt;14),"Y","N"))</f>
        <v>#N/A</v>
      </c>
      <c r="O11" s="55" t="str">
        <f>IF(COUNT(Jan[[#This Row],[Date]])&gt;0,IF(Jan[[#This Row],[Date]]&gt;14,"Yes","No"),"N/A")</f>
        <v>N/A</v>
      </c>
      <c r="P11" s="55"/>
      <c r="Q11" s="5">
        <f>Relay!A10</f>
        <v>0</v>
      </c>
      <c r="R11" s="5">
        <f>Relay!B10</f>
        <v>9</v>
      </c>
      <c r="S11" s="8">
        <f>IF(Jan[After the 14th?]="No",SUMIF(Jan[SysID],R11,Jan[Pay Amount]),0)+IF(Dec[After the 14th?]="Yes",SUMIF(Dec[SysID],R11,Dec[Pay Amount]),0)</f>
        <v>0</v>
      </c>
      <c r="T11" s="8"/>
      <c r="U11" s="5" t="str">
        <f t="shared" si="2"/>
        <v>N</v>
      </c>
      <c r="X11" s="56"/>
      <c r="Y11" s="56"/>
      <c r="Z11" s="56"/>
      <c r="AA11" s="56"/>
      <c r="AC11" s="56"/>
    </row>
    <row r="12" spans="1:30" x14ac:dyDescent="0.25">
      <c r="A12" s="35"/>
      <c r="B12" s="5" t="e">
        <f>VLOOKUP(A12,Relay!$A$1:$B$50,2,FALSE)</f>
        <v>#N/A</v>
      </c>
      <c r="C12" s="5" t="e">
        <f>VLOOKUP(A12,Relay!$A$2:$C$51,3,FALSE)</f>
        <v>#N/A</v>
      </c>
      <c r="D12" s="39"/>
      <c r="E12" s="35"/>
      <c r="F12" s="35" t="str">
        <f t="shared" si="0"/>
        <v>INS</v>
      </c>
      <c r="G12" s="5" t="e">
        <f>IF(OR(E12="Jeopardy",E12="APP Moonlighting",E12="Differential Pay"),"",Jan[[#This Row],[SysID]])</f>
        <v>#N/A</v>
      </c>
      <c r="H12" s="5" t="e">
        <f>IF(E12="Jeopardy",IF(C12="MD",Relay!$E$7,Relay!$E$8),IF(C12="MD",IF(COUNTIF(G:G,B12)&gt;1,Relay!$E$2,Relay!$E$1),IF(AND(COUNTIF(G:G,B12)&gt;1,COUNTA(A12)&gt;0),Relay!$E$5,Relay!$E$4)))</f>
        <v>#N/A</v>
      </c>
      <c r="I12" s="8">
        <f t="shared" si="1"/>
        <v>0</v>
      </c>
      <c r="J12" s="35"/>
      <c r="K12" s="35"/>
      <c r="L12" s="35"/>
      <c r="M12" s="35"/>
      <c r="N12" s="10" t="e">
        <f>IF(H12=Jan!$E$2,"N",IF(AND(COUNTIF(B:B,B12)=1,D12&gt;14),"Y","N"))</f>
        <v>#N/A</v>
      </c>
      <c r="O12" s="55" t="str">
        <f>IF(COUNT(Jan[[#This Row],[Date]])&gt;0,IF(Jan[[#This Row],[Date]]&gt;14,"Yes","No"),"N/A")</f>
        <v>N/A</v>
      </c>
      <c r="P12" s="55"/>
      <c r="Q12" s="5">
        <f>Relay!A11</f>
        <v>0</v>
      </c>
      <c r="R12" s="5">
        <f>Relay!B11</f>
        <v>10</v>
      </c>
      <c r="S12" s="8">
        <f>IF(Jan[After the 14th?]="No",SUMIF(Jan[SysID],R12,Jan[Pay Amount]),0)+IF(Dec[After the 14th?]="Yes",SUMIF(Dec[SysID],R12,Dec[Pay Amount]),0)</f>
        <v>0</v>
      </c>
      <c r="T12" s="8"/>
      <c r="U12" s="5" t="str">
        <f t="shared" si="2"/>
        <v>N</v>
      </c>
      <c r="X12" s="56"/>
      <c r="Y12" s="56"/>
      <c r="Z12" s="56"/>
      <c r="AA12" s="56"/>
      <c r="AC12" s="56"/>
    </row>
    <row r="13" spans="1:30" x14ac:dyDescent="0.25">
      <c r="A13" s="35"/>
      <c r="B13" s="5" t="e">
        <f>VLOOKUP(A13,Relay!$A$1:$B$50,2,FALSE)</f>
        <v>#N/A</v>
      </c>
      <c r="C13" s="5" t="e">
        <f>VLOOKUP(A13,Relay!$A$2:$C$51,3,FALSE)</f>
        <v>#N/A</v>
      </c>
      <c r="D13" s="39"/>
      <c r="E13" s="35"/>
      <c r="F13" s="35" t="str">
        <f t="shared" si="0"/>
        <v>INS</v>
      </c>
      <c r="G13" s="5" t="e">
        <f>IF(OR(E13="Jeopardy",E13="APP Moonlighting",E13="Differential Pay"),"",Jan[[#This Row],[SysID]])</f>
        <v>#N/A</v>
      </c>
      <c r="H13" s="5" t="e">
        <f>IF(E13="Jeopardy",IF(C13="MD",Relay!$E$7,Relay!$E$8),IF(C13="MD",IF(COUNTIF(G:G,B13)&gt;1,Relay!$E$2,Relay!$E$1),IF(AND(COUNTIF(G:G,B13)&gt;1,COUNTA(A13)&gt;0),Relay!$E$5,Relay!$E$4)))</f>
        <v>#N/A</v>
      </c>
      <c r="I13" s="8">
        <f t="shared" si="1"/>
        <v>0</v>
      </c>
      <c r="J13" s="35"/>
      <c r="K13" s="35"/>
      <c r="L13" s="35"/>
      <c r="M13" s="35"/>
      <c r="N13" s="10" t="e">
        <f>IF(H13=Jan!$E$2,"N",IF(AND(COUNTIF(B:B,B13)=1,D13&gt;14),"Y","N"))</f>
        <v>#N/A</v>
      </c>
      <c r="O13" s="55" t="str">
        <f>IF(COUNT(Jan[[#This Row],[Date]])&gt;0,IF(Jan[[#This Row],[Date]]&gt;14,"Yes","No"),"N/A")</f>
        <v>N/A</v>
      </c>
      <c r="P13" s="55"/>
      <c r="Q13" s="5">
        <f>Relay!A12</f>
        <v>0</v>
      </c>
      <c r="R13" s="5">
        <f>Relay!B12</f>
        <v>11</v>
      </c>
      <c r="S13" s="8">
        <f>IF(Jan[After the 14th?]="No",SUMIF(Jan[SysID],R13,Jan[Pay Amount]),0)+IF(Dec[After the 14th?]="Yes",SUMIF(Dec[SysID],R13,Dec[Pay Amount]),0)</f>
        <v>0</v>
      </c>
      <c r="T13" s="8"/>
      <c r="U13" s="5" t="str">
        <f t="shared" si="2"/>
        <v>N</v>
      </c>
      <c r="X13" s="56"/>
      <c r="Y13" s="56"/>
      <c r="Z13" s="56"/>
      <c r="AA13" s="56"/>
      <c r="AC13" s="56"/>
    </row>
    <row r="14" spans="1:30" x14ac:dyDescent="0.25">
      <c r="A14" s="35"/>
      <c r="B14" s="5" t="e">
        <f>VLOOKUP(A14,Relay!$A$1:$B$50,2,FALSE)</f>
        <v>#N/A</v>
      </c>
      <c r="C14" s="5" t="e">
        <f>VLOOKUP(A14,Relay!$A$2:$C$51,3,FALSE)</f>
        <v>#N/A</v>
      </c>
      <c r="D14" s="39"/>
      <c r="E14" s="35"/>
      <c r="F14" s="35" t="str">
        <f t="shared" si="0"/>
        <v>INS</v>
      </c>
      <c r="G14" s="5" t="e">
        <f>IF(OR(E14="Jeopardy",E14="APP Moonlighting",E14="Differential Pay"),"",Jan[[#This Row],[SysID]])</f>
        <v>#N/A</v>
      </c>
      <c r="H14" s="5" t="e">
        <f>IF(E14="Jeopardy",IF(C14="MD",Relay!$E$7,Relay!$E$8),IF(C14="MD",IF(COUNTIF(G:G,B14)&gt;1,Relay!$E$2,Relay!$E$1),IF(AND(COUNTIF(G:G,B14)&gt;1,COUNTA(A14)&gt;0),Relay!$E$5,Relay!$E$4)))</f>
        <v>#N/A</v>
      </c>
      <c r="I14" s="8">
        <f t="shared" si="1"/>
        <v>0</v>
      </c>
      <c r="J14" s="35"/>
      <c r="K14" s="35"/>
      <c r="L14" s="35"/>
      <c r="M14" s="35"/>
      <c r="N14" s="10" t="e">
        <f>IF(H14=Jan!$E$2,"N",IF(AND(COUNTIF(B:B,B14)=1,D14&gt;14),"Y","N"))</f>
        <v>#N/A</v>
      </c>
      <c r="O14" s="55" t="str">
        <f>IF(COUNT(Jan[[#This Row],[Date]])&gt;0,IF(Jan[[#This Row],[Date]]&gt;14,"Yes","No"),"N/A")</f>
        <v>N/A</v>
      </c>
      <c r="P14" s="55"/>
      <c r="Q14" s="5">
        <f>Relay!A13</f>
        <v>0</v>
      </c>
      <c r="R14" s="5">
        <f>Relay!B13</f>
        <v>12</v>
      </c>
      <c r="S14" s="8">
        <f>IF(Jan[After the 14th?]="No",SUMIF(Jan[SysID],R14,Jan[Pay Amount]),0)+IF(Dec[After the 14th?]="Yes",SUMIF(Dec[SysID],R14,Dec[Pay Amount]),0)</f>
        <v>0</v>
      </c>
      <c r="T14" s="8"/>
      <c r="U14" s="5" t="str">
        <f t="shared" si="2"/>
        <v>N</v>
      </c>
      <c r="X14" s="56"/>
      <c r="Y14" s="56"/>
      <c r="Z14" s="56"/>
      <c r="AA14" s="56"/>
      <c r="AC14" s="56"/>
    </row>
    <row r="15" spans="1:30" x14ac:dyDescent="0.25">
      <c r="A15" s="35"/>
      <c r="B15" s="5" t="e">
        <f>VLOOKUP(A15,Relay!$A$1:$B$50,2,FALSE)</f>
        <v>#N/A</v>
      </c>
      <c r="C15" s="5" t="e">
        <f>VLOOKUP(A15,Relay!$A$2:$C$51,3,FALSE)</f>
        <v>#N/A</v>
      </c>
      <c r="D15" s="39"/>
      <c r="E15" s="35"/>
      <c r="F15" s="35" t="str">
        <f t="shared" si="0"/>
        <v>INS</v>
      </c>
      <c r="G15" s="5" t="e">
        <f>IF(OR(E15="Jeopardy",E15="APP Moonlighting",E15="Differential Pay"),"",Jan[[#This Row],[SysID]])</f>
        <v>#N/A</v>
      </c>
      <c r="H15" s="5" t="e">
        <f>IF(E15="Jeopardy",IF(C15="MD",Relay!$E$7,Relay!$E$8),IF(C15="MD",IF(COUNTIF(G:G,B15)&gt;1,Relay!$E$2,Relay!$E$1),IF(AND(COUNTIF(G:G,B15)&gt;1,COUNTA(A15)&gt;0),Relay!$E$5,Relay!$E$4)))</f>
        <v>#N/A</v>
      </c>
      <c r="I15" s="8">
        <f t="shared" si="1"/>
        <v>0</v>
      </c>
      <c r="J15" s="35"/>
      <c r="K15" s="35"/>
      <c r="L15" s="35"/>
      <c r="M15" s="35"/>
      <c r="N15" s="10" t="e">
        <f>IF(H15=Jan!$E$2,"N",IF(AND(COUNTIF(B:B,B15)=1,D15&gt;14),"Y","N"))</f>
        <v>#N/A</v>
      </c>
      <c r="O15" s="55" t="str">
        <f>IF(COUNT(Jan[[#This Row],[Date]])&gt;0,IF(Jan[[#This Row],[Date]]&gt;14,"Yes","No"),"N/A")</f>
        <v>N/A</v>
      </c>
      <c r="P15" s="55"/>
      <c r="Q15" s="5">
        <f>Relay!A14</f>
        <v>0</v>
      </c>
      <c r="R15" s="5">
        <f>Relay!B14</f>
        <v>13</v>
      </c>
      <c r="S15" s="8">
        <f>IF(Jan[After the 14th?]="No",SUMIF(Jan[SysID],R15,Jan[Pay Amount]),0)+IF(Dec[After the 14th?]="Yes",SUMIF(Dec[SysID],R15,Dec[Pay Amount]),0)</f>
        <v>0</v>
      </c>
      <c r="T15" s="8"/>
      <c r="U15" s="5" t="str">
        <f t="shared" si="2"/>
        <v>N</v>
      </c>
      <c r="X15" s="56"/>
      <c r="Y15" s="56"/>
      <c r="Z15" s="56"/>
      <c r="AA15" s="56"/>
      <c r="AC15" s="56"/>
    </row>
    <row r="16" spans="1:30" x14ac:dyDescent="0.25">
      <c r="A16" s="35"/>
      <c r="B16" s="5" t="e">
        <f>VLOOKUP(A16,Relay!$A$1:$B$50,2,FALSE)</f>
        <v>#N/A</v>
      </c>
      <c r="C16" s="5" t="e">
        <f>VLOOKUP(A16,Relay!$A$2:$C$51,3,FALSE)</f>
        <v>#N/A</v>
      </c>
      <c r="D16" s="39"/>
      <c r="E16" s="35"/>
      <c r="F16" s="35" t="str">
        <f t="shared" si="0"/>
        <v>INS</v>
      </c>
      <c r="G16" s="5" t="e">
        <f>IF(OR(E16="Jeopardy",E16="APP Moonlighting",E16="Differential Pay"),"",Jan[[#This Row],[SysID]])</f>
        <v>#N/A</v>
      </c>
      <c r="H16" s="5" t="e">
        <f>IF(E16="Jeopardy",IF(C16="MD",Relay!$E$7,Relay!$E$8),IF(C16="MD",IF(COUNTIF(G:G,B16)&gt;1,Relay!$E$2,Relay!$E$1),IF(AND(COUNTIF(G:G,B16)&gt;1,COUNTA(A16)&gt;0),Relay!$E$5,Relay!$E$4)))</f>
        <v>#N/A</v>
      </c>
      <c r="I16" s="8">
        <f t="shared" si="1"/>
        <v>0</v>
      </c>
      <c r="J16" s="35"/>
      <c r="K16" s="35"/>
      <c r="L16" s="35"/>
      <c r="M16" s="35"/>
      <c r="N16" s="10" t="e">
        <f>IF(H16=Jan!$E$2,"N",IF(AND(COUNTIF(B:B,B16)=1,D16&gt;14),"Y","N"))</f>
        <v>#N/A</v>
      </c>
      <c r="O16" s="55" t="str">
        <f>IF(COUNT(Jan[[#This Row],[Date]])&gt;0,IF(Jan[[#This Row],[Date]]&gt;14,"Yes","No"),"N/A")</f>
        <v>N/A</v>
      </c>
      <c r="P16" s="55"/>
      <c r="Q16" s="5">
        <f>Relay!A15</f>
        <v>0</v>
      </c>
      <c r="R16" s="5">
        <f>Relay!B15</f>
        <v>14</v>
      </c>
      <c r="S16" s="8">
        <f>IF(Jan[After the 14th?]="No",SUMIF(Jan[SysID],R16,Jan[Pay Amount]),0)+IF(Dec[After the 14th?]="Yes",SUMIF(Dec[SysID],R16,Dec[Pay Amount]),0)</f>
        <v>0</v>
      </c>
      <c r="T16" s="8"/>
      <c r="U16" s="5" t="str">
        <f t="shared" si="2"/>
        <v>N</v>
      </c>
      <c r="X16" s="56"/>
      <c r="Y16" s="56"/>
      <c r="Z16" s="56"/>
      <c r="AA16" s="56"/>
      <c r="AC16" s="56"/>
    </row>
    <row r="17" spans="1:29" x14ac:dyDescent="0.25">
      <c r="A17" s="35"/>
      <c r="B17" s="5" t="e">
        <f>VLOOKUP(A17,Relay!$A$1:$B$50,2,FALSE)</f>
        <v>#N/A</v>
      </c>
      <c r="C17" s="5" t="e">
        <f>VLOOKUP(A17,Relay!$A$2:$C$51,3,FALSE)</f>
        <v>#N/A</v>
      </c>
      <c r="D17" s="39"/>
      <c r="E17" s="35"/>
      <c r="F17" s="35" t="str">
        <f t="shared" si="0"/>
        <v>INS</v>
      </c>
      <c r="G17" s="5" t="e">
        <f>IF(OR(E17="Jeopardy",E17="APP Moonlighting",E17="Differential Pay"),"",Jan[[#This Row],[SysID]])</f>
        <v>#N/A</v>
      </c>
      <c r="H17" s="5" t="e">
        <f>IF(E17="Jeopardy",IF(C17="MD",Relay!$E$7,Relay!$E$8),IF(C17="MD",IF(COUNTIF(G:G,B17)&gt;1,Relay!$E$2,Relay!$E$1),IF(AND(COUNTIF(G:G,B17)&gt;1,COUNTA(A17)&gt;0),Relay!$E$5,Relay!$E$4)))</f>
        <v>#N/A</v>
      </c>
      <c r="I17" s="8">
        <f t="shared" si="1"/>
        <v>0</v>
      </c>
      <c r="J17" s="35"/>
      <c r="K17" s="35"/>
      <c r="L17" s="35"/>
      <c r="M17" s="35"/>
      <c r="N17" s="10" t="e">
        <f>IF(H17=Jan!$E$2,"N",IF(AND(COUNTIF(B:B,B17)=1,D17&gt;14),"Y","N"))</f>
        <v>#N/A</v>
      </c>
      <c r="O17" s="55" t="str">
        <f>IF(COUNT(Jan[[#This Row],[Date]])&gt;0,IF(Jan[[#This Row],[Date]]&gt;14,"Yes","No"),"N/A")</f>
        <v>N/A</v>
      </c>
      <c r="P17" s="55"/>
      <c r="Q17" s="5">
        <f>Relay!A16</f>
        <v>0</v>
      </c>
      <c r="R17" s="5">
        <f>Relay!B16</f>
        <v>15</v>
      </c>
      <c r="S17" s="8">
        <f>IF(Jan[After the 14th?]="No",SUMIF(Jan[SysID],R17,Jan[Pay Amount]),0)+IF(Dec[After the 14th?]="Yes",SUMIF(Dec[SysID],R17,Dec[Pay Amount]),0)</f>
        <v>0</v>
      </c>
      <c r="T17" s="8"/>
      <c r="U17" s="5" t="str">
        <f t="shared" si="2"/>
        <v>N</v>
      </c>
      <c r="X17" s="56"/>
      <c r="Y17" s="56"/>
      <c r="Z17" s="56"/>
      <c r="AA17" s="56"/>
      <c r="AC17" s="56"/>
    </row>
    <row r="18" spans="1:29" x14ac:dyDescent="0.25">
      <c r="A18" s="35"/>
      <c r="B18" s="5" t="e">
        <f>VLOOKUP(A18,Relay!$A$1:$B$50,2,FALSE)</f>
        <v>#N/A</v>
      </c>
      <c r="C18" s="5" t="e">
        <f>VLOOKUP(A18,Relay!$A$2:$C$51,3,FALSE)</f>
        <v>#N/A</v>
      </c>
      <c r="D18" s="39"/>
      <c r="E18" s="35"/>
      <c r="F18" s="35" t="str">
        <f t="shared" si="0"/>
        <v>INS</v>
      </c>
      <c r="G18" s="5" t="e">
        <f>IF(OR(E18="Jeopardy",E18="APP Moonlighting",E18="Differential Pay"),"",Jan[[#This Row],[SysID]])</f>
        <v>#N/A</v>
      </c>
      <c r="H18" s="5" t="e">
        <f>IF(E18="Jeopardy",IF(C18="MD",Relay!$E$7,Relay!$E$8),IF(C18="MD",IF(COUNTIF(G:G,B18)&gt;1,Relay!$E$2,Relay!$E$1),IF(AND(COUNTIF(G:G,B18)&gt;1,COUNTA(A18)&gt;0),Relay!$E$5,Relay!$E$4)))</f>
        <v>#N/A</v>
      </c>
      <c r="I18" s="8">
        <f t="shared" si="1"/>
        <v>0</v>
      </c>
      <c r="J18" s="35"/>
      <c r="K18" s="35"/>
      <c r="L18" s="35"/>
      <c r="M18" s="35"/>
      <c r="N18" s="10" t="e">
        <f>IF(H18=Jan!$E$2,"N",IF(AND(COUNTIF(B:B,B18)=1,D18&gt;14),"Y","N"))</f>
        <v>#N/A</v>
      </c>
      <c r="O18" s="55" t="str">
        <f>IF(COUNT(Jan[[#This Row],[Date]])&gt;0,IF(Jan[[#This Row],[Date]]&gt;14,"Yes","No"),"N/A")</f>
        <v>N/A</v>
      </c>
      <c r="P18" s="55"/>
      <c r="Q18" s="5">
        <f>Relay!A17</f>
        <v>0</v>
      </c>
      <c r="R18" s="5">
        <f>Relay!B17</f>
        <v>16</v>
      </c>
      <c r="S18" s="8">
        <f>IF(Jan[After the 14th?]="No",SUMIF(Jan[SysID],R18,Jan[Pay Amount]),0)+IF(Dec[After the 14th?]="Yes",SUMIF(Dec[SysID],R18,Dec[Pay Amount]),0)</f>
        <v>0</v>
      </c>
      <c r="T18" s="8"/>
      <c r="U18" s="5" t="str">
        <f t="shared" si="2"/>
        <v>N</v>
      </c>
      <c r="X18" s="56"/>
      <c r="Y18" s="56"/>
      <c r="Z18" s="56"/>
      <c r="AA18" s="56"/>
      <c r="AC18" s="56"/>
    </row>
    <row r="19" spans="1:29" x14ac:dyDescent="0.25">
      <c r="A19" s="35"/>
      <c r="B19" s="5" t="e">
        <f>VLOOKUP(A19,Relay!$A$1:$B$50,2,FALSE)</f>
        <v>#N/A</v>
      </c>
      <c r="C19" s="5" t="e">
        <f>VLOOKUP(A19,Relay!$A$2:$C$51,3,FALSE)</f>
        <v>#N/A</v>
      </c>
      <c r="D19" s="39"/>
      <c r="E19" s="35"/>
      <c r="F19" s="35" t="str">
        <f t="shared" si="0"/>
        <v>INS</v>
      </c>
      <c r="G19" s="5" t="e">
        <f>IF(OR(E19="Jeopardy",E19="APP Moonlighting",E19="Differential Pay"),"",Jan[[#This Row],[SysID]])</f>
        <v>#N/A</v>
      </c>
      <c r="H19" s="5" t="e">
        <f>IF(E19="Jeopardy",IF(C19="MD",Relay!$E$7,Relay!$E$8),IF(C19="MD",IF(COUNTIF(G:G,B19)&gt;1,Relay!$E$2,Relay!$E$1),IF(AND(COUNTIF(G:G,B19)&gt;1,COUNTA(A19)&gt;0),Relay!$E$5,Relay!$E$4)))</f>
        <v>#N/A</v>
      </c>
      <c r="I19" s="8">
        <f t="shared" si="1"/>
        <v>0</v>
      </c>
      <c r="J19" s="35"/>
      <c r="K19" s="35"/>
      <c r="L19" s="35"/>
      <c r="M19" s="35"/>
      <c r="N19" s="10" t="e">
        <f>IF(H19=Jan!$E$2,"N",IF(AND(COUNTIF(B:B,B19)=1,D19&gt;14),"Y","N"))</f>
        <v>#N/A</v>
      </c>
      <c r="O19" s="55" t="str">
        <f>IF(COUNT(Jan[[#This Row],[Date]])&gt;0,IF(Jan[[#This Row],[Date]]&gt;14,"Yes","No"),"N/A")</f>
        <v>N/A</v>
      </c>
      <c r="P19" s="55"/>
      <c r="Q19" s="5">
        <f>Relay!A18</f>
        <v>0</v>
      </c>
      <c r="R19" s="5">
        <f>Relay!B18</f>
        <v>17</v>
      </c>
      <c r="S19" s="8">
        <f>IF(Jan[After the 14th?]="No",SUMIF(Jan[SysID],R19,Jan[Pay Amount]),0)+IF(Dec[After the 14th?]="Yes",SUMIF(Dec[SysID],R19,Dec[Pay Amount]),0)</f>
        <v>0</v>
      </c>
      <c r="T19" s="8"/>
      <c r="U19" s="5" t="str">
        <f t="shared" si="2"/>
        <v>N</v>
      </c>
      <c r="X19" s="56"/>
      <c r="Y19" s="56"/>
      <c r="Z19" s="56"/>
      <c r="AA19" s="56"/>
      <c r="AC19" s="56"/>
    </row>
    <row r="20" spans="1:29" x14ac:dyDescent="0.25">
      <c r="A20" s="35"/>
      <c r="B20" s="5" t="e">
        <f>VLOOKUP(A20,Relay!$A$1:$B$50,2,FALSE)</f>
        <v>#N/A</v>
      </c>
      <c r="C20" s="5" t="e">
        <f>VLOOKUP(A20,Relay!$A$2:$C$51,3,FALSE)</f>
        <v>#N/A</v>
      </c>
      <c r="D20" s="39"/>
      <c r="E20" s="35"/>
      <c r="F20" s="35" t="str">
        <f t="shared" si="0"/>
        <v>INS</v>
      </c>
      <c r="G20" s="5" t="e">
        <f>IF(OR(E20="Jeopardy",E20="APP Moonlighting",E20="Differential Pay"),"",Jan[[#This Row],[SysID]])</f>
        <v>#N/A</v>
      </c>
      <c r="H20" s="5" t="e">
        <f>IF(E20="Jeopardy",IF(C20="MD",Relay!$E$7,Relay!$E$8),IF(C20="MD",IF(COUNTIF(G:G,B20)&gt;1,Relay!$E$2,Relay!$E$1),IF(AND(COUNTIF(G:G,B20)&gt;1,COUNTA(A20)&gt;0),Relay!$E$5,Relay!$E$4)))</f>
        <v>#N/A</v>
      </c>
      <c r="I20" s="8">
        <f t="shared" si="1"/>
        <v>0</v>
      </c>
      <c r="J20" s="35"/>
      <c r="K20" s="35"/>
      <c r="L20" s="35"/>
      <c r="M20" s="35"/>
      <c r="N20" s="10" t="e">
        <f>IF(H20=Jan!$E$2,"N",IF(AND(COUNTIF(B:B,B20)=1,D20&gt;14),"Y","N"))</f>
        <v>#N/A</v>
      </c>
      <c r="O20" s="55" t="str">
        <f>IF(COUNT(Jan[[#This Row],[Date]])&gt;0,IF(Jan[[#This Row],[Date]]&gt;14,"Yes","No"),"N/A")</f>
        <v>N/A</v>
      </c>
      <c r="P20" s="55"/>
      <c r="Q20" s="5">
        <f>Relay!A19</f>
        <v>0</v>
      </c>
      <c r="R20" s="5">
        <f>Relay!B19</f>
        <v>18</v>
      </c>
      <c r="S20" s="8">
        <f>IF(Jan[After the 14th?]="No",SUMIF(Jan[SysID],R20,Jan[Pay Amount]),0)+IF(Dec[After the 14th?]="Yes",SUMIF(Dec[SysID],R20,Dec[Pay Amount]),0)</f>
        <v>0</v>
      </c>
      <c r="T20" s="8"/>
      <c r="U20" s="5" t="str">
        <f t="shared" si="2"/>
        <v>N</v>
      </c>
      <c r="X20" s="56"/>
      <c r="Y20" s="56"/>
      <c r="Z20" s="56"/>
      <c r="AA20" s="56"/>
      <c r="AC20" s="56"/>
    </row>
    <row r="21" spans="1:29" x14ac:dyDescent="0.25">
      <c r="A21" s="35"/>
      <c r="B21" s="5" t="e">
        <f>VLOOKUP(A21,Relay!$A$1:$B$50,2,FALSE)</f>
        <v>#N/A</v>
      </c>
      <c r="C21" s="5" t="e">
        <f>VLOOKUP(A21,Relay!$A$2:$C$51,3,FALSE)</f>
        <v>#N/A</v>
      </c>
      <c r="D21" s="39"/>
      <c r="E21" s="35"/>
      <c r="F21" s="35" t="str">
        <f t="shared" si="0"/>
        <v>INS</v>
      </c>
      <c r="G21" s="5" t="e">
        <f>IF(OR(E21="Jeopardy",E21="APP Moonlighting",E21="Differential Pay"),"",Jan[[#This Row],[SysID]])</f>
        <v>#N/A</v>
      </c>
      <c r="H21" s="5" t="e">
        <f>IF(E21="Jeopardy",IF(C21="MD",Relay!$E$7,Relay!$E$8),IF(C21="MD",IF(COUNTIF(G:G,B21)&gt;1,Relay!$E$2,Relay!$E$1),IF(AND(COUNTIF(G:G,B21)&gt;1,COUNTA(A21)&gt;0),Relay!$E$5,Relay!$E$4)))</f>
        <v>#N/A</v>
      </c>
      <c r="I21" s="8">
        <f t="shared" si="1"/>
        <v>0</v>
      </c>
      <c r="J21" s="35"/>
      <c r="K21" s="35"/>
      <c r="L21" s="35"/>
      <c r="M21" s="35"/>
      <c r="N21" s="10" t="e">
        <f>IF(H21=Jan!$E$2,"N",IF(AND(COUNTIF(B:B,B21)=1,D21&gt;14),"Y","N"))</f>
        <v>#N/A</v>
      </c>
      <c r="O21" s="55" t="str">
        <f>IF(COUNT(Jan[[#This Row],[Date]])&gt;0,IF(Jan[[#This Row],[Date]]&gt;14,"Yes","No"),"N/A")</f>
        <v>N/A</v>
      </c>
      <c r="P21" s="55"/>
      <c r="Q21" s="5">
        <f>Relay!A20</f>
        <v>0</v>
      </c>
      <c r="R21" s="5">
        <f>Relay!B20</f>
        <v>19</v>
      </c>
      <c r="S21" s="8">
        <f>IF(Jan[After the 14th?]="No",SUMIF(Jan[SysID],R21,Jan[Pay Amount]),0)+IF(Dec[After the 14th?]="Yes",SUMIF(Dec[SysID],R21,Dec[Pay Amount]),0)</f>
        <v>0</v>
      </c>
      <c r="T21" s="8"/>
      <c r="U21" s="5" t="str">
        <f t="shared" si="2"/>
        <v>N</v>
      </c>
      <c r="X21" s="56"/>
      <c r="Y21" s="56"/>
      <c r="Z21" s="56"/>
      <c r="AA21" s="56"/>
      <c r="AC21" s="56"/>
    </row>
    <row r="22" spans="1:29" x14ac:dyDescent="0.25">
      <c r="A22" s="35"/>
      <c r="B22" s="5" t="e">
        <f>VLOOKUP(A22,Relay!$A$1:$B$50,2,FALSE)</f>
        <v>#N/A</v>
      </c>
      <c r="C22" s="5" t="e">
        <f>VLOOKUP(A22,Relay!$A$2:$C$51,3,FALSE)</f>
        <v>#N/A</v>
      </c>
      <c r="D22" s="39"/>
      <c r="E22" s="35"/>
      <c r="F22" s="35" t="str">
        <f t="shared" si="0"/>
        <v>INS</v>
      </c>
      <c r="G22" s="5" t="e">
        <f>IF(OR(E22="Jeopardy",E22="APP Moonlighting",E22="Differential Pay"),"",Jan[[#This Row],[SysID]])</f>
        <v>#N/A</v>
      </c>
      <c r="H22" s="5" t="e">
        <f>IF(E22="Jeopardy",IF(C22="MD",Relay!$E$7,Relay!$E$8),IF(C22="MD",IF(COUNTIF(G:G,B22)&gt;1,Relay!$E$2,Relay!$E$1),IF(AND(COUNTIF(G:G,B22)&gt;1,COUNTA(A22)&gt;0),Relay!$E$5,Relay!$E$4)))</f>
        <v>#N/A</v>
      </c>
      <c r="I22" s="8">
        <f t="shared" si="1"/>
        <v>0</v>
      </c>
      <c r="J22" s="35"/>
      <c r="K22" s="35"/>
      <c r="L22" s="35"/>
      <c r="M22" s="35"/>
      <c r="N22" s="10" t="e">
        <f>IF(H22=Jan!$E$2,"N",IF(AND(COUNTIF(B:B,B22)=1,D22&gt;14),"Y","N"))</f>
        <v>#N/A</v>
      </c>
      <c r="O22" s="55" t="str">
        <f>IF(COUNT(Jan[[#This Row],[Date]])&gt;0,IF(Jan[[#This Row],[Date]]&gt;14,"Yes","No"),"N/A")</f>
        <v>N/A</v>
      </c>
      <c r="P22" s="55"/>
      <c r="Q22" s="5">
        <f>Relay!A21</f>
        <v>0</v>
      </c>
      <c r="R22" s="5">
        <f>Relay!B21</f>
        <v>20</v>
      </c>
      <c r="S22" s="8">
        <f>IF(Jan[After the 14th?]="No",SUMIF(Jan[SysID],R22,Jan[Pay Amount]),0)+IF(Dec[After the 14th?]="Yes",SUMIF(Dec[SysID],R22,Dec[Pay Amount]),0)</f>
        <v>0</v>
      </c>
      <c r="T22" s="8"/>
      <c r="U22" s="5" t="str">
        <f t="shared" si="2"/>
        <v>N</v>
      </c>
      <c r="X22" s="56"/>
      <c r="Y22" s="56"/>
      <c r="Z22" s="56"/>
      <c r="AA22" s="56"/>
      <c r="AC22" s="56"/>
    </row>
    <row r="23" spans="1:29" x14ac:dyDescent="0.25">
      <c r="A23" s="35"/>
      <c r="B23" s="5" t="e">
        <f>VLOOKUP(A23,Relay!$A$1:$B$50,2,FALSE)</f>
        <v>#N/A</v>
      </c>
      <c r="C23" s="5" t="e">
        <f>VLOOKUP(A23,Relay!$A$2:$C$51,3,FALSE)</f>
        <v>#N/A</v>
      </c>
      <c r="D23" s="39"/>
      <c r="E23" s="35"/>
      <c r="F23" s="35" t="str">
        <f t="shared" si="0"/>
        <v>INS</v>
      </c>
      <c r="G23" s="5" t="e">
        <f>IF(OR(E23="Jeopardy",E23="APP Moonlighting",E23="Differential Pay"),"",Jan[[#This Row],[SysID]])</f>
        <v>#N/A</v>
      </c>
      <c r="H23" s="5" t="e">
        <f>IF(E23="Jeopardy",IF(C23="MD",Relay!$E$7,Relay!$E$8),IF(C23="MD",IF(COUNTIF(G:G,B23)&gt;1,Relay!$E$2,Relay!$E$1),IF(AND(COUNTIF(G:G,B23)&gt;1,COUNTA(A23)&gt;0),Relay!$E$5,Relay!$E$4)))</f>
        <v>#N/A</v>
      </c>
      <c r="I23" s="8">
        <f t="shared" si="1"/>
        <v>0</v>
      </c>
      <c r="J23" s="35"/>
      <c r="K23" s="35"/>
      <c r="L23" s="35"/>
      <c r="M23" s="35"/>
      <c r="N23" s="10" t="e">
        <f>IF(H23=Jan!$E$2,"N",IF(AND(COUNTIF(B:B,B23)=1,D23&gt;14),"Y","N"))</f>
        <v>#N/A</v>
      </c>
      <c r="O23" s="55" t="str">
        <f>IF(COUNT(Jan[[#This Row],[Date]])&gt;0,IF(Jan[[#This Row],[Date]]&gt;14,"Yes","No"),"N/A")</f>
        <v>N/A</v>
      </c>
      <c r="P23" s="55"/>
      <c r="Q23" s="5">
        <f>Relay!A22</f>
        <v>0</v>
      </c>
      <c r="R23" s="5">
        <f>Relay!B22</f>
        <v>21</v>
      </c>
      <c r="S23" s="8">
        <f>IF(Jan[After the 14th?]="No",SUMIF(Jan[SysID],R23,Jan[Pay Amount]),0)+IF(Dec[After the 14th?]="Yes",SUMIF(Dec[SysID],R23,Dec[Pay Amount]),0)</f>
        <v>0</v>
      </c>
      <c r="T23" s="8"/>
      <c r="U23" s="5" t="str">
        <f t="shared" si="2"/>
        <v>N</v>
      </c>
      <c r="X23" s="56"/>
      <c r="Y23" s="56"/>
      <c r="Z23" s="56"/>
      <c r="AA23" s="56"/>
      <c r="AC23" s="56"/>
    </row>
    <row r="24" spans="1:29" x14ac:dyDescent="0.25">
      <c r="A24" s="35"/>
      <c r="B24" s="5" t="e">
        <f>VLOOKUP(A24,Relay!$A$1:$B$50,2,FALSE)</f>
        <v>#N/A</v>
      </c>
      <c r="C24" s="5" t="e">
        <f>VLOOKUP(A24,Relay!$A$2:$C$51,3,FALSE)</f>
        <v>#N/A</v>
      </c>
      <c r="D24" s="39"/>
      <c r="E24" s="35"/>
      <c r="F24" s="35" t="str">
        <f t="shared" si="0"/>
        <v>INS</v>
      </c>
      <c r="G24" s="5" t="e">
        <f>IF(OR(E24="Jeopardy",E24="APP Moonlighting",E24="Differential Pay"),"",Jan[[#This Row],[SysID]])</f>
        <v>#N/A</v>
      </c>
      <c r="H24" s="5" t="e">
        <f>IF(E24="Jeopardy",IF(C24="MD",Relay!$E$7,Relay!$E$8),IF(C24="MD",IF(COUNTIF(G:G,B24)&gt;1,Relay!$E$2,Relay!$E$1),IF(AND(COUNTIF(G:G,B24)&gt;1,COUNTA(A24)&gt;0),Relay!$E$5,Relay!$E$4)))</f>
        <v>#N/A</v>
      </c>
      <c r="I24" s="8">
        <f t="shared" si="1"/>
        <v>0</v>
      </c>
      <c r="J24" s="35"/>
      <c r="K24" s="35"/>
      <c r="L24" s="35"/>
      <c r="M24" s="35"/>
      <c r="N24" s="10" t="e">
        <f>IF(H24=Jan!$E$2,"N",IF(AND(COUNTIF(B:B,B24)=1,D24&gt;14),"Y","N"))</f>
        <v>#N/A</v>
      </c>
      <c r="O24" s="55" t="str">
        <f>IF(COUNT(Jan[[#This Row],[Date]])&gt;0,IF(Jan[[#This Row],[Date]]&gt;14,"Yes","No"),"N/A")</f>
        <v>N/A</v>
      </c>
      <c r="P24" s="55"/>
      <c r="Q24" s="5">
        <f>Relay!A23</f>
        <v>0</v>
      </c>
      <c r="R24" s="5">
        <f>Relay!B23</f>
        <v>22</v>
      </c>
      <c r="S24" s="8">
        <f>IF(Jan[After the 14th?]="No",SUMIF(Jan[SysID],R24,Jan[Pay Amount]),0)+IF(Dec[After the 14th?]="Yes",SUMIF(Dec[SysID],R24,Dec[Pay Amount]),0)</f>
        <v>0</v>
      </c>
      <c r="T24" s="8"/>
      <c r="U24" s="5" t="str">
        <f t="shared" si="2"/>
        <v>N</v>
      </c>
      <c r="X24" s="56"/>
      <c r="Y24" s="56"/>
      <c r="Z24" s="56"/>
      <c r="AA24" s="56"/>
      <c r="AC24" s="56"/>
    </row>
    <row r="25" spans="1:29" x14ac:dyDescent="0.25">
      <c r="A25" s="35"/>
      <c r="B25" s="5" t="e">
        <f>VLOOKUP(A25,Relay!$A$1:$B$50,2,FALSE)</f>
        <v>#N/A</v>
      </c>
      <c r="C25" s="5" t="e">
        <f>VLOOKUP(A25,Relay!$A$2:$C$51,3,FALSE)</f>
        <v>#N/A</v>
      </c>
      <c r="D25" s="39"/>
      <c r="E25" s="35"/>
      <c r="F25" s="35" t="str">
        <f t="shared" si="0"/>
        <v>INS</v>
      </c>
      <c r="G25" s="5" t="e">
        <f>IF(OR(E25="Jeopardy",E25="APP Moonlighting",E25="Differential Pay"),"",Jan[[#This Row],[SysID]])</f>
        <v>#N/A</v>
      </c>
      <c r="H25" s="5" t="e">
        <f>IF(E25="Jeopardy",IF(C25="MD",Relay!$E$7,Relay!$E$8),IF(C25="MD",IF(COUNTIF(G:G,B25)&gt;1,Relay!$E$2,Relay!$E$1),IF(AND(COUNTIF(G:G,B25)&gt;1,COUNTA(A25)&gt;0),Relay!$E$5,Relay!$E$4)))</f>
        <v>#N/A</v>
      </c>
      <c r="I25" s="8">
        <f t="shared" si="1"/>
        <v>0</v>
      </c>
      <c r="J25" s="35"/>
      <c r="K25" s="35"/>
      <c r="L25" s="35"/>
      <c r="M25" s="35"/>
      <c r="N25" s="10" t="e">
        <f>IF(H25=Jan!$E$2,"N",IF(AND(COUNTIF(B:B,B25)=1,D25&gt;14),"Y","N"))</f>
        <v>#N/A</v>
      </c>
      <c r="O25" s="55" t="str">
        <f>IF(COUNT(Jan[[#This Row],[Date]])&gt;0,IF(Jan[[#This Row],[Date]]&gt;14,"Yes","No"),"N/A")</f>
        <v>N/A</v>
      </c>
      <c r="P25" s="55"/>
      <c r="Q25" s="5">
        <f>Relay!A24</f>
        <v>0</v>
      </c>
      <c r="R25" s="5">
        <f>Relay!B24</f>
        <v>23</v>
      </c>
      <c r="S25" s="8">
        <f>IF(Jan[After the 14th?]="No",SUMIF(Jan[SysID],R25,Jan[Pay Amount]),0)+IF(Dec[After the 14th?]="Yes",SUMIF(Dec[SysID],R25,Dec[Pay Amount]),0)</f>
        <v>0</v>
      </c>
      <c r="T25" s="8"/>
      <c r="U25" s="5" t="str">
        <f t="shared" si="2"/>
        <v>N</v>
      </c>
      <c r="X25" s="56"/>
      <c r="Y25" s="56"/>
      <c r="Z25" s="56"/>
      <c r="AA25" s="56"/>
      <c r="AC25" s="56"/>
    </row>
    <row r="26" spans="1:29" x14ac:dyDescent="0.25">
      <c r="A26" s="35"/>
      <c r="B26" s="5" t="e">
        <f>VLOOKUP(A26,Relay!$A$1:$B$50,2,FALSE)</f>
        <v>#N/A</v>
      </c>
      <c r="C26" s="5" t="e">
        <f>VLOOKUP(A26,Relay!$A$2:$C$51,3,FALSE)</f>
        <v>#N/A</v>
      </c>
      <c r="D26" s="39"/>
      <c r="E26" s="35"/>
      <c r="F26" s="35" t="str">
        <f t="shared" si="0"/>
        <v>INS</v>
      </c>
      <c r="G26" s="5" t="e">
        <f>IF(OR(E26="Jeopardy",E26="APP Moonlighting",E26="Differential Pay"),"",Jan[[#This Row],[SysID]])</f>
        <v>#N/A</v>
      </c>
      <c r="H26" s="5" t="e">
        <f>IF(E26="Jeopardy",IF(C26="MD",Relay!$E$7,Relay!$E$8),IF(C26="MD",IF(COUNTIF(G:G,B26)&gt;1,Relay!$E$2,Relay!$E$1),IF(AND(COUNTIF(G:G,B26)&gt;1,COUNTA(A26)&gt;0),Relay!$E$5,Relay!$E$4)))</f>
        <v>#N/A</v>
      </c>
      <c r="I26" s="8">
        <f t="shared" si="1"/>
        <v>0</v>
      </c>
      <c r="J26" s="35"/>
      <c r="K26" s="35"/>
      <c r="L26" s="35"/>
      <c r="M26" s="35"/>
      <c r="N26" s="10" t="e">
        <f>IF(H26=Jan!$E$2,"N",IF(AND(COUNTIF(B:B,B26)=1,D26&gt;14),"Y","N"))</f>
        <v>#N/A</v>
      </c>
      <c r="O26" s="55" t="str">
        <f>IF(COUNT(Jan[[#This Row],[Date]])&gt;0,IF(Jan[[#This Row],[Date]]&gt;14,"Yes","No"),"N/A")</f>
        <v>N/A</v>
      </c>
      <c r="P26" s="55"/>
      <c r="Q26" s="5">
        <f>Relay!A25</f>
        <v>0</v>
      </c>
      <c r="R26" s="5">
        <f>Relay!B25</f>
        <v>24</v>
      </c>
      <c r="S26" s="8">
        <f>IF(Jan[After the 14th?]="No",SUMIF(Jan[SysID],R26,Jan[Pay Amount]),0)+IF(Dec[After the 14th?]="Yes",SUMIF(Dec[SysID],R26,Dec[Pay Amount]),0)</f>
        <v>0</v>
      </c>
      <c r="T26" s="8"/>
      <c r="U26" s="5" t="str">
        <f t="shared" si="2"/>
        <v>N</v>
      </c>
      <c r="X26" s="56"/>
      <c r="Y26" s="56"/>
      <c r="Z26" s="56"/>
      <c r="AA26" s="56"/>
      <c r="AC26" s="56"/>
    </row>
    <row r="27" spans="1:29" x14ac:dyDescent="0.25">
      <c r="A27" s="35"/>
      <c r="B27" s="5" t="e">
        <f>VLOOKUP(A27,Relay!$A$1:$B$50,2,FALSE)</f>
        <v>#N/A</v>
      </c>
      <c r="C27" s="5" t="e">
        <f>VLOOKUP(A27,Relay!$A$2:$C$51,3,FALSE)</f>
        <v>#N/A</v>
      </c>
      <c r="D27" s="39"/>
      <c r="E27" s="35"/>
      <c r="F27" s="35" t="str">
        <f t="shared" si="0"/>
        <v>INS</v>
      </c>
      <c r="G27" s="5" t="e">
        <f>IF(OR(E27="Jeopardy",E27="APP Moonlighting",E27="Differential Pay"),"",Jan[[#This Row],[SysID]])</f>
        <v>#N/A</v>
      </c>
      <c r="H27" s="5" t="e">
        <f>IF(E27="Jeopardy",IF(C27="MD",Relay!$E$7,Relay!$E$8),IF(C27="MD",IF(COUNTIF(G:G,B27)&gt;1,Relay!$E$2,Relay!$E$1),IF(AND(COUNTIF(G:G,B27)&gt;1,COUNTA(A27)&gt;0),Relay!$E$5,Relay!$E$4)))</f>
        <v>#N/A</v>
      </c>
      <c r="I27" s="8">
        <f t="shared" si="1"/>
        <v>0</v>
      </c>
      <c r="J27" s="35"/>
      <c r="K27" s="35"/>
      <c r="L27" s="35"/>
      <c r="M27" s="35"/>
      <c r="N27" s="10" t="e">
        <f>IF(H27=Jan!$E$2,"N",IF(AND(COUNTIF(B:B,B27)=1,D27&gt;14),"Y","N"))</f>
        <v>#N/A</v>
      </c>
      <c r="O27" s="55" t="str">
        <f>IF(COUNT(Jan[[#This Row],[Date]])&gt;0,IF(Jan[[#This Row],[Date]]&gt;14,"Yes","No"),"N/A")</f>
        <v>N/A</v>
      </c>
      <c r="P27" s="55"/>
      <c r="Q27" s="5">
        <f>Relay!A26</f>
        <v>0</v>
      </c>
      <c r="R27" s="5">
        <f>Relay!B26</f>
        <v>25</v>
      </c>
      <c r="S27" s="8">
        <f>IF(Jan[After the 14th?]="No",SUMIF(Jan[SysID],R27,Jan[Pay Amount]),0)+IF(Dec[After the 14th?]="Yes",SUMIF(Dec[SysID],R27,Dec[Pay Amount]),0)</f>
        <v>0</v>
      </c>
      <c r="T27" s="8"/>
      <c r="U27" s="5" t="str">
        <f t="shared" si="2"/>
        <v>N</v>
      </c>
      <c r="X27" s="56"/>
      <c r="Y27" s="56"/>
      <c r="Z27" s="56"/>
      <c r="AA27" s="56"/>
      <c r="AC27" s="56"/>
    </row>
    <row r="28" spans="1:29" x14ac:dyDescent="0.25">
      <c r="A28" s="35"/>
      <c r="B28" s="5" t="e">
        <f>VLOOKUP(A28,Relay!$A$1:$B$50,2,FALSE)</f>
        <v>#N/A</v>
      </c>
      <c r="C28" s="5" t="e">
        <f>VLOOKUP(A28,Relay!$A$2:$C$51,3,FALSE)</f>
        <v>#N/A</v>
      </c>
      <c r="D28" s="39"/>
      <c r="E28" s="35"/>
      <c r="F28" s="35" t="str">
        <f t="shared" si="0"/>
        <v>INS</v>
      </c>
      <c r="G28" s="5" t="e">
        <f>IF(OR(E28="Jeopardy",E28="APP Moonlighting",E28="Differential Pay"),"",Jan[[#This Row],[SysID]])</f>
        <v>#N/A</v>
      </c>
      <c r="H28" s="5" t="e">
        <f>IF(E28="Jeopardy",IF(C28="MD",Relay!$E$7,Relay!$E$8),IF(C28="MD",IF(COUNTIF(G:G,B28)&gt;1,Relay!$E$2,Relay!$E$1),IF(AND(COUNTIF(G:G,B28)&gt;1,COUNTA(A28)&gt;0),Relay!$E$5,Relay!$E$4)))</f>
        <v>#N/A</v>
      </c>
      <c r="I28" s="8">
        <f t="shared" si="1"/>
        <v>0</v>
      </c>
      <c r="J28" s="35"/>
      <c r="K28" s="35"/>
      <c r="L28" s="35"/>
      <c r="M28" s="35"/>
      <c r="N28" s="10" t="e">
        <f>IF(H28=Jan!$E$2,"N",IF(AND(COUNTIF(B:B,B28)=1,D28&gt;14),"Y","N"))</f>
        <v>#N/A</v>
      </c>
      <c r="O28" s="55" t="str">
        <f>IF(COUNT(Jan[[#This Row],[Date]])&gt;0,IF(Jan[[#This Row],[Date]]&gt;14,"Yes","No"),"N/A")</f>
        <v>N/A</v>
      </c>
      <c r="P28" s="55"/>
      <c r="Q28" s="5">
        <f>Relay!A27</f>
        <v>0</v>
      </c>
      <c r="R28" s="5">
        <f>Relay!B27</f>
        <v>26</v>
      </c>
      <c r="S28" s="8">
        <f>IF(Jan[After the 14th?]="No",SUMIF(Jan[SysID],R28,Jan[Pay Amount]),0)+IF(Dec[After the 14th?]="Yes",SUMIF(Dec[SysID],R28,Dec[Pay Amount]),0)</f>
        <v>0</v>
      </c>
      <c r="T28" s="8"/>
      <c r="U28" s="5" t="str">
        <f t="shared" si="2"/>
        <v>N</v>
      </c>
      <c r="X28" s="56"/>
      <c r="Y28" s="56"/>
      <c r="Z28" s="56"/>
      <c r="AA28" s="56"/>
      <c r="AC28" s="56"/>
    </row>
    <row r="29" spans="1:29" x14ac:dyDescent="0.25">
      <c r="A29" s="35"/>
      <c r="B29" s="5" t="e">
        <f>VLOOKUP(A29,Relay!$A$1:$B$50,2,FALSE)</f>
        <v>#N/A</v>
      </c>
      <c r="C29" s="5" t="e">
        <f>VLOOKUP(A29,Relay!$A$2:$C$51,3,FALSE)</f>
        <v>#N/A</v>
      </c>
      <c r="D29" s="39"/>
      <c r="E29" s="35"/>
      <c r="F29" s="35" t="str">
        <f t="shared" si="0"/>
        <v>INS</v>
      </c>
      <c r="G29" s="5" t="e">
        <f>IF(OR(E29="Jeopardy",E29="APP Moonlighting",E29="Differential Pay"),"",Jan[[#This Row],[SysID]])</f>
        <v>#N/A</v>
      </c>
      <c r="H29" s="5" t="e">
        <f>IF(E29="Jeopardy",IF(C29="MD",Relay!$E$7,Relay!$E$8),IF(C29="MD",IF(COUNTIF(G:G,B29)&gt;1,Relay!$E$2,Relay!$E$1),IF(AND(COUNTIF(G:G,B29)&gt;1,COUNTA(A29)&gt;0),Relay!$E$5,Relay!$E$4)))</f>
        <v>#N/A</v>
      </c>
      <c r="I29" s="8">
        <f t="shared" si="1"/>
        <v>0</v>
      </c>
      <c r="J29" s="35"/>
      <c r="K29" s="35"/>
      <c r="L29" s="35"/>
      <c r="M29" s="35"/>
      <c r="N29" s="10" t="e">
        <f>IF(H29=Jan!$E$2,"N",IF(AND(COUNTIF(B:B,B29)=1,D29&gt;14),"Y","N"))</f>
        <v>#N/A</v>
      </c>
      <c r="O29" s="55" t="str">
        <f>IF(COUNT(Jan[[#This Row],[Date]])&gt;0,IF(Jan[[#This Row],[Date]]&gt;14,"Yes","No"),"N/A")</f>
        <v>N/A</v>
      </c>
      <c r="P29" s="55"/>
      <c r="Q29" s="5">
        <f>Relay!A28</f>
        <v>0</v>
      </c>
      <c r="R29" s="5">
        <f>Relay!B28</f>
        <v>27</v>
      </c>
      <c r="S29" s="8">
        <f>IF(Jan[After the 14th?]="No",SUMIF(Jan[SysID],R29,Jan[Pay Amount]),0)+IF(Dec[After the 14th?]="Yes",SUMIF(Dec[SysID],R29,Dec[Pay Amount]),0)</f>
        <v>0</v>
      </c>
      <c r="T29" s="8"/>
      <c r="U29" s="5" t="str">
        <f t="shared" si="2"/>
        <v>N</v>
      </c>
      <c r="X29" s="56"/>
      <c r="Y29" s="56"/>
      <c r="Z29" s="56"/>
      <c r="AA29" s="56"/>
      <c r="AC29" s="56"/>
    </row>
    <row r="30" spans="1:29" x14ac:dyDescent="0.25">
      <c r="A30" s="35"/>
      <c r="B30" s="5" t="e">
        <f>VLOOKUP(A30,Relay!$A$1:$B$50,2,FALSE)</f>
        <v>#N/A</v>
      </c>
      <c r="C30" s="5" t="e">
        <f>VLOOKUP(A30,Relay!$A$2:$C$51,3,FALSE)</f>
        <v>#N/A</v>
      </c>
      <c r="D30" s="39"/>
      <c r="E30" s="35"/>
      <c r="F30" s="35" t="str">
        <f t="shared" si="0"/>
        <v>INS</v>
      </c>
      <c r="G30" s="5" t="e">
        <f>IF(OR(E30="Jeopardy",E30="APP Moonlighting",E30="Differential Pay"),"",Jan[[#This Row],[SysID]])</f>
        <v>#N/A</v>
      </c>
      <c r="H30" s="5" t="e">
        <f>IF(E30="Jeopardy",IF(C30="MD",Relay!$E$7,Relay!$E$8),IF(C30="MD",IF(COUNTIF(G:G,B30)&gt;1,Relay!$E$2,Relay!$E$1),IF(AND(COUNTIF(G:G,B30)&gt;1,COUNTA(A30)&gt;0),Relay!$E$5,Relay!$E$4)))</f>
        <v>#N/A</v>
      </c>
      <c r="I30" s="8">
        <f t="shared" si="1"/>
        <v>0</v>
      </c>
      <c r="J30" s="35"/>
      <c r="K30" s="35"/>
      <c r="L30" s="35"/>
      <c r="M30" s="35"/>
      <c r="N30" s="10" t="e">
        <f>IF(H30=Jan!$E$2,"N",IF(AND(COUNTIF(B:B,B30)=1,D30&gt;14),"Y","N"))</f>
        <v>#N/A</v>
      </c>
      <c r="O30" s="55" t="str">
        <f>IF(COUNT(Jan[[#This Row],[Date]])&gt;0,IF(Jan[[#This Row],[Date]]&gt;14,"Yes","No"),"N/A")</f>
        <v>N/A</v>
      </c>
      <c r="P30" s="55"/>
      <c r="Q30" s="5">
        <f>Relay!A29</f>
        <v>0</v>
      </c>
      <c r="R30" s="5">
        <f>Relay!B29</f>
        <v>28</v>
      </c>
      <c r="S30" s="8">
        <f>IF(Jan[After the 14th?]="No",SUMIF(Jan[SysID],R30,Jan[Pay Amount]),0)+IF(Dec[After the 14th?]="Yes",SUMIF(Dec[SysID],R30,Dec[Pay Amount]),0)</f>
        <v>0</v>
      </c>
      <c r="T30" s="8"/>
      <c r="U30" s="5" t="str">
        <f t="shared" si="2"/>
        <v>N</v>
      </c>
      <c r="X30" s="56"/>
      <c r="Y30" s="56"/>
      <c r="Z30" s="56"/>
      <c r="AA30" s="56"/>
      <c r="AC30" s="56"/>
    </row>
    <row r="31" spans="1:29" x14ac:dyDescent="0.25">
      <c r="A31" s="35"/>
      <c r="B31" s="5" t="e">
        <f>VLOOKUP(A31,Relay!$A$1:$B$50,2,FALSE)</f>
        <v>#N/A</v>
      </c>
      <c r="C31" s="5" t="e">
        <f>VLOOKUP(A31,Relay!$A$2:$C$51,3,FALSE)</f>
        <v>#N/A</v>
      </c>
      <c r="D31" s="39"/>
      <c r="E31" s="35"/>
      <c r="F31" s="35" t="str">
        <f t="shared" si="0"/>
        <v>INS</v>
      </c>
      <c r="G31" s="5" t="e">
        <f>IF(OR(E31="Jeopardy",E31="APP Moonlighting",E31="Differential Pay"),"",Jan[[#This Row],[SysID]])</f>
        <v>#N/A</v>
      </c>
      <c r="H31" s="5" t="e">
        <f>IF(E31="Jeopardy",IF(C31="MD",Relay!$E$7,Relay!$E$8),IF(C31="MD",IF(COUNTIF(G:G,B31)&gt;1,Relay!$E$2,Relay!$E$1),IF(AND(COUNTIF(G:G,B31)&gt;1,COUNTA(A31)&gt;0),Relay!$E$5,Relay!$E$4)))</f>
        <v>#N/A</v>
      </c>
      <c r="I31" s="8">
        <f t="shared" si="1"/>
        <v>0</v>
      </c>
      <c r="J31" s="35"/>
      <c r="K31" s="35"/>
      <c r="L31" s="35"/>
      <c r="M31" s="35"/>
      <c r="N31" s="10" t="e">
        <f>IF(H31=Jan!$E$2,"N",IF(AND(COUNTIF(B:B,B31)=1,D31&gt;14),"Y","N"))</f>
        <v>#N/A</v>
      </c>
      <c r="O31" s="55" t="str">
        <f>IF(COUNT(Jan[[#This Row],[Date]])&gt;0,IF(Jan[[#This Row],[Date]]&gt;14,"Yes","No"),"N/A")</f>
        <v>N/A</v>
      </c>
      <c r="P31" s="55"/>
      <c r="Q31" s="5">
        <f>Relay!A30</f>
        <v>0</v>
      </c>
      <c r="R31" s="5">
        <f>Relay!B30</f>
        <v>29</v>
      </c>
      <c r="S31" s="8">
        <f>IF(Jan[After the 14th?]="No",SUMIF(Jan[SysID],R31,Jan[Pay Amount]),0)+IF(Dec[After the 14th?]="Yes",SUMIF(Dec[SysID],R31,Dec[Pay Amount]),0)</f>
        <v>0</v>
      </c>
      <c r="T31" s="8"/>
      <c r="U31" s="5" t="str">
        <f t="shared" si="2"/>
        <v>N</v>
      </c>
      <c r="X31" s="56"/>
      <c r="Y31" s="56"/>
      <c r="Z31" s="56"/>
      <c r="AA31" s="56"/>
      <c r="AC31" s="56"/>
    </row>
    <row r="32" spans="1:29" x14ac:dyDescent="0.25">
      <c r="A32" s="35"/>
      <c r="B32" s="5" t="e">
        <f>VLOOKUP(A32,Relay!$A$1:$B$50,2,FALSE)</f>
        <v>#N/A</v>
      </c>
      <c r="C32" s="5" t="e">
        <f>VLOOKUP(A32,Relay!$A$2:$C$51,3,FALSE)</f>
        <v>#N/A</v>
      </c>
      <c r="D32" s="39"/>
      <c r="E32" s="35"/>
      <c r="F32" s="35" t="str">
        <f t="shared" si="0"/>
        <v>INS</v>
      </c>
      <c r="G32" s="5" t="e">
        <f>IF(OR(E32="Jeopardy",E32="APP Moonlighting",E32="Differential Pay"),"",Jan[[#This Row],[SysID]])</f>
        <v>#N/A</v>
      </c>
      <c r="H32" s="5" t="e">
        <f>IF(E32="Jeopardy",IF(C32="MD",Relay!$E$7,Relay!$E$8),IF(C32="MD",IF(COUNTIF(G:G,B32)&gt;1,Relay!$E$2,Relay!$E$1),IF(AND(COUNTIF(G:G,B32)&gt;1,COUNTA(A32)&gt;0),Relay!$E$5,Relay!$E$4)))</f>
        <v>#N/A</v>
      </c>
      <c r="I32" s="8">
        <f t="shared" si="1"/>
        <v>0</v>
      </c>
      <c r="J32" s="35"/>
      <c r="K32" s="35"/>
      <c r="L32" s="35"/>
      <c r="M32" s="35"/>
      <c r="N32" s="10" t="e">
        <f>IF(H32=Jan!$E$2,"N",IF(AND(COUNTIF(B:B,B32)=1,D32&gt;14),"Y","N"))</f>
        <v>#N/A</v>
      </c>
      <c r="O32" s="55" t="str">
        <f>IF(COUNT(Jan[[#This Row],[Date]])&gt;0,IF(Jan[[#This Row],[Date]]&gt;14,"Yes","No"),"N/A")</f>
        <v>N/A</v>
      </c>
      <c r="P32" s="55"/>
      <c r="Q32" s="5">
        <f>Relay!A31</f>
        <v>0</v>
      </c>
      <c r="R32" s="5">
        <f>Relay!B31</f>
        <v>30</v>
      </c>
      <c r="S32" s="8">
        <f>IF(Jan[After the 14th?]="No",SUMIF(Jan[SysID],R32,Jan[Pay Amount]),0)+IF(Dec[After the 14th?]="Yes",SUMIF(Dec[SysID],R32,Dec[Pay Amount]),0)</f>
        <v>0</v>
      </c>
      <c r="T32" s="8"/>
      <c r="U32" s="5" t="str">
        <f t="shared" si="2"/>
        <v>N</v>
      </c>
      <c r="X32" s="56"/>
      <c r="Y32" s="56"/>
      <c r="Z32" s="56"/>
      <c r="AA32" s="56"/>
      <c r="AC32" s="56"/>
    </row>
    <row r="33" spans="1:29" x14ac:dyDescent="0.25">
      <c r="A33" s="35"/>
      <c r="B33" s="5" t="e">
        <f>VLOOKUP(A33,Relay!$A$1:$B$50,2,FALSE)</f>
        <v>#N/A</v>
      </c>
      <c r="C33" s="5" t="e">
        <f>VLOOKUP(A33,Relay!$A$2:$C$51,3,FALSE)</f>
        <v>#N/A</v>
      </c>
      <c r="D33" s="39"/>
      <c r="E33" s="35"/>
      <c r="F33" s="35" t="str">
        <f t="shared" si="0"/>
        <v>INS</v>
      </c>
      <c r="G33" s="5" t="e">
        <f>IF(OR(E33="Jeopardy",E33="APP Moonlighting",E33="Differential Pay"),"",Jan[[#This Row],[SysID]])</f>
        <v>#N/A</v>
      </c>
      <c r="H33" s="5" t="e">
        <f>IF(E33="Jeopardy",IF(C33="MD",Relay!$E$7,Relay!$E$8),IF(C33="MD",IF(COUNTIF(G:G,B33)&gt;1,Relay!$E$2,Relay!$E$1),IF(AND(COUNTIF(G:G,B33)&gt;1,COUNTA(A33)&gt;0),Relay!$E$5,Relay!$E$4)))</f>
        <v>#N/A</v>
      </c>
      <c r="I33" s="8">
        <f t="shared" si="1"/>
        <v>0</v>
      </c>
      <c r="J33" s="35"/>
      <c r="K33" s="35"/>
      <c r="L33" s="35"/>
      <c r="M33" s="35"/>
      <c r="N33" s="10" t="e">
        <f>IF(H33=Jan!$E$2,"N",IF(AND(COUNTIF(B:B,B33)=1,D33&gt;14),"Y","N"))</f>
        <v>#N/A</v>
      </c>
      <c r="O33" s="55" t="str">
        <f>IF(COUNT(Jan[[#This Row],[Date]])&gt;0,IF(Jan[[#This Row],[Date]]&gt;14,"Yes","No"),"N/A")</f>
        <v>N/A</v>
      </c>
      <c r="P33" s="55"/>
      <c r="Q33" s="5">
        <f>Relay!A32</f>
        <v>0</v>
      </c>
      <c r="R33" s="5">
        <f>Relay!B32</f>
        <v>31</v>
      </c>
      <c r="S33" s="8">
        <f>IF(Jan[After the 14th?]="No",SUMIF(Jan[SysID],R33,Jan[Pay Amount]),0)+IF(Dec[After the 14th?]="Yes",SUMIF(Dec[SysID],R33,Dec[Pay Amount]),0)</f>
        <v>0</v>
      </c>
      <c r="T33" s="8"/>
      <c r="U33" s="5" t="str">
        <f t="shared" si="2"/>
        <v>N</v>
      </c>
      <c r="X33" s="56"/>
      <c r="Y33" s="56"/>
      <c r="Z33" s="56"/>
      <c r="AA33" s="56"/>
      <c r="AC33" s="56"/>
    </row>
    <row r="34" spans="1:29" x14ac:dyDescent="0.25">
      <c r="A34" s="35"/>
      <c r="B34" s="5" t="e">
        <f>VLOOKUP(A34,Relay!$A$1:$B$50,2,FALSE)</f>
        <v>#N/A</v>
      </c>
      <c r="C34" s="5" t="e">
        <f>VLOOKUP(A34,Relay!$A$2:$C$51,3,FALSE)</f>
        <v>#N/A</v>
      </c>
      <c r="D34" s="39"/>
      <c r="E34" s="35"/>
      <c r="F34" s="35" t="str">
        <f t="shared" si="0"/>
        <v>INS</v>
      </c>
      <c r="G34" s="5" t="e">
        <f>IF(OR(E34="Jeopardy",E34="APP Moonlighting",E34="Differential Pay"),"",Jan[[#This Row],[SysID]])</f>
        <v>#N/A</v>
      </c>
      <c r="H34" s="5" t="e">
        <f>IF(E34="Jeopardy",IF(C34="MD",Relay!$E$7,Relay!$E$8),IF(C34="MD",IF(COUNTIF(G:G,B34)&gt;1,Relay!$E$2,Relay!$E$1),IF(AND(COUNTIF(G:G,B34)&gt;1,COUNTA(A34)&gt;0),Relay!$E$5,Relay!$E$4)))</f>
        <v>#N/A</v>
      </c>
      <c r="I34" s="8">
        <f t="shared" si="1"/>
        <v>0</v>
      </c>
      <c r="J34" s="35"/>
      <c r="K34" s="35"/>
      <c r="L34" s="35"/>
      <c r="M34" s="35"/>
      <c r="N34" s="10" t="e">
        <f>IF(H34=Jan!$E$2,"N",IF(AND(COUNTIF(B:B,B34)=1,D34&gt;14),"Y","N"))</f>
        <v>#N/A</v>
      </c>
      <c r="O34" s="55" t="str">
        <f>IF(COUNT(Jan[[#This Row],[Date]])&gt;0,IF(Jan[[#This Row],[Date]]&gt;14,"Yes","No"),"N/A")</f>
        <v>N/A</v>
      </c>
      <c r="P34" s="55"/>
      <c r="Q34" s="5">
        <f>Relay!A33</f>
        <v>0</v>
      </c>
      <c r="R34" s="5">
        <f>Relay!B33</f>
        <v>32</v>
      </c>
      <c r="S34" s="8">
        <f>IF(Jan[After the 14th?]="No",SUMIF(Jan[SysID],R34,Jan[Pay Amount]),0)+IF(Dec[After the 14th?]="Yes",SUMIF(Dec[SysID],R34,Dec[Pay Amount]),0)</f>
        <v>0</v>
      </c>
      <c r="T34" s="8"/>
      <c r="U34" s="5" t="str">
        <f t="shared" si="2"/>
        <v>N</v>
      </c>
      <c r="X34" s="56"/>
      <c r="Y34" s="56"/>
      <c r="Z34" s="56"/>
      <c r="AA34" s="56"/>
      <c r="AC34" s="56"/>
    </row>
    <row r="35" spans="1:29" x14ac:dyDescent="0.25">
      <c r="A35" s="35"/>
      <c r="B35" s="5" t="e">
        <f>VLOOKUP(A35,Relay!$A$1:$B$50,2,FALSE)</f>
        <v>#N/A</v>
      </c>
      <c r="C35" s="5" t="e">
        <f>VLOOKUP(A35,Relay!$A$2:$C$51,3,FALSE)</f>
        <v>#N/A</v>
      </c>
      <c r="D35" s="39"/>
      <c r="E35" s="35"/>
      <c r="F35" s="35" t="str">
        <f t="shared" si="0"/>
        <v>INS</v>
      </c>
      <c r="G35" s="5" t="e">
        <f>IF(OR(E35="Jeopardy",E35="APP Moonlighting",E35="Differential Pay"),"",Jan[[#This Row],[SysID]])</f>
        <v>#N/A</v>
      </c>
      <c r="H35" s="5" t="e">
        <f>IF(E35="Jeopardy",IF(C35="MD",Relay!$E$7,Relay!$E$8),IF(C35="MD",IF(COUNTIF(G:G,B35)&gt;1,Relay!$E$2,Relay!$E$1),IF(AND(COUNTIF(G:G,B35)&gt;1,COUNTA(A35)&gt;0),Relay!$E$5,Relay!$E$4)))</f>
        <v>#N/A</v>
      </c>
      <c r="I35" s="8">
        <f t="shared" si="1"/>
        <v>0</v>
      </c>
      <c r="J35" s="35"/>
      <c r="K35" s="35"/>
      <c r="L35" s="35"/>
      <c r="M35" s="35"/>
      <c r="N35" s="10" t="e">
        <f>IF(H35=Jan!$E$2,"N",IF(AND(COUNTIF(B:B,B35)=1,D35&gt;14),"Y","N"))</f>
        <v>#N/A</v>
      </c>
      <c r="O35" s="55" t="str">
        <f>IF(COUNT(Jan[[#This Row],[Date]])&gt;0,IF(Jan[[#This Row],[Date]]&gt;14,"Yes","No"),"N/A")</f>
        <v>N/A</v>
      </c>
      <c r="P35" s="55"/>
      <c r="Q35" s="5">
        <f>Relay!A34</f>
        <v>0</v>
      </c>
      <c r="R35" s="5">
        <f>Relay!B34</f>
        <v>33</v>
      </c>
      <c r="S35" s="8">
        <f>IF(Jan[After the 14th?]="No",SUMIF(Jan[SysID],R35,Jan[Pay Amount]),0)+IF(Dec[After the 14th?]="Yes",SUMIF(Dec[SysID],R35,Dec[Pay Amount]),0)</f>
        <v>0</v>
      </c>
      <c r="T35" s="8"/>
      <c r="U35" s="5" t="str">
        <f t="shared" si="2"/>
        <v>N</v>
      </c>
      <c r="X35" s="56"/>
      <c r="Y35" s="56"/>
      <c r="Z35" s="56"/>
      <c r="AA35" s="56"/>
      <c r="AC35" s="56"/>
    </row>
    <row r="36" spans="1:29" x14ac:dyDescent="0.25">
      <c r="A36" s="35"/>
      <c r="B36" s="5" t="e">
        <f>VLOOKUP(A36,Relay!$A$1:$B$50,2,FALSE)</f>
        <v>#N/A</v>
      </c>
      <c r="C36" s="5" t="e">
        <f>VLOOKUP(A36,Relay!$A$2:$C$51,3,FALSE)</f>
        <v>#N/A</v>
      </c>
      <c r="D36" s="39"/>
      <c r="E36" s="35"/>
      <c r="F36" s="35" t="str">
        <f t="shared" si="0"/>
        <v>INS</v>
      </c>
      <c r="G36" s="5" t="e">
        <f>IF(OR(E36="Jeopardy",E36="APP Moonlighting",E36="Differential Pay"),"",Jan[[#This Row],[SysID]])</f>
        <v>#N/A</v>
      </c>
      <c r="H36" s="5" t="e">
        <f>IF(E36="Jeopardy",IF(C36="MD",Relay!$E$7,Relay!$E$8),IF(C36="MD",IF(COUNTIF(G:G,B36)&gt;1,Relay!$E$2,Relay!$E$1),IF(AND(COUNTIF(G:G,B36)&gt;1,COUNTA(A36)&gt;0),Relay!$E$5,Relay!$E$4)))</f>
        <v>#N/A</v>
      </c>
      <c r="I36" s="8">
        <f t="shared" si="1"/>
        <v>0</v>
      </c>
      <c r="J36" s="35"/>
      <c r="K36" s="35"/>
      <c r="L36" s="35"/>
      <c r="M36" s="35"/>
      <c r="N36" s="10" t="e">
        <f>IF(H36=Jan!$E$2,"N",IF(AND(COUNTIF(B:B,B36)=1,D36&gt;14),"Y","N"))</f>
        <v>#N/A</v>
      </c>
      <c r="O36" s="55" t="str">
        <f>IF(COUNT(Jan[[#This Row],[Date]])&gt;0,IF(Jan[[#This Row],[Date]]&gt;14,"Yes","No"),"N/A")</f>
        <v>N/A</v>
      </c>
      <c r="P36" s="55"/>
      <c r="Q36" s="5">
        <f>Relay!A35</f>
        <v>0</v>
      </c>
      <c r="R36" s="5">
        <f>Relay!B35</f>
        <v>34</v>
      </c>
      <c r="S36" s="8">
        <f>IF(Jan[After the 14th?]="No",SUMIF(Jan[SysID],R36,Jan[Pay Amount]),0)+IF(Dec[After the 14th?]="Yes",SUMIF(Dec[SysID],R36,Dec[Pay Amount]),0)</f>
        <v>0</v>
      </c>
      <c r="T36" s="8"/>
      <c r="U36" s="5" t="str">
        <f t="shared" si="2"/>
        <v>N</v>
      </c>
      <c r="X36" s="56"/>
      <c r="Y36" s="56"/>
      <c r="Z36" s="56"/>
      <c r="AA36" s="56"/>
      <c r="AC36" s="56"/>
    </row>
    <row r="37" spans="1:29" x14ac:dyDescent="0.25">
      <c r="A37" s="35"/>
      <c r="B37" s="5" t="e">
        <f>VLOOKUP(A37,Relay!$A$1:$B$50,2,FALSE)</f>
        <v>#N/A</v>
      </c>
      <c r="C37" s="5" t="e">
        <f>VLOOKUP(A37,Relay!$A$2:$C$51,3,FALSE)</f>
        <v>#N/A</v>
      </c>
      <c r="D37" s="39"/>
      <c r="E37" s="35"/>
      <c r="F37" s="35" t="str">
        <f t="shared" si="0"/>
        <v>INS</v>
      </c>
      <c r="G37" s="5" t="e">
        <f>IF(OR(E37="Jeopardy",E37="APP Moonlighting",E37="Differential Pay"),"",Jan[[#This Row],[SysID]])</f>
        <v>#N/A</v>
      </c>
      <c r="H37" s="5" t="e">
        <f>IF(E37="Jeopardy",IF(C37="MD",Relay!$E$7,Relay!$E$8),IF(C37="MD",IF(COUNTIF(G:G,B37)&gt;1,Relay!$E$2,Relay!$E$1),IF(AND(COUNTIF(G:G,B37)&gt;1,COUNTA(A37)&gt;0),Relay!$E$5,Relay!$E$4)))</f>
        <v>#N/A</v>
      </c>
      <c r="I37" s="8">
        <f t="shared" si="1"/>
        <v>0</v>
      </c>
      <c r="J37" s="35"/>
      <c r="K37" s="35"/>
      <c r="L37" s="35"/>
      <c r="M37" s="35"/>
      <c r="N37" s="10" t="e">
        <f>IF(H37=Jan!$E$2,"N",IF(AND(COUNTIF(B:B,B37)=1,D37&gt;14),"Y","N"))</f>
        <v>#N/A</v>
      </c>
      <c r="O37" s="55" t="str">
        <f>IF(COUNT(Jan[[#This Row],[Date]])&gt;0,IF(Jan[[#This Row],[Date]]&gt;14,"Yes","No"),"N/A")</f>
        <v>N/A</v>
      </c>
      <c r="P37" s="55"/>
      <c r="Q37" s="5">
        <f>Relay!A36</f>
        <v>0</v>
      </c>
      <c r="R37" s="5">
        <f>Relay!B36</f>
        <v>35</v>
      </c>
      <c r="S37" s="8">
        <f>IF(Jan[After the 14th?]="No",SUMIF(Jan[SysID],R37,Jan[Pay Amount]),0)+IF(Dec[After the 14th?]="Yes",SUMIF(Dec[SysID],R37,Dec[Pay Amount]),0)</f>
        <v>0</v>
      </c>
      <c r="T37" s="8"/>
      <c r="U37" s="5" t="str">
        <f t="shared" si="2"/>
        <v>N</v>
      </c>
      <c r="X37" s="56"/>
      <c r="Y37" s="56"/>
      <c r="Z37" s="56"/>
      <c r="AA37" s="56"/>
      <c r="AC37" s="56"/>
    </row>
    <row r="38" spans="1:29" x14ac:dyDescent="0.25">
      <c r="A38" s="35"/>
      <c r="B38" s="5" t="e">
        <f>VLOOKUP(A38,Relay!$A$1:$B$50,2,FALSE)</f>
        <v>#N/A</v>
      </c>
      <c r="C38" s="5" t="e">
        <f>VLOOKUP(A38,Relay!$A$2:$C$51,3,FALSE)</f>
        <v>#N/A</v>
      </c>
      <c r="D38" s="39"/>
      <c r="E38" s="35"/>
      <c r="F38" s="35" t="str">
        <f t="shared" si="0"/>
        <v>INS</v>
      </c>
      <c r="G38" s="5" t="e">
        <f>IF(OR(E38="Jeopardy",E38="APP Moonlighting",E38="Differential Pay"),"",Jan[[#This Row],[SysID]])</f>
        <v>#N/A</v>
      </c>
      <c r="H38" s="5" t="e">
        <f>IF(E38="Jeopardy",IF(C38="MD",Relay!$E$7,Relay!$E$8),IF(C38="MD",IF(COUNTIF(G:G,B38)&gt;1,Relay!$E$2,Relay!$E$1),IF(AND(COUNTIF(G:G,B38)&gt;1,COUNTA(A38)&gt;0),Relay!$E$5,Relay!$E$4)))</f>
        <v>#N/A</v>
      </c>
      <c r="I38" s="8">
        <f t="shared" si="1"/>
        <v>0</v>
      </c>
      <c r="J38" s="35"/>
      <c r="K38" s="35"/>
      <c r="L38" s="35"/>
      <c r="M38" s="35"/>
      <c r="N38" s="10" t="e">
        <f>IF(H38=Jan!$E$2,"N",IF(AND(COUNTIF(B:B,B38)=1,D38&gt;14),"Y","N"))</f>
        <v>#N/A</v>
      </c>
      <c r="O38" s="55" t="str">
        <f>IF(COUNT(Jan[[#This Row],[Date]])&gt;0,IF(Jan[[#This Row],[Date]]&gt;14,"Yes","No"),"N/A")</f>
        <v>N/A</v>
      </c>
      <c r="P38" s="55"/>
      <c r="Q38" s="5">
        <f>Relay!A37</f>
        <v>0</v>
      </c>
      <c r="R38" s="5">
        <f>Relay!B37</f>
        <v>36</v>
      </c>
      <c r="S38" s="8">
        <f>IF(Jan[After the 14th?]="No",SUMIF(Jan[SysID],R38,Jan[Pay Amount]),0)+IF(Dec[After the 14th?]="Yes",SUMIF(Dec[SysID],R38,Dec[Pay Amount]),0)</f>
        <v>0</v>
      </c>
      <c r="T38" s="8"/>
      <c r="U38" s="5" t="str">
        <f t="shared" si="2"/>
        <v>N</v>
      </c>
      <c r="X38" s="56"/>
      <c r="Y38" s="56"/>
      <c r="Z38" s="56"/>
      <c r="AA38" s="56"/>
      <c r="AC38" s="56"/>
    </row>
    <row r="39" spans="1:29" x14ac:dyDescent="0.25">
      <c r="A39" s="35"/>
      <c r="B39" s="5" t="e">
        <f>VLOOKUP(A39,Relay!$A$1:$B$50,2,FALSE)</f>
        <v>#N/A</v>
      </c>
      <c r="C39" s="5" t="e">
        <f>VLOOKUP(A39,Relay!$A$2:$C$51,3,FALSE)</f>
        <v>#N/A</v>
      </c>
      <c r="D39" s="39"/>
      <c r="E39" s="35"/>
      <c r="F39" s="35" t="str">
        <f t="shared" si="0"/>
        <v>INS</v>
      </c>
      <c r="G39" s="5" t="e">
        <f>IF(OR(E39="Jeopardy",E39="APP Moonlighting",E39="Differential Pay"),"",Jan[[#This Row],[SysID]])</f>
        <v>#N/A</v>
      </c>
      <c r="H39" s="5" t="e">
        <f>IF(E39="Jeopardy",IF(C39="MD",Relay!$E$7,Relay!$E$8),IF(C39="MD",IF(COUNTIF(G:G,B39)&gt;1,Relay!$E$2,Relay!$E$1),IF(AND(COUNTIF(G:G,B39)&gt;1,COUNTA(A39)&gt;0),Relay!$E$5,Relay!$E$4)))</f>
        <v>#N/A</v>
      </c>
      <c r="I39" s="8">
        <f t="shared" si="1"/>
        <v>0</v>
      </c>
      <c r="J39" s="35"/>
      <c r="K39" s="35"/>
      <c r="L39" s="35"/>
      <c r="M39" s="35"/>
      <c r="N39" s="10" t="e">
        <f>IF(H39=Jan!$E$2,"N",IF(AND(COUNTIF(B:B,B39)=1,D39&gt;14),"Y","N"))</f>
        <v>#N/A</v>
      </c>
      <c r="O39" s="55" t="str">
        <f>IF(COUNT(Jan[[#This Row],[Date]])&gt;0,IF(Jan[[#This Row],[Date]]&gt;14,"Yes","No"),"N/A")</f>
        <v>N/A</v>
      </c>
      <c r="P39" s="55"/>
      <c r="Q39" s="5">
        <f>Relay!A38</f>
        <v>0</v>
      </c>
      <c r="R39" s="5">
        <f>Relay!B38</f>
        <v>37</v>
      </c>
      <c r="S39" s="8">
        <f>IF(Jan[After the 14th?]="No",SUMIF(Jan[SysID],R39,Jan[Pay Amount]),0)+IF(Dec[After the 14th?]="Yes",SUMIF(Dec[SysID],R39,Dec[Pay Amount]),0)</f>
        <v>0</v>
      </c>
      <c r="T39" s="8"/>
      <c r="U39" s="5" t="str">
        <f t="shared" si="2"/>
        <v>N</v>
      </c>
      <c r="X39" s="56"/>
      <c r="Y39" s="56"/>
      <c r="Z39" s="56"/>
      <c r="AA39" s="56"/>
      <c r="AC39" s="56"/>
    </row>
    <row r="40" spans="1:29" x14ac:dyDescent="0.25">
      <c r="A40" s="35"/>
      <c r="B40" s="5" t="e">
        <f>VLOOKUP(A40,Relay!$A$1:$B$50,2,FALSE)</f>
        <v>#N/A</v>
      </c>
      <c r="C40" s="5" t="e">
        <f>VLOOKUP(A40,Relay!$A$2:$C$51,3,FALSE)</f>
        <v>#N/A</v>
      </c>
      <c r="D40" s="39"/>
      <c r="E40" s="35"/>
      <c r="F40" s="35" t="str">
        <f t="shared" si="0"/>
        <v>INS</v>
      </c>
      <c r="G40" s="5" t="e">
        <f>IF(OR(E40="Jeopardy",E40="APP Moonlighting",E40="Differential Pay"),"",Jan[[#This Row],[SysID]])</f>
        <v>#N/A</v>
      </c>
      <c r="H40" s="5" t="e">
        <f>IF(E40="Jeopardy",IF(C40="MD",Relay!$E$7,Relay!$E$8),IF(C40="MD",IF(COUNTIF(G:G,B40)&gt;1,Relay!$E$2,Relay!$E$1),IF(AND(COUNTIF(G:G,B40)&gt;1,COUNTA(A40)&gt;0),Relay!$E$5,Relay!$E$4)))</f>
        <v>#N/A</v>
      </c>
      <c r="I40" s="8">
        <f t="shared" si="1"/>
        <v>0</v>
      </c>
      <c r="J40" s="35"/>
      <c r="K40" s="35"/>
      <c r="L40" s="35"/>
      <c r="M40" s="35"/>
      <c r="N40" s="10" t="e">
        <f>IF(H40=Jan!$E$2,"N",IF(AND(COUNTIF(B:B,B40)=1,D40&gt;14),"Y","N"))</f>
        <v>#N/A</v>
      </c>
      <c r="O40" s="55" t="str">
        <f>IF(COUNT(Jan[[#This Row],[Date]])&gt;0,IF(Jan[[#This Row],[Date]]&gt;14,"Yes","No"),"N/A")</f>
        <v>N/A</v>
      </c>
      <c r="P40" s="55"/>
      <c r="Q40" s="5">
        <f>Relay!A39</f>
        <v>0</v>
      </c>
      <c r="R40" s="5">
        <f>Relay!B39</f>
        <v>38</v>
      </c>
      <c r="S40" s="8">
        <f>IF(Jan[After the 14th?]="No",SUMIF(Jan[SysID],R40,Jan[Pay Amount]),0)+IF(Dec[After the 14th?]="Yes",SUMIF(Dec[SysID],R40,Dec[Pay Amount]),0)</f>
        <v>0</v>
      </c>
      <c r="T40" s="8"/>
      <c r="U40" s="5" t="str">
        <f t="shared" si="2"/>
        <v>N</v>
      </c>
      <c r="X40" s="56"/>
      <c r="Y40" s="56"/>
      <c r="Z40" s="56"/>
      <c r="AA40" s="56"/>
      <c r="AC40" s="56"/>
    </row>
    <row r="41" spans="1:29" x14ac:dyDescent="0.25">
      <c r="A41" s="35"/>
      <c r="B41" s="5" t="e">
        <f>VLOOKUP(A41,Relay!$A$1:$B$50,2,FALSE)</f>
        <v>#N/A</v>
      </c>
      <c r="C41" s="5" t="e">
        <f>VLOOKUP(A41,Relay!$A$2:$C$51,3,FALSE)</f>
        <v>#N/A</v>
      </c>
      <c r="D41" s="39"/>
      <c r="E41" s="35"/>
      <c r="F41" s="35" t="str">
        <f t="shared" si="0"/>
        <v>INS</v>
      </c>
      <c r="G41" s="5" t="e">
        <f>IF(OR(E41="Jeopardy",E41="APP Moonlighting",E41="Differential Pay"),"",Jan[[#This Row],[SysID]])</f>
        <v>#N/A</v>
      </c>
      <c r="H41" s="5" t="e">
        <f>IF(E41="Jeopardy",IF(C41="MD",Relay!$E$7,Relay!$E$8),IF(C41="MD",IF(COUNTIF(G:G,B41)&gt;1,Relay!$E$2,Relay!$E$1),IF(AND(COUNTIF(G:G,B41)&gt;1,COUNTA(A41)&gt;0),Relay!$E$5,Relay!$E$4)))</f>
        <v>#N/A</v>
      </c>
      <c r="I41" s="8">
        <f t="shared" si="1"/>
        <v>0</v>
      </c>
      <c r="J41" s="35"/>
      <c r="K41" s="35"/>
      <c r="L41" s="35"/>
      <c r="M41" s="35"/>
      <c r="N41" s="10" t="e">
        <f>IF(H41=Jan!$E$2,"N",IF(AND(COUNTIF(B:B,B41)=1,D41&gt;14),"Y","N"))</f>
        <v>#N/A</v>
      </c>
      <c r="O41" s="55" t="str">
        <f>IF(COUNT(Jan[[#This Row],[Date]])&gt;0,IF(Jan[[#This Row],[Date]]&gt;14,"Yes","No"),"N/A")</f>
        <v>N/A</v>
      </c>
      <c r="P41" s="55"/>
      <c r="Q41" s="5">
        <f>Relay!A40</f>
        <v>0</v>
      </c>
      <c r="R41" s="5">
        <f>Relay!B40</f>
        <v>39</v>
      </c>
      <c r="S41" s="8">
        <f>IF(Jan[After the 14th?]="No",SUMIF(Jan[SysID],R41,Jan[Pay Amount]),0)+IF(Dec[After the 14th?]="Yes",SUMIF(Dec[SysID],R41,Dec[Pay Amount]),0)</f>
        <v>0</v>
      </c>
      <c r="T41" s="8"/>
      <c r="U41" s="5" t="str">
        <f t="shared" si="2"/>
        <v>N</v>
      </c>
      <c r="X41" s="56"/>
      <c r="Y41" s="56"/>
      <c r="Z41" s="56"/>
      <c r="AA41" s="56"/>
      <c r="AC41" s="56"/>
    </row>
    <row r="42" spans="1:29" x14ac:dyDescent="0.25">
      <c r="A42" s="35"/>
      <c r="B42" s="5" t="e">
        <f>VLOOKUP(A42,Relay!$A$1:$B$50,2,FALSE)</f>
        <v>#N/A</v>
      </c>
      <c r="C42" s="5" t="e">
        <f>VLOOKUP(A42,Relay!$A$2:$C$51,3,FALSE)</f>
        <v>#N/A</v>
      </c>
      <c r="D42" s="39"/>
      <c r="E42" s="35"/>
      <c r="F42" s="35" t="str">
        <f t="shared" si="0"/>
        <v>INS</v>
      </c>
      <c r="G42" s="5" t="e">
        <f>IF(OR(E42="Jeopardy",E42="APP Moonlighting",E42="Differential Pay"),"",Jan[[#This Row],[SysID]])</f>
        <v>#N/A</v>
      </c>
      <c r="H42" s="5" t="e">
        <f>IF(E42="Jeopardy",IF(C42="MD",Relay!$E$7,Relay!$E$8),IF(C42="MD",IF(COUNTIF(G:G,B42)&gt;1,Relay!$E$2,Relay!$E$1),IF(AND(COUNTIF(G:G,B42)&gt;1,COUNTA(A42)&gt;0),Relay!$E$5,Relay!$E$4)))</f>
        <v>#N/A</v>
      </c>
      <c r="I42" s="8">
        <f t="shared" si="1"/>
        <v>0</v>
      </c>
      <c r="J42" s="35"/>
      <c r="K42" s="35"/>
      <c r="L42" s="35"/>
      <c r="M42" s="35"/>
      <c r="N42" s="10" t="e">
        <f>IF(H42=Jan!$E$2,"N",IF(AND(COUNTIF(B:B,B42)=1,D42&gt;14),"Y","N"))</f>
        <v>#N/A</v>
      </c>
      <c r="O42" s="55" t="str">
        <f>IF(COUNT(Jan[[#This Row],[Date]])&gt;0,IF(Jan[[#This Row],[Date]]&gt;14,"Yes","No"),"N/A")</f>
        <v>N/A</v>
      </c>
      <c r="P42" s="55"/>
      <c r="Q42" s="5">
        <f>Relay!A41</f>
        <v>0</v>
      </c>
      <c r="R42" s="5">
        <f>Relay!B41</f>
        <v>40</v>
      </c>
      <c r="S42" s="8">
        <f>IF(Jan[After the 14th?]="No",SUMIF(Jan[SysID],R42,Jan[Pay Amount]),0)+IF(Dec[After the 14th?]="Yes",SUMIF(Dec[SysID],R42,Dec[Pay Amount]),0)</f>
        <v>0</v>
      </c>
      <c r="T42" s="8"/>
      <c r="U42" s="5" t="str">
        <f t="shared" si="2"/>
        <v>N</v>
      </c>
      <c r="X42" s="56"/>
      <c r="Y42" s="56"/>
      <c r="Z42" s="56"/>
      <c r="AA42" s="56"/>
      <c r="AC42" s="56"/>
    </row>
    <row r="43" spans="1:29" x14ac:dyDescent="0.25">
      <c r="A43" s="35"/>
      <c r="B43" s="5" t="e">
        <f>VLOOKUP(A43,Relay!$A$1:$B$50,2,FALSE)</f>
        <v>#N/A</v>
      </c>
      <c r="C43" s="5" t="e">
        <f>VLOOKUP(A43,Relay!$A$2:$C$51,3,FALSE)</f>
        <v>#N/A</v>
      </c>
      <c r="D43" s="39"/>
      <c r="E43" s="35"/>
      <c r="F43" s="35" t="str">
        <f t="shared" si="0"/>
        <v>INS</v>
      </c>
      <c r="G43" s="5" t="e">
        <f>IF(OR(E43="Jeopardy",E43="APP Moonlighting",E43="Differential Pay"),"",Jan[[#This Row],[SysID]])</f>
        <v>#N/A</v>
      </c>
      <c r="H43" s="5" t="e">
        <f>IF(E43="Jeopardy",IF(C43="MD",Relay!$E$7,Relay!$E$8),IF(C43="MD",IF(COUNTIF(G:G,B43)&gt;1,Relay!$E$2,Relay!$E$1),IF(AND(COUNTIF(G:G,B43)&gt;1,COUNTA(A43)&gt;0),Relay!$E$5,Relay!$E$4)))</f>
        <v>#N/A</v>
      </c>
      <c r="I43" s="8">
        <f t="shared" si="1"/>
        <v>0</v>
      </c>
      <c r="J43" s="35"/>
      <c r="K43" s="35"/>
      <c r="L43" s="35"/>
      <c r="M43" s="35"/>
      <c r="N43" s="10" t="e">
        <f>IF(H43=Jan!$E$2,"N",IF(AND(COUNTIF(B:B,B43)=1,D43&gt;14),"Y","N"))</f>
        <v>#N/A</v>
      </c>
      <c r="O43" s="55" t="str">
        <f>IF(COUNT(Jan[[#This Row],[Date]])&gt;0,IF(Jan[[#This Row],[Date]]&gt;14,"Yes","No"),"N/A")</f>
        <v>N/A</v>
      </c>
      <c r="P43" s="55"/>
      <c r="Q43" s="5">
        <f>Relay!A42</f>
        <v>0</v>
      </c>
      <c r="R43" s="5">
        <f>Relay!B42</f>
        <v>41</v>
      </c>
      <c r="S43" s="8">
        <f>IF(Jan[After the 14th?]="No",SUMIF(Jan[SysID],R43,Jan[Pay Amount]),0)+IF(Dec[After the 14th?]="Yes",SUMIF(Dec[SysID],R43,Dec[Pay Amount]),0)</f>
        <v>0</v>
      </c>
      <c r="T43" s="8"/>
      <c r="U43" s="5" t="str">
        <f t="shared" si="2"/>
        <v>N</v>
      </c>
      <c r="X43" s="56"/>
      <c r="Y43" s="56"/>
      <c r="Z43" s="56"/>
      <c r="AA43" s="56"/>
      <c r="AC43" s="56"/>
    </row>
    <row r="44" spans="1:29" x14ac:dyDescent="0.25">
      <c r="A44" s="35"/>
      <c r="B44" s="5" t="e">
        <f>VLOOKUP(A44,Relay!$A$1:$B$50,2,FALSE)</f>
        <v>#N/A</v>
      </c>
      <c r="C44" s="5" t="e">
        <f>VLOOKUP(A44,Relay!$A$2:$C$51,3,FALSE)</f>
        <v>#N/A</v>
      </c>
      <c r="D44" s="39"/>
      <c r="E44" s="35"/>
      <c r="F44" s="35" t="str">
        <f t="shared" si="0"/>
        <v>INS</v>
      </c>
      <c r="G44" s="5" t="e">
        <f>IF(OR(E44="Jeopardy",E44="APP Moonlighting",E44="Differential Pay"),"",Jan[[#This Row],[SysID]])</f>
        <v>#N/A</v>
      </c>
      <c r="H44" s="5" t="e">
        <f>IF(E44="Jeopardy",IF(C44="MD",Relay!$E$7,Relay!$E$8),IF(C44="MD",IF(COUNTIF(G:G,B44)&gt;1,Relay!$E$2,Relay!$E$1),IF(AND(COUNTIF(G:G,B44)&gt;1,COUNTA(A44)&gt;0),Relay!$E$5,Relay!$E$4)))</f>
        <v>#N/A</v>
      </c>
      <c r="I44" s="8">
        <f t="shared" si="1"/>
        <v>0</v>
      </c>
      <c r="J44" s="35"/>
      <c r="K44" s="35"/>
      <c r="L44" s="35"/>
      <c r="M44" s="35"/>
      <c r="N44" s="10" t="e">
        <f>IF(H44=Jan!$E$2,"N",IF(AND(COUNTIF(B:B,B44)=1,D44&gt;14),"Y","N"))</f>
        <v>#N/A</v>
      </c>
      <c r="O44" s="55" t="str">
        <f>IF(COUNT(Jan[[#This Row],[Date]])&gt;0,IF(Jan[[#This Row],[Date]]&gt;14,"Yes","No"),"N/A")</f>
        <v>N/A</v>
      </c>
      <c r="P44" s="55"/>
      <c r="Q44" s="5">
        <f>Relay!A43</f>
        <v>0</v>
      </c>
      <c r="R44" s="5">
        <f>Relay!B43</f>
        <v>42</v>
      </c>
      <c r="S44" s="8">
        <f>IF(Jan[After the 14th?]="No",SUMIF(Jan[SysID],R44,Jan[Pay Amount]),0)+IF(Dec[After the 14th?]="Yes",SUMIF(Dec[SysID],R44,Dec[Pay Amount]),0)</f>
        <v>0</v>
      </c>
      <c r="T44" s="8"/>
      <c r="U44" s="5" t="str">
        <f t="shared" si="2"/>
        <v>N</v>
      </c>
      <c r="X44" s="56"/>
      <c r="Y44" s="56"/>
      <c r="Z44" s="56"/>
      <c r="AA44" s="56"/>
      <c r="AC44" s="56"/>
    </row>
    <row r="45" spans="1:29" x14ac:dyDescent="0.25">
      <c r="A45" s="35"/>
      <c r="B45" s="5" t="e">
        <f>VLOOKUP(A45,Relay!$A$1:$B$50,2,FALSE)</f>
        <v>#N/A</v>
      </c>
      <c r="C45" s="5" t="e">
        <f>VLOOKUP(A45,Relay!$A$2:$C$51,3,FALSE)</f>
        <v>#N/A</v>
      </c>
      <c r="D45" s="39"/>
      <c r="E45" s="35"/>
      <c r="F45" s="35" t="str">
        <f t="shared" si="0"/>
        <v>INS</v>
      </c>
      <c r="G45" s="5" t="e">
        <f>IF(OR(E45="Jeopardy",E45="APP Moonlighting",E45="Differential Pay"),"",Jan[[#This Row],[SysID]])</f>
        <v>#N/A</v>
      </c>
      <c r="H45" s="5" t="e">
        <f>IF(E45="Jeopardy",IF(C45="MD",Relay!$E$7,Relay!$E$8),IF(C45="MD",IF(COUNTIF(G:G,B45)&gt;1,Relay!$E$2,Relay!$E$1),IF(AND(COUNTIF(G:G,B45)&gt;1,COUNTA(A45)&gt;0),Relay!$E$5,Relay!$E$4)))</f>
        <v>#N/A</v>
      </c>
      <c r="I45" s="8">
        <f t="shared" si="1"/>
        <v>0</v>
      </c>
      <c r="J45" s="35"/>
      <c r="K45" s="35"/>
      <c r="L45" s="35"/>
      <c r="M45" s="35"/>
      <c r="N45" s="10" t="e">
        <f>IF(H45=Jan!$E$2,"N",IF(AND(COUNTIF(B:B,B45)=1,D45&gt;14),"Y","N"))</f>
        <v>#N/A</v>
      </c>
      <c r="O45" s="55" t="str">
        <f>IF(COUNT(Jan[[#This Row],[Date]])&gt;0,IF(Jan[[#This Row],[Date]]&gt;14,"Yes","No"),"N/A")</f>
        <v>N/A</v>
      </c>
      <c r="P45" s="55"/>
      <c r="Q45" s="5">
        <f>Relay!A44</f>
        <v>0</v>
      </c>
      <c r="R45" s="5">
        <f>Relay!B44</f>
        <v>43</v>
      </c>
      <c r="S45" s="8">
        <f>IF(Jan[After the 14th?]="No",SUMIF(Jan[SysID],R45,Jan[Pay Amount]),0)+IF(Dec[After the 14th?]="Yes",SUMIF(Dec[SysID],R45,Dec[Pay Amount]),0)</f>
        <v>0</v>
      </c>
      <c r="T45" s="8"/>
      <c r="U45" s="5" t="str">
        <f t="shared" si="2"/>
        <v>N</v>
      </c>
      <c r="X45" s="56"/>
      <c r="Y45" s="56"/>
      <c r="Z45" s="56"/>
      <c r="AA45" s="56"/>
      <c r="AC45" s="56"/>
    </row>
    <row r="46" spans="1:29" x14ac:dyDescent="0.25">
      <c r="A46" s="35"/>
      <c r="B46" s="5" t="e">
        <f>VLOOKUP(A46,Relay!$A$1:$B$50,2,FALSE)</f>
        <v>#N/A</v>
      </c>
      <c r="C46" s="5" t="e">
        <f>VLOOKUP(A46,Relay!$A$2:$C$51,3,FALSE)</f>
        <v>#N/A</v>
      </c>
      <c r="D46" s="39"/>
      <c r="E46" s="35"/>
      <c r="F46" s="35" t="str">
        <f t="shared" si="0"/>
        <v>INS</v>
      </c>
      <c r="G46" s="5" t="e">
        <f>IF(OR(E46="Jeopardy",E46="APP Moonlighting",E46="Differential Pay"),"",Jan[[#This Row],[SysID]])</f>
        <v>#N/A</v>
      </c>
      <c r="H46" s="5" t="e">
        <f>IF(E46="Jeopardy",IF(C46="MD",Relay!$E$7,Relay!$E$8),IF(C46="MD",IF(COUNTIF(G:G,B46)&gt;1,Relay!$E$2,Relay!$E$1),IF(AND(COUNTIF(G:G,B46)&gt;1,COUNTA(A46)&gt;0),Relay!$E$5,Relay!$E$4)))</f>
        <v>#N/A</v>
      </c>
      <c r="I46" s="8">
        <f t="shared" si="1"/>
        <v>0</v>
      </c>
      <c r="J46" s="35"/>
      <c r="K46" s="35"/>
      <c r="L46" s="35"/>
      <c r="M46" s="35"/>
      <c r="N46" s="10" t="e">
        <f>IF(H46=Jan!$E$2,"N",IF(AND(COUNTIF(B:B,B46)=1,D46&gt;14),"Y","N"))</f>
        <v>#N/A</v>
      </c>
      <c r="O46" s="55" t="str">
        <f>IF(COUNT(Jan[[#This Row],[Date]])&gt;0,IF(Jan[[#This Row],[Date]]&gt;14,"Yes","No"),"N/A")</f>
        <v>N/A</v>
      </c>
      <c r="P46" s="55"/>
      <c r="Q46" s="5">
        <f>Relay!A45</f>
        <v>0</v>
      </c>
      <c r="R46" s="5">
        <f>Relay!B45</f>
        <v>44</v>
      </c>
      <c r="S46" s="8">
        <f>IF(Jan[After the 14th?]="No",SUMIF(Jan[SysID],R46,Jan[Pay Amount]),0)+IF(Dec[After the 14th?]="Yes",SUMIF(Dec[SysID],R46,Dec[Pay Amount]),0)</f>
        <v>0</v>
      </c>
      <c r="T46" s="8"/>
      <c r="U46" s="5" t="str">
        <f t="shared" si="2"/>
        <v>N</v>
      </c>
      <c r="X46" s="56"/>
      <c r="Y46" s="56"/>
      <c r="Z46" s="56"/>
      <c r="AA46" s="56"/>
      <c r="AC46" s="56"/>
    </row>
    <row r="47" spans="1:29" x14ac:dyDescent="0.25">
      <c r="A47" s="35"/>
      <c r="B47" s="5" t="e">
        <f>VLOOKUP(A47,Relay!$A$1:$B$50,2,FALSE)</f>
        <v>#N/A</v>
      </c>
      <c r="C47" s="5" t="e">
        <f>VLOOKUP(A47,Relay!$A$2:$C$51,3,FALSE)</f>
        <v>#N/A</v>
      </c>
      <c r="D47" s="39"/>
      <c r="E47" s="35"/>
      <c r="F47" s="35" t="str">
        <f t="shared" si="0"/>
        <v>INS</v>
      </c>
      <c r="G47" s="5" t="e">
        <f>IF(OR(E47="Jeopardy",E47="APP Moonlighting",E47="Differential Pay"),"",Jan[[#This Row],[SysID]])</f>
        <v>#N/A</v>
      </c>
      <c r="H47" s="5" t="e">
        <f>IF(E47="Jeopardy",IF(C47="MD",Relay!$E$7,Relay!$E$8),IF(C47="MD",IF(COUNTIF(G:G,B47)&gt;1,Relay!$E$2,Relay!$E$1),IF(AND(COUNTIF(G:G,B47)&gt;1,COUNTA(A47)&gt;0),Relay!$E$5,Relay!$E$4)))</f>
        <v>#N/A</v>
      </c>
      <c r="I47" s="8">
        <f t="shared" si="1"/>
        <v>0</v>
      </c>
      <c r="J47" s="35"/>
      <c r="K47" s="35"/>
      <c r="L47" s="35"/>
      <c r="M47" s="35"/>
      <c r="N47" s="10" t="e">
        <f>IF(H47=Jan!$E$2,"N",IF(AND(COUNTIF(B:B,B47)=1,D47&gt;14),"Y","N"))</f>
        <v>#N/A</v>
      </c>
      <c r="O47" s="55" t="str">
        <f>IF(COUNT(Jan[[#This Row],[Date]])&gt;0,IF(Jan[[#This Row],[Date]]&gt;14,"Yes","No"),"N/A")</f>
        <v>N/A</v>
      </c>
      <c r="P47" s="55"/>
      <c r="Q47" s="5">
        <f>Relay!A46</f>
        <v>0</v>
      </c>
      <c r="R47" s="5">
        <f>Relay!B46</f>
        <v>45</v>
      </c>
      <c r="S47" s="8">
        <f>IF(Jan[After the 14th?]="No",SUMIF(Jan[SysID],R47,Jan[Pay Amount]),0)+IF(Dec[After the 14th?]="Yes",SUMIF(Dec[SysID],R47,Dec[Pay Amount]),0)</f>
        <v>0</v>
      </c>
      <c r="T47" s="8"/>
      <c r="U47" s="5" t="str">
        <f t="shared" si="2"/>
        <v>N</v>
      </c>
      <c r="X47" s="56"/>
      <c r="Y47" s="56"/>
      <c r="Z47" s="56"/>
      <c r="AA47" s="56"/>
      <c r="AC47" s="56"/>
    </row>
    <row r="48" spans="1:29" x14ac:dyDescent="0.25">
      <c r="A48" s="35"/>
      <c r="B48" s="5" t="e">
        <f>VLOOKUP(A48,Relay!$A$1:$B$50,2,FALSE)</f>
        <v>#N/A</v>
      </c>
      <c r="C48" s="5" t="e">
        <f>VLOOKUP(A48,Relay!$A$2:$C$51,3,FALSE)</f>
        <v>#N/A</v>
      </c>
      <c r="D48" s="39"/>
      <c r="E48" s="35"/>
      <c r="F48" s="35" t="str">
        <f t="shared" si="0"/>
        <v>INS</v>
      </c>
      <c r="G48" s="5" t="e">
        <f>IF(OR(E48="Jeopardy",E48="APP Moonlighting",E48="Differential Pay"),"",Jan[[#This Row],[SysID]])</f>
        <v>#N/A</v>
      </c>
      <c r="H48" s="5" t="e">
        <f>IF(E48="Jeopardy",IF(C48="MD",Relay!$E$7,Relay!$E$8),IF(C48="MD",IF(COUNTIF(G:G,B48)&gt;1,Relay!$E$2,Relay!$E$1),IF(AND(COUNTIF(G:G,B48)&gt;1,COUNTA(A48)&gt;0),Relay!$E$5,Relay!$E$4)))</f>
        <v>#N/A</v>
      </c>
      <c r="I48" s="8">
        <f t="shared" si="1"/>
        <v>0</v>
      </c>
      <c r="J48" s="35"/>
      <c r="K48" s="35"/>
      <c r="L48" s="35"/>
      <c r="M48" s="35"/>
      <c r="N48" s="10" t="e">
        <f>IF(H48=Jan!$E$2,"N",IF(AND(COUNTIF(B:B,B48)=1,D48&gt;14),"Y","N"))</f>
        <v>#N/A</v>
      </c>
      <c r="O48" s="55" t="str">
        <f>IF(COUNT(Jan[[#This Row],[Date]])&gt;0,IF(Jan[[#This Row],[Date]]&gt;14,"Yes","No"),"N/A")</f>
        <v>N/A</v>
      </c>
      <c r="P48" s="55"/>
      <c r="Q48" s="5">
        <f>Relay!A47</f>
        <v>0</v>
      </c>
      <c r="R48" s="5">
        <f>Relay!B47</f>
        <v>46</v>
      </c>
      <c r="S48" s="8">
        <f>IF(Jan[After the 14th?]="No",SUMIF(Jan[SysID],R48,Jan[Pay Amount]),0)+IF(Dec[After the 14th?]="Yes",SUMIF(Dec[SysID],R48,Dec[Pay Amount]),0)</f>
        <v>0</v>
      </c>
      <c r="T48" s="8"/>
      <c r="U48" s="5" t="str">
        <f t="shared" si="2"/>
        <v>N</v>
      </c>
      <c r="X48" s="56"/>
      <c r="Y48" s="56"/>
      <c r="Z48" s="56"/>
      <c r="AA48" s="56"/>
      <c r="AC48" s="56"/>
    </row>
    <row r="49" spans="1:29" x14ac:dyDescent="0.25">
      <c r="A49" s="35"/>
      <c r="B49" s="5" t="e">
        <f>VLOOKUP(A49,Relay!$A$1:$B$50,2,FALSE)</f>
        <v>#N/A</v>
      </c>
      <c r="C49" s="5" t="e">
        <f>VLOOKUP(A49,Relay!$A$2:$C$51,3,FALSE)</f>
        <v>#N/A</v>
      </c>
      <c r="D49" s="39"/>
      <c r="E49" s="35"/>
      <c r="F49" s="35" t="str">
        <f t="shared" si="0"/>
        <v>INS</v>
      </c>
      <c r="G49" s="5" t="e">
        <f>IF(OR(E49="Jeopardy",E49="APP Moonlighting",E49="Differential Pay"),"",Jan[[#This Row],[SysID]])</f>
        <v>#N/A</v>
      </c>
      <c r="H49" s="5" t="e">
        <f>IF(E49="Jeopardy",IF(C49="MD",Relay!$E$7,Relay!$E$8),IF(C49="MD",IF(COUNTIF(G:G,B49)&gt;1,Relay!$E$2,Relay!$E$1),IF(AND(COUNTIF(G:G,B49)&gt;1,COUNTA(A49)&gt;0),Relay!$E$5,Relay!$E$4)))</f>
        <v>#N/A</v>
      </c>
      <c r="I49" s="8">
        <f t="shared" si="1"/>
        <v>0</v>
      </c>
      <c r="J49" s="35"/>
      <c r="K49" s="35"/>
      <c r="L49" s="35"/>
      <c r="M49" s="35"/>
      <c r="N49" s="10" t="e">
        <f>IF(H49=Jan!$E$2,"N",IF(AND(COUNTIF(B:B,B49)=1,D49&gt;14),"Y","N"))</f>
        <v>#N/A</v>
      </c>
      <c r="O49" s="55" t="str">
        <f>IF(COUNT(Jan[[#This Row],[Date]])&gt;0,IF(Jan[[#This Row],[Date]]&gt;14,"Yes","No"),"N/A")</f>
        <v>N/A</v>
      </c>
      <c r="P49" s="55"/>
      <c r="Q49" s="5">
        <f>Relay!A48</f>
        <v>0</v>
      </c>
      <c r="R49" s="5">
        <f>Relay!B48</f>
        <v>47</v>
      </c>
      <c r="S49" s="8">
        <f>IF(Jan[After the 14th?]="No",SUMIF(Jan[SysID],R49,Jan[Pay Amount]),0)+IF(Dec[After the 14th?]="Yes",SUMIF(Dec[SysID],R49,Dec[Pay Amount]),0)</f>
        <v>0</v>
      </c>
      <c r="T49" s="8"/>
      <c r="U49" s="5" t="str">
        <f t="shared" si="2"/>
        <v>N</v>
      </c>
      <c r="X49" s="56"/>
      <c r="Y49" s="56"/>
      <c r="Z49" s="56"/>
      <c r="AA49" s="56"/>
      <c r="AC49" s="56"/>
    </row>
    <row r="50" spans="1:29" x14ac:dyDescent="0.25">
      <c r="A50" s="35"/>
      <c r="B50" s="5" t="e">
        <f>VLOOKUP(A50,Relay!$A$1:$B$50,2,FALSE)</f>
        <v>#N/A</v>
      </c>
      <c r="C50" s="5" t="e">
        <f>VLOOKUP(A50,Relay!$A$2:$C$51,3,FALSE)</f>
        <v>#N/A</v>
      </c>
      <c r="D50" s="39"/>
      <c r="E50" s="35"/>
      <c r="F50" s="35" t="str">
        <f t="shared" si="0"/>
        <v>INS</v>
      </c>
      <c r="G50" s="5" t="e">
        <f>IF(OR(E50="Jeopardy",E50="APP Moonlighting",E50="Differential Pay"),"",Jan[[#This Row],[SysID]])</f>
        <v>#N/A</v>
      </c>
      <c r="H50" s="5" t="e">
        <f>IF(E50="Jeopardy",IF(C50="MD",Relay!$E$7,Relay!$E$8),IF(C50="MD",IF(COUNTIF(G:G,B50)&gt;1,Relay!$E$2,Relay!$E$1),IF(AND(COUNTIF(G:G,B50)&gt;1,COUNTA(A50)&gt;0),Relay!$E$5,Relay!$E$4)))</f>
        <v>#N/A</v>
      </c>
      <c r="I50" s="8">
        <f t="shared" si="1"/>
        <v>0</v>
      </c>
      <c r="J50" s="35"/>
      <c r="K50" s="35"/>
      <c r="L50" s="35"/>
      <c r="M50" s="35"/>
      <c r="N50" s="10" t="e">
        <f>IF(H50=Jan!$E$2,"N",IF(AND(COUNTIF(B:B,B50)=1,D50&gt;14),"Y","N"))</f>
        <v>#N/A</v>
      </c>
      <c r="O50" s="55" t="str">
        <f>IF(COUNT(Jan[[#This Row],[Date]])&gt;0,IF(Jan[[#This Row],[Date]]&gt;14,"Yes","No"),"N/A")</f>
        <v>N/A</v>
      </c>
      <c r="P50" s="55"/>
      <c r="Q50" s="5">
        <f>Relay!A49</f>
        <v>0</v>
      </c>
      <c r="R50" s="5">
        <f>Relay!B49</f>
        <v>48</v>
      </c>
      <c r="S50" s="8">
        <f>IF(Jan[After the 14th?]="No",SUMIF(Jan[SysID],R50,Jan[Pay Amount]),0)+IF(Dec[After the 14th?]="Yes",SUMIF(Dec[SysID],R50,Dec[Pay Amount]),0)</f>
        <v>0</v>
      </c>
      <c r="T50" s="8"/>
      <c r="U50" s="5" t="str">
        <f t="shared" si="2"/>
        <v>N</v>
      </c>
      <c r="X50" s="56"/>
      <c r="Y50" s="56"/>
      <c r="Z50" s="56"/>
      <c r="AA50" s="56"/>
      <c r="AC50" s="56"/>
    </row>
    <row r="51" spans="1:29" x14ac:dyDescent="0.25">
      <c r="A51" s="35"/>
      <c r="B51" s="32" t="e">
        <f>VLOOKUP(A51,Relay!$A$1:$B$50,2,FALSE)</f>
        <v>#N/A</v>
      </c>
      <c r="C51" s="32" t="e">
        <f>VLOOKUP(A51,Relay!$A$2:$C$101,3,FALSE)</f>
        <v>#N/A</v>
      </c>
      <c r="D51" s="39"/>
      <c r="E51" s="35"/>
      <c r="F51" s="58" t="str">
        <f t="shared" si="0"/>
        <v>INS</v>
      </c>
      <c r="G51" s="32" t="e">
        <f>IF(OR(E51="Jeopardy",E51="APP Moonlighting",E51="Differential Pay"),"",Jan[[#This Row],[SysID]])</f>
        <v>#N/A</v>
      </c>
      <c r="H51" s="32" t="e">
        <f>IF(E51="Jeopardy",IF(C51="MD",Relay!$E$7,Relay!$E$8),IF(C51="MD",IF(COUNTIF(G:G,B51)&gt;1,Relay!$E$2,Relay!$E$1),IF(AND(COUNTIF(G:G,B51)&gt;1,COUNTA(A51)&gt;0),Relay!$E$5,Relay!$E$4)))</f>
        <v>#N/A</v>
      </c>
      <c r="I51" s="8">
        <f t="shared" si="1"/>
        <v>0</v>
      </c>
      <c r="J51" s="35"/>
      <c r="K51" s="35"/>
      <c r="L51" s="35"/>
      <c r="M51" s="35"/>
      <c r="N51" s="32" t="e">
        <f>IF(H51=Jan!$E$2,"N",IF(AND(COUNTIF(B:B,B51)=1,D51&gt;14),"Y","N"))</f>
        <v>#N/A</v>
      </c>
      <c r="O51" s="55" t="str">
        <f>IF(COUNT(Jan[[#This Row],[Date]])&gt;0,IF(Jan[[#This Row],[Date]]&gt;14,"Yes","No"),"N/A")</f>
        <v>N/A</v>
      </c>
      <c r="P51" s="55"/>
      <c r="Q51" s="5">
        <f>Relay!A50</f>
        <v>0</v>
      </c>
      <c r="R51" s="5">
        <f>Relay!B50</f>
        <v>49</v>
      </c>
      <c r="S51" s="8">
        <f>IF(Jan[After the 14th?]="No",SUMIF(Jan[SysID],R51,Jan[Pay Amount]),0)+IF(Dec[After the 14th?]="Yes",SUMIF(Dec[SysID],R51,Dec[Pay Amount]),0)</f>
        <v>0</v>
      </c>
      <c r="T51" s="8"/>
      <c r="U51" s="5" t="str">
        <f t="shared" si="2"/>
        <v>N</v>
      </c>
      <c r="X51" s="56"/>
      <c r="Y51" s="56"/>
      <c r="Z51" s="56"/>
      <c r="AA51" s="56"/>
      <c r="AC51" s="56"/>
    </row>
    <row r="52" spans="1:29" x14ac:dyDescent="0.25">
      <c r="A52" s="35"/>
      <c r="B52" s="32" t="e">
        <f>VLOOKUP(A52,Relay!$A$1:$B$50,2,FALSE)</f>
        <v>#N/A</v>
      </c>
      <c r="C52" s="32" t="e">
        <f>VLOOKUP(A52,Relay!$A$2:$C$101,3,FALSE)</f>
        <v>#N/A</v>
      </c>
      <c r="D52" s="39"/>
      <c r="E52" s="35"/>
      <c r="F52" s="58" t="str">
        <f t="shared" si="0"/>
        <v>INS</v>
      </c>
      <c r="G52" s="32" t="e">
        <f>IF(OR(E52="Jeopardy",E52="APP Moonlighting",E52="Differential Pay"),"",Jan[[#This Row],[SysID]])</f>
        <v>#N/A</v>
      </c>
      <c r="H52" s="32" t="e">
        <f>IF(E52="Jeopardy",IF(C52="MD",Relay!$E$7,Relay!$E$8),IF(C52="MD",IF(COUNTIF(G:G,B52)&gt;1,Relay!$E$2,Relay!$E$1),IF(AND(COUNTIF(G:G,B52)&gt;1,COUNTA(A52)&gt;0),Relay!$E$5,Relay!$E$4)))</f>
        <v>#N/A</v>
      </c>
      <c r="I52" s="8">
        <f t="shared" si="1"/>
        <v>0</v>
      </c>
      <c r="J52" s="35"/>
      <c r="K52" s="35"/>
      <c r="L52" s="35"/>
      <c r="M52" s="35"/>
      <c r="N52" s="32" t="e">
        <f>IF(H52=Jan!$E$2,"N",IF(AND(COUNTIF(B:B,B52)=1,D52&gt;14),"Y","N"))</f>
        <v>#N/A</v>
      </c>
      <c r="O52" s="55" t="str">
        <f>IF(COUNT(Jan[[#This Row],[Date]])&gt;0,IF(Jan[[#This Row],[Date]]&gt;14,"Yes","No"),"N/A")</f>
        <v>N/A</v>
      </c>
      <c r="P52" s="55"/>
      <c r="Q52" s="5">
        <f>Relay!A51</f>
        <v>0</v>
      </c>
      <c r="R52" s="5">
        <f>Relay!B51</f>
        <v>50</v>
      </c>
      <c r="S52" s="8">
        <f>IF(Jan[After the 14th?]="No",SUMIF(Jan[SysID],R52,Jan[Pay Amount]),0)+IF(Dec[After the 14th?]="Yes",SUMIF(Dec[SysID],R52,Dec[Pay Amount]),0)</f>
        <v>0</v>
      </c>
      <c r="T52" s="8"/>
      <c r="U52" s="5" t="str">
        <f t="shared" si="2"/>
        <v>N</v>
      </c>
      <c r="X52" s="56"/>
      <c r="Y52" s="56"/>
      <c r="Z52" s="56"/>
      <c r="AA52" s="56"/>
      <c r="AC52" s="56"/>
    </row>
    <row r="53" spans="1:29" x14ac:dyDescent="0.25">
      <c r="A53" s="35"/>
      <c r="B53" s="32" t="e">
        <f>VLOOKUP(A53,Relay!$A$1:$B$50,2,FALSE)</f>
        <v>#N/A</v>
      </c>
      <c r="C53" s="32" t="e">
        <f>VLOOKUP(A53,Relay!$A$2:$C$101,3,FALSE)</f>
        <v>#N/A</v>
      </c>
      <c r="D53" s="39"/>
      <c r="E53" s="35"/>
      <c r="F53" s="58" t="str">
        <f t="shared" si="0"/>
        <v>INS</v>
      </c>
      <c r="G53" s="32" t="e">
        <f>IF(OR(E53="Jeopardy",E53="APP Moonlighting",E53="Differential Pay"),"",Jan[[#This Row],[SysID]])</f>
        <v>#N/A</v>
      </c>
      <c r="H53" s="32" t="e">
        <f>IF(E53="Jeopardy",IF(C53="MD",Relay!$E$7,Relay!$E$8),IF(C53="MD",IF(COUNTIF(G:G,B53)&gt;1,Relay!$E$2,Relay!$E$1),IF(AND(COUNTIF(G:G,B53)&gt;1,COUNTA(A53)&gt;0),Relay!$E$5,Relay!$E$4)))</f>
        <v>#N/A</v>
      </c>
      <c r="I53" s="8">
        <f t="shared" si="1"/>
        <v>0</v>
      </c>
      <c r="J53" s="35"/>
      <c r="K53" s="35"/>
      <c r="L53" s="35"/>
      <c r="M53" s="35"/>
      <c r="N53" s="32" t="e">
        <f>IF(H53=Jan!$E$2,"N",IF(AND(COUNTIF(B:B,B53)=1,D53&gt;14),"Y","N"))</f>
        <v>#N/A</v>
      </c>
      <c r="O53" s="55" t="str">
        <f>IF(COUNT(Jan[[#This Row],[Date]])&gt;0,IF(Jan[[#This Row],[Date]]&gt;14,"Yes","No"),"N/A")</f>
        <v>N/A</v>
      </c>
      <c r="P53" s="55"/>
      <c r="Q53" s="5">
        <f>Relay!A52</f>
        <v>0</v>
      </c>
      <c r="R53" s="5">
        <f>Relay!B52</f>
        <v>51</v>
      </c>
      <c r="S53" s="8">
        <f>IF(Jan[After the 14th?]="No",SUMIF(Jan[SysID],R53,Jan[Pay Amount]),0)+IF(Dec[After the 14th?]="Yes",SUMIF(Dec[SysID],R53,Dec[Pay Amount]),0)</f>
        <v>0</v>
      </c>
      <c r="T53" s="8"/>
      <c r="U53" s="5" t="str">
        <f t="shared" si="2"/>
        <v>N</v>
      </c>
      <c r="X53" s="56"/>
      <c r="Y53" s="56"/>
      <c r="Z53" s="56"/>
      <c r="AA53" s="56"/>
      <c r="AC53" s="56"/>
    </row>
    <row r="54" spans="1:29" x14ac:dyDescent="0.25">
      <c r="A54" s="35"/>
      <c r="B54" s="32" t="e">
        <f>VLOOKUP(A54,Relay!$A$1:$B$50,2,FALSE)</f>
        <v>#N/A</v>
      </c>
      <c r="C54" s="32" t="e">
        <f>VLOOKUP(A54,Relay!$A$2:$C$101,3,FALSE)</f>
        <v>#N/A</v>
      </c>
      <c r="D54" s="39"/>
      <c r="E54" s="35"/>
      <c r="F54" s="58" t="str">
        <f t="shared" si="0"/>
        <v>INS</v>
      </c>
      <c r="G54" s="32" t="e">
        <f>IF(OR(E54="Jeopardy",E54="APP Moonlighting",E54="Differential Pay"),"",Jan[[#This Row],[SysID]])</f>
        <v>#N/A</v>
      </c>
      <c r="H54" s="32" t="e">
        <f>IF(E54="Jeopardy",IF(C54="MD",Relay!$E$7,Relay!$E$8),IF(C54="MD",IF(COUNTIF(G:G,B54)&gt;1,Relay!$E$2,Relay!$E$1),IF(AND(COUNTIF(G:G,B54)&gt;1,COUNTA(A54)&gt;0),Relay!$E$5,Relay!$E$4)))</f>
        <v>#N/A</v>
      </c>
      <c r="I54" s="8">
        <f t="shared" si="1"/>
        <v>0</v>
      </c>
      <c r="J54" s="35"/>
      <c r="K54" s="35"/>
      <c r="L54" s="35"/>
      <c r="M54" s="35"/>
      <c r="N54" s="32" t="e">
        <f>IF(H54=Jan!$E$2,"N",IF(AND(COUNTIF(B:B,B54)=1,D54&gt;14),"Y","N"))</f>
        <v>#N/A</v>
      </c>
      <c r="O54" s="55" t="str">
        <f>IF(COUNT(Jan[[#This Row],[Date]])&gt;0,IF(Jan[[#This Row],[Date]]&gt;14,"Yes","No"),"N/A")</f>
        <v>N/A</v>
      </c>
      <c r="P54" s="55"/>
      <c r="Q54" s="5">
        <f>Relay!A53</f>
        <v>0</v>
      </c>
      <c r="R54" s="5">
        <f>Relay!B53</f>
        <v>52</v>
      </c>
      <c r="S54" s="8">
        <f>IF(Jan[After the 14th?]="No",SUMIF(Jan[SysID],R54,Jan[Pay Amount]),0)+IF(Dec[After the 14th?]="Yes",SUMIF(Dec[SysID],R54,Dec[Pay Amount]),0)</f>
        <v>0</v>
      </c>
      <c r="T54" s="8"/>
      <c r="U54" s="5" t="str">
        <f t="shared" si="2"/>
        <v>N</v>
      </c>
      <c r="X54" s="56"/>
      <c r="Y54" s="56"/>
      <c r="Z54" s="56"/>
      <c r="AA54" s="56"/>
      <c r="AC54" s="56"/>
    </row>
    <row r="55" spans="1:29" x14ac:dyDescent="0.25">
      <c r="A55" s="35"/>
      <c r="B55" s="32" t="e">
        <f>VLOOKUP(A55,Relay!$A$1:$B$50,2,FALSE)</f>
        <v>#N/A</v>
      </c>
      <c r="C55" s="32" t="e">
        <f>VLOOKUP(A55,Relay!$A$2:$C$101,3,FALSE)</f>
        <v>#N/A</v>
      </c>
      <c r="D55" s="39"/>
      <c r="E55" s="35"/>
      <c r="F55" s="58" t="str">
        <f t="shared" si="0"/>
        <v>INS</v>
      </c>
      <c r="G55" s="32" t="e">
        <f>IF(OR(E55="Jeopardy",E55="APP Moonlighting",E55="Differential Pay"),"",Jan[[#This Row],[SysID]])</f>
        <v>#N/A</v>
      </c>
      <c r="H55" s="32" t="e">
        <f>IF(E55="Jeopardy",IF(C55="MD",Relay!$E$7,Relay!$E$8),IF(C55="MD",IF(COUNTIF(G:G,B55)&gt;1,Relay!$E$2,Relay!$E$1),IF(AND(COUNTIF(G:G,B55)&gt;1,COUNTA(A55)&gt;0),Relay!$E$5,Relay!$E$4)))</f>
        <v>#N/A</v>
      </c>
      <c r="I55" s="8">
        <f t="shared" si="1"/>
        <v>0</v>
      </c>
      <c r="J55" s="35"/>
      <c r="K55" s="35"/>
      <c r="L55" s="35"/>
      <c r="M55" s="35"/>
      <c r="N55" s="32" t="e">
        <f>IF(H55=Jan!$E$2,"N",IF(AND(COUNTIF(B:B,B55)=1,D55&gt;14),"Y","N"))</f>
        <v>#N/A</v>
      </c>
      <c r="O55" s="55" t="str">
        <f>IF(COUNT(Jan[[#This Row],[Date]])&gt;0,IF(Jan[[#This Row],[Date]]&gt;14,"Yes","No"),"N/A")</f>
        <v>N/A</v>
      </c>
      <c r="P55" s="55"/>
      <c r="Q55" s="5">
        <f>Relay!A54</f>
        <v>0</v>
      </c>
      <c r="R55" s="5">
        <f>Relay!B54</f>
        <v>53</v>
      </c>
      <c r="S55" s="8">
        <f>IF(Jan[After the 14th?]="No",SUMIF(Jan[SysID],R55,Jan[Pay Amount]),0)+IF(Dec[After the 14th?]="Yes",SUMIF(Dec[SysID],R55,Dec[Pay Amount]),0)</f>
        <v>0</v>
      </c>
      <c r="T55" s="8"/>
      <c r="U55" s="5" t="str">
        <f t="shared" si="2"/>
        <v>N</v>
      </c>
      <c r="X55" s="56"/>
      <c r="Y55" s="56"/>
      <c r="Z55" s="56"/>
      <c r="AA55" s="56"/>
      <c r="AC55" s="56"/>
    </row>
    <row r="56" spans="1:29" x14ac:dyDescent="0.25">
      <c r="A56" s="35"/>
      <c r="B56" s="32" t="e">
        <f>VLOOKUP(A56,Relay!$A$1:$B$50,2,FALSE)</f>
        <v>#N/A</v>
      </c>
      <c r="C56" s="32" t="e">
        <f>VLOOKUP(A56,Relay!$A$2:$C$101,3,FALSE)</f>
        <v>#N/A</v>
      </c>
      <c r="D56" s="39"/>
      <c r="E56" s="35"/>
      <c r="F56" s="58" t="str">
        <f t="shared" si="0"/>
        <v>INS</v>
      </c>
      <c r="G56" s="32" t="e">
        <f>IF(OR(E56="Jeopardy",E56="APP Moonlighting",E56="Differential Pay"),"",Jan[[#This Row],[SysID]])</f>
        <v>#N/A</v>
      </c>
      <c r="H56" s="32" t="e">
        <f>IF(E56="Jeopardy",IF(C56="MD",Relay!$E$7,Relay!$E$8),IF(C56="MD",IF(COUNTIF(G:G,B56)&gt;1,Relay!$E$2,Relay!$E$1),IF(AND(COUNTIF(G:G,B56)&gt;1,COUNTA(A56)&gt;0),Relay!$E$5,Relay!$E$4)))</f>
        <v>#N/A</v>
      </c>
      <c r="I56" s="8">
        <f t="shared" si="1"/>
        <v>0</v>
      </c>
      <c r="J56" s="35"/>
      <c r="K56" s="35"/>
      <c r="L56" s="35"/>
      <c r="M56" s="35"/>
      <c r="N56" s="32" t="e">
        <f>IF(H56=Jan!$E$2,"N",IF(AND(COUNTIF(B:B,B56)=1,D56&gt;14),"Y","N"))</f>
        <v>#N/A</v>
      </c>
      <c r="O56" s="55" t="str">
        <f>IF(COUNT(Jan[[#This Row],[Date]])&gt;0,IF(Jan[[#This Row],[Date]]&gt;14,"Yes","No"),"N/A")</f>
        <v>N/A</v>
      </c>
      <c r="P56" s="55"/>
      <c r="Q56" s="5">
        <f>Relay!A55</f>
        <v>0</v>
      </c>
      <c r="R56" s="5">
        <f>Relay!B55</f>
        <v>54</v>
      </c>
      <c r="S56" s="8">
        <f>IF(Jan[After the 14th?]="No",SUMIF(Jan[SysID],R56,Jan[Pay Amount]),0)+IF(Dec[After the 14th?]="Yes",SUMIF(Dec[SysID],R56,Dec[Pay Amount]),0)</f>
        <v>0</v>
      </c>
      <c r="T56" s="8"/>
      <c r="U56" s="5" t="str">
        <f t="shared" si="2"/>
        <v>N</v>
      </c>
      <c r="X56" s="56"/>
      <c r="Y56" s="56"/>
      <c r="Z56" s="56"/>
      <c r="AA56" s="56"/>
      <c r="AC56" s="56"/>
    </row>
    <row r="57" spans="1:29" x14ac:dyDescent="0.25">
      <c r="A57" s="35"/>
      <c r="B57" s="32" t="e">
        <f>VLOOKUP(A57,Relay!$A$1:$B$50,2,FALSE)</f>
        <v>#N/A</v>
      </c>
      <c r="C57" s="32" t="e">
        <f>VLOOKUP(A57,Relay!$A$2:$C$101,3,FALSE)</f>
        <v>#N/A</v>
      </c>
      <c r="D57" s="39"/>
      <c r="E57" s="35"/>
      <c r="F57" s="58" t="str">
        <f t="shared" si="0"/>
        <v>INS</v>
      </c>
      <c r="G57" s="32" t="e">
        <f>IF(OR(E57="Jeopardy",E57="APP Moonlighting",E57="Differential Pay"),"",Jan[[#This Row],[SysID]])</f>
        <v>#N/A</v>
      </c>
      <c r="H57" s="32" t="e">
        <f>IF(E57="Jeopardy",IF(C57="MD",Relay!$E$7,Relay!$E$8),IF(C57="MD",IF(COUNTIF(G:G,B57)&gt;1,Relay!$E$2,Relay!$E$1),IF(AND(COUNTIF(G:G,B57)&gt;1,COUNTA(A57)&gt;0),Relay!$E$5,Relay!$E$4)))</f>
        <v>#N/A</v>
      </c>
      <c r="I57" s="8">
        <f t="shared" si="1"/>
        <v>0</v>
      </c>
      <c r="J57" s="35"/>
      <c r="K57" s="35"/>
      <c r="L57" s="35"/>
      <c r="M57" s="35"/>
      <c r="N57" s="32" t="e">
        <f>IF(H57=Jan!$E$2,"N",IF(AND(COUNTIF(B:B,B57)=1,D57&gt;14),"Y","N"))</f>
        <v>#N/A</v>
      </c>
      <c r="O57" s="55" t="str">
        <f>IF(COUNT(Jan[[#This Row],[Date]])&gt;0,IF(Jan[[#This Row],[Date]]&gt;14,"Yes","No"),"N/A")</f>
        <v>N/A</v>
      </c>
      <c r="P57" s="55"/>
      <c r="Q57" s="5">
        <f>Relay!A56</f>
        <v>0</v>
      </c>
      <c r="R57" s="5">
        <f>Relay!B56</f>
        <v>55</v>
      </c>
      <c r="S57" s="8">
        <f>IF(Jan[After the 14th?]="No",SUMIF(Jan[SysID],R57,Jan[Pay Amount]),0)+IF(Dec[After the 14th?]="Yes",SUMIF(Dec[SysID],R57,Dec[Pay Amount]),0)</f>
        <v>0</v>
      </c>
      <c r="T57" s="8"/>
      <c r="U57" s="5" t="str">
        <f t="shared" si="2"/>
        <v>N</v>
      </c>
      <c r="X57" s="56"/>
      <c r="Y57" s="56"/>
      <c r="Z57" s="56"/>
      <c r="AA57" s="56"/>
      <c r="AC57" s="56"/>
    </row>
    <row r="58" spans="1:29" x14ac:dyDescent="0.25">
      <c r="A58" s="35"/>
      <c r="B58" s="32" t="e">
        <f>VLOOKUP(A58,Relay!$A$1:$B$50,2,FALSE)</f>
        <v>#N/A</v>
      </c>
      <c r="C58" s="32" t="e">
        <f>VLOOKUP(A58,Relay!$A$2:$C$101,3,FALSE)</f>
        <v>#N/A</v>
      </c>
      <c r="D58" s="39"/>
      <c r="E58" s="35"/>
      <c r="F58" s="58" t="str">
        <f t="shared" si="0"/>
        <v>INS</v>
      </c>
      <c r="G58" s="32" t="e">
        <f>IF(OR(E58="Jeopardy",E58="APP Moonlighting",E58="Differential Pay"),"",Jan[[#This Row],[SysID]])</f>
        <v>#N/A</v>
      </c>
      <c r="H58" s="32" t="e">
        <f>IF(E58="Jeopardy",IF(C58="MD",Relay!$E$7,Relay!$E$8),IF(C58="MD",IF(COUNTIF(G:G,B58)&gt;1,Relay!$E$2,Relay!$E$1),IF(AND(COUNTIF(G:G,B58)&gt;1,COUNTA(A58)&gt;0),Relay!$E$5,Relay!$E$4)))</f>
        <v>#N/A</v>
      </c>
      <c r="I58" s="8">
        <f t="shared" si="1"/>
        <v>0</v>
      </c>
      <c r="J58" s="35"/>
      <c r="K58" s="35"/>
      <c r="L58" s="35"/>
      <c r="M58" s="35"/>
      <c r="N58" s="32" t="e">
        <f>IF(H58=Jan!$E$2,"N",IF(AND(COUNTIF(B:B,B58)=1,D58&gt;14),"Y","N"))</f>
        <v>#N/A</v>
      </c>
      <c r="O58" s="55" t="str">
        <f>IF(COUNT(Jan[[#This Row],[Date]])&gt;0,IF(Jan[[#This Row],[Date]]&gt;14,"Yes","No"),"N/A")</f>
        <v>N/A</v>
      </c>
      <c r="P58" s="55"/>
      <c r="Q58" s="5">
        <f>Relay!A57</f>
        <v>0</v>
      </c>
      <c r="R58" s="5">
        <f>Relay!B57</f>
        <v>56</v>
      </c>
      <c r="S58" s="8">
        <f>IF(Jan[After the 14th?]="No",SUMIF(Jan[SysID],R58,Jan[Pay Amount]),0)+IF(Dec[After the 14th?]="Yes",SUMIF(Dec[SysID],R58,Dec[Pay Amount]),0)</f>
        <v>0</v>
      </c>
      <c r="T58" s="8"/>
      <c r="U58" s="5" t="str">
        <f t="shared" si="2"/>
        <v>N</v>
      </c>
      <c r="X58" s="56"/>
      <c r="Y58" s="56"/>
      <c r="Z58" s="56"/>
      <c r="AA58" s="56"/>
      <c r="AC58" s="56"/>
    </row>
    <row r="59" spans="1:29" x14ac:dyDescent="0.25">
      <c r="A59" s="35"/>
      <c r="B59" s="32" t="e">
        <f>VLOOKUP(A59,Relay!$A$1:$B$50,2,FALSE)</f>
        <v>#N/A</v>
      </c>
      <c r="C59" s="32" t="e">
        <f>VLOOKUP(A59,Relay!$A$2:$C$101,3,FALSE)</f>
        <v>#N/A</v>
      </c>
      <c r="D59" s="39"/>
      <c r="E59" s="35"/>
      <c r="F59" s="58" t="str">
        <f t="shared" si="0"/>
        <v>INS</v>
      </c>
      <c r="G59" s="32" t="e">
        <f>IF(OR(E59="Jeopardy",E59="APP Moonlighting",E59="Differential Pay"),"",Jan[[#This Row],[SysID]])</f>
        <v>#N/A</v>
      </c>
      <c r="H59" s="32" t="e">
        <f>IF(E59="Jeopardy",IF(C59="MD",Relay!$E$7,Relay!$E$8),IF(C59="MD",IF(COUNTIF(G:G,B59)&gt;1,Relay!$E$2,Relay!$E$1),IF(AND(COUNTIF(G:G,B59)&gt;1,COUNTA(A59)&gt;0),Relay!$E$5,Relay!$E$4)))</f>
        <v>#N/A</v>
      </c>
      <c r="I59" s="8">
        <f t="shared" si="1"/>
        <v>0</v>
      </c>
      <c r="J59" s="35"/>
      <c r="K59" s="35"/>
      <c r="L59" s="35"/>
      <c r="M59" s="35"/>
      <c r="N59" s="32" t="e">
        <f>IF(H59=Jan!$E$2,"N",IF(AND(COUNTIF(B:B,B59)=1,D59&gt;14),"Y","N"))</f>
        <v>#N/A</v>
      </c>
      <c r="O59" s="55" t="str">
        <f>IF(COUNT(Jan[[#This Row],[Date]])&gt;0,IF(Jan[[#This Row],[Date]]&gt;14,"Yes","No"),"N/A")</f>
        <v>N/A</v>
      </c>
      <c r="P59" s="55"/>
      <c r="Q59" s="5">
        <f>Relay!A58</f>
        <v>0</v>
      </c>
      <c r="R59" s="5">
        <f>Relay!B58</f>
        <v>57</v>
      </c>
      <c r="S59" s="8">
        <f>IF(Jan[After the 14th?]="No",SUMIF(Jan[SysID],R59,Jan[Pay Amount]),0)+IF(Dec[After the 14th?]="Yes",SUMIF(Dec[SysID],R59,Dec[Pay Amount]),0)</f>
        <v>0</v>
      </c>
      <c r="T59" s="8"/>
      <c r="U59" s="5" t="str">
        <f t="shared" si="2"/>
        <v>N</v>
      </c>
      <c r="X59" s="56"/>
      <c r="Y59" s="56"/>
      <c r="Z59" s="56"/>
      <c r="AA59" s="56"/>
      <c r="AC59" s="56"/>
    </row>
    <row r="60" spans="1:29" x14ac:dyDescent="0.25">
      <c r="A60" s="35"/>
      <c r="B60" s="32" t="e">
        <f>VLOOKUP(A60,Relay!$A$1:$B$50,2,FALSE)</f>
        <v>#N/A</v>
      </c>
      <c r="C60" s="32" t="e">
        <f>VLOOKUP(A60,Relay!$A$2:$C$101,3,FALSE)</f>
        <v>#N/A</v>
      </c>
      <c r="D60" s="39"/>
      <c r="E60" s="35"/>
      <c r="F60" s="58" t="str">
        <f t="shared" si="0"/>
        <v>INS</v>
      </c>
      <c r="G60" s="32" t="e">
        <f>IF(OR(E60="Jeopardy",E60="APP Moonlighting",E60="Differential Pay"),"",Jan[[#This Row],[SysID]])</f>
        <v>#N/A</v>
      </c>
      <c r="H60" s="32" t="e">
        <f>IF(E60="Jeopardy",IF(C60="MD",Relay!$E$7,Relay!$E$8),IF(C60="MD",IF(COUNTIF(G:G,B60)&gt;1,Relay!$E$2,Relay!$E$1),IF(AND(COUNTIF(G:G,B60)&gt;1,COUNTA(A60)&gt;0),Relay!$E$5,Relay!$E$4)))</f>
        <v>#N/A</v>
      </c>
      <c r="I60" s="8">
        <f t="shared" si="1"/>
        <v>0</v>
      </c>
      <c r="J60" s="35"/>
      <c r="K60" s="35"/>
      <c r="L60" s="35"/>
      <c r="M60" s="35"/>
      <c r="N60" s="32" t="e">
        <f>IF(H60=Jan!$E$2,"N",IF(AND(COUNTIF(B:B,B60)=1,D60&gt;14),"Y","N"))</f>
        <v>#N/A</v>
      </c>
      <c r="O60" s="55" t="str">
        <f>IF(COUNT(Jan[[#This Row],[Date]])&gt;0,IF(Jan[[#This Row],[Date]]&gt;14,"Yes","No"),"N/A")</f>
        <v>N/A</v>
      </c>
      <c r="P60" s="55"/>
      <c r="Q60" s="5">
        <f>Relay!A59</f>
        <v>0</v>
      </c>
      <c r="R60" s="5">
        <f>Relay!B59</f>
        <v>58</v>
      </c>
      <c r="S60" s="8">
        <f>IF(Jan[After the 14th?]="No",SUMIF(Jan[SysID],R60,Jan[Pay Amount]),0)+IF(Dec[After the 14th?]="Yes",SUMIF(Dec[SysID],R60,Dec[Pay Amount]),0)</f>
        <v>0</v>
      </c>
      <c r="T60" s="8"/>
      <c r="U60" s="5" t="str">
        <f t="shared" si="2"/>
        <v>N</v>
      </c>
      <c r="X60" s="56"/>
      <c r="Y60" s="56"/>
      <c r="Z60" s="56"/>
      <c r="AA60" s="56"/>
      <c r="AC60" s="56"/>
    </row>
    <row r="61" spans="1:29" x14ac:dyDescent="0.25">
      <c r="A61" s="35"/>
      <c r="B61" s="32" t="e">
        <f>VLOOKUP(A61,Relay!$A$1:$B$50,2,FALSE)</f>
        <v>#N/A</v>
      </c>
      <c r="C61" s="32" t="e">
        <f>VLOOKUP(A61,Relay!$A$2:$C$101,3,FALSE)</f>
        <v>#N/A</v>
      </c>
      <c r="D61" s="39"/>
      <c r="E61" s="35"/>
      <c r="F61" s="58" t="str">
        <f t="shared" si="0"/>
        <v>INS</v>
      </c>
      <c r="G61" s="32" t="e">
        <f>IF(OR(E61="Jeopardy",E61="APP Moonlighting",E61="Differential Pay"),"",Jan[[#This Row],[SysID]])</f>
        <v>#N/A</v>
      </c>
      <c r="H61" s="32" t="e">
        <f>IF(E61="Jeopardy",IF(C61="MD",Relay!$E$7,Relay!$E$8),IF(C61="MD",IF(COUNTIF(G:G,B61)&gt;1,Relay!$E$2,Relay!$E$1),IF(AND(COUNTIF(G:G,B61)&gt;1,COUNTA(A61)&gt;0),Relay!$E$5,Relay!$E$4)))</f>
        <v>#N/A</v>
      </c>
      <c r="I61" s="8">
        <f t="shared" si="1"/>
        <v>0</v>
      </c>
      <c r="J61" s="35"/>
      <c r="K61" s="35"/>
      <c r="L61" s="35"/>
      <c r="M61" s="35"/>
      <c r="N61" s="32" t="e">
        <f>IF(H61=Jan!$E$2,"N",IF(AND(COUNTIF(B:B,B61)=1,D61&gt;14),"Y","N"))</f>
        <v>#N/A</v>
      </c>
      <c r="O61" s="55" t="str">
        <f>IF(COUNT(Jan[[#This Row],[Date]])&gt;0,IF(Jan[[#This Row],[Date]]&gt;14,"Yes","No"),"N/A")</f>
        <v>N/A</v>
      </c>
      <c r="P61" s="55"/>
      <c r="Q61" s="5">
        <f>Relay!A60</f>
        <v>0</v>
      </c>
      <c r="R61" s="5">
        <f>Relay!B60</f>
        <v>59</v>
      </c>
      <c r="S61" s="8">
        <f>IF(Jan[After the 14th?]="No",SUMIF(Jan[SysID],R61,Jan[Pay Amount]),0)+IF(Dec[After the 14th?]="Yes",SUMIF(Dec[SysID],R61,Dec[Pay Amount]),0)</f>
        <v>0</v>
      </c>
      <c r="T61" s="8"/>
      <c r="U61" s="5" t="str">
        <f t="shared" si="2"/>
        <v>N</v>
      </c>
      <c r="X61" s="56"/>
      <c r="Y61" s="56"/>
      <c r="Z61" s="56"/>
      <c r="AA61" s="56"/>
      <c r="AC61" s="56"/>
    </row>
    <row r="62" spans="1:29" x14ac:dyDescent="0.25">
      <c r="A62" s="35"/>
      <c r="B62" s="32" t="e">
        <f>VLOOKUP(A62,Relay!$A$1:$B$50,2,FALSE)</f>
        <v>#N/A</v>
      </c>
      <c r="C62" s="32" t="e">
        <f>VLOOKUP(A62,Relay!$A$2:$C$101,3,FALSE)</f>
        <v>#N/A</v>
      </c>
      <c r="D62" s="39"/>
      <c r="E62" s="35"/>
      <c r="F62" s="58" t="str">
        <f t="shared" si="0"/>
        <v>INS</v>
      </c>
      <c r="G62" s="32" t="e">
        <f>IF(OR(E62="Jeopardy",E62="APP Moonlighting",E62="Differential Pay"),"",Jan[[#This Row],[SysID]])</f>
        <v>#N/A</v>
      </c>
      <c r="H62" s="32" t="e">
        <f>IF(E62="Jeopardy",IF(C62="MD",Relay!$E$7,Relay!$E$8),IF(C62="MD",IF(COUNTIF(G:G,B62)&gt;1,Relay!$E$2,Relay!$E$1),IF(AND(COUNTIF(G:G,B62)&gt;1,COUNTA(A62)&gt;0),Relay!$E$5,Relay!$E$4)))</f>
        <v>#N/A</v>
      </c>
      <c r="I62" s="8">
        <f t="shared" si="1"/>
        <v>0</v>
      </c>
      <c r="J62" s="35"/>
      <c r="K62" s="35"/>
      <c r="L62" s="35"/>
      <c r="M62" s="35"/>
      <c r="N62" s="32" t="e">
        <f>IF(H62=Jan!$E$2,"N",IF(AND(COUNTIF(B:B,B62)=1,D62&gt;14),"Y","N"))</f>
        <v>#N/A</v>
      </c>
      <c r="O62" s="55" t="str">
        <f>IF(COUNT(Jan[[#This Row],[Date]])&gt;0,IF(Jan[[#This Row],[Date]]&gt;14,"Yes","No"),"N/A")</f>
        <v>N/A</v>
      </c>
      <c r="P62" s="55"/>
      <c r="Q62" s="5">
        <f>Relay!A61</f>
        <v>0</v>
      </c>
      <c r="R62" s="5">
        <f>Relay!B61</f>
        <v>60</v>
      </c>
      <c r="S62" s="8">
        <f>IF(Jan[After the 14th?]="No",SUMIF(Jan[SysID],R62,Jan[Pay Amount]),0)+IF(Dec[After the 14th?]="Yes",SUMIF(Dec[SysID],R62,Dec[Pay Amount]),0)</f>
        <v>0</v>
      </c>
      <c r="T62" s="8"/>
      <c r="U62" s="5" t="str">
        <f t="shared" si="2"/>
        <v>N</v>
      </c>
      <c r="X62" s="56"/>
      <c r="Y62" s="56"/>
      <c r="Z62" s="56"/>
      <c r="AA62" s="56"/>
      <c r="AC62" s="56"/>
    </row>
    <row r="63" spans="1:29" x14ac:dyDescent="0.25">
      <c r="A63" s="35"/>
      <c r="B63" s="32" t="e">
        <f>VLOOKUP(A63,Relay!$A$1:$B$50,2,FALSE)</f>
        <v>#N/A</v>
      </c>
      <c r="C63" s="32" t="e">
        <f>VLOOKUP(A63,Relay!$A$2:$C$101,3,FALSE)</f>
        <v>#N/A</v>
      </c>
      <c r="D63" s="39"/>
      <c r="E63" s="35"/>
      <c r="F63" s="58" t="str">
        <f t="shared" si="0"/>
        <v>INS</v>
      </c>
      <c r="G63" s="32" t="e">
        <f>IF(OR(E63="Jeopardy",E63="APP Moonlighting",E63="Differential Pay"),"",Jan[[#This Row],[SysID]])</f>
        <v>#N/A</v>
      </c>
      <c r="H63" s="32" t="e">
        <f>IF(E63="Jeopardy",IF(C63="MD",Relay!$E$7,Relay!$E$8),IF(C63="MD",IF(COUNTIF(G:G,B63)&gt;1,Relay!$E$2,Relay!$E$1),IF(AND(COUNTIF(G:G,B63)&gt;1,COUNTA(A63)&gt;0),Relay!$E$5,Relay!$E$4)))</f>
        <v>#N/A</v>
      </c>
      <c r="I63" s="8">
        <f t="shared" si="1"/>
        <v>0</v>
      </c>
      <c r="J63" s="35"/>
      <c r="K63" s="35"/>
      <c r="L63" s="35"/>
      <c r="M63" s="35"/>
      <c r="N63" s="32" t="e">
        <f>IF(H63=Jan!$E$2,"N",IF(AND(COUNTIF(B:B,B63)=1,D63&gt;14),"Y","N"))</f>
        <v>#N/A</v>
      </c>
      <c r="O63" s="55" t="str">
        <f>IF(COUNT(Jan[[#This Row],[Date]])&gt;0,IF(Jan[[#This Row],[Date]]&gt;14,"Yes","No"),"N/A")</f>
        <v>N/A</v>
      </c>
      <c r="P63" s="55"/>
      <c r="Q63" s="5">
        <f>Relay!A62</f>
        <v>0</v>
      </c>
      <c r="R63" s="5">
        <f>Relay!B62</f>
        <v>61</v>
      </c>
      <c r="S63" s="8">
        <f>IF(Jan[After the 14th?]="No",SUMIF(Jan[SysID],R63,Jan[Pay Amount]),0)+IF(Dec[After the 14th?]="Yes",SUMIF(Dec[SysID],R63,Dec[Pay Amount]),0)</f>
        <v>0</v>
      </c>
      <c r="T63" s="8"/>
      <c r="U63" s="5" t="str">
        <f t="shared" si="2"/>
        <v>N</v>
      </c>
      <c r="X63" s="56"/>
      <c r="Y63" s="56"/>
      <c r="Z63" s="56"/>
      <c r="AA63" s="56"/>
      <c r="AC63" s="56"/>
    </row>
    <row r="64" spans="1:29" x14ac:dyDescent="0.25">
      <c r="A64" s="35"/>
      <c r="B64" s="32" t="e">
        <f>VLOOKUP(A64,Relay!$A$1:$B$50,2,FALSE)</f>
        <v>#N/A</v>
      </c>
      <c r="C64" s="32" t="e">
        <f>VLOOKUP(A64,Relay!$A$2:$C$101,3,FALSE)</f>
        <v>#N/A</v>
      </c>
      <c r="D64" s="39"/>
      <c r="E64" s="35"/>
      <c r="F64" s="58" t="str">
        <f t="shared" si="0"/>
        <v>INS</v>
      </c>
      <c r="G64" s="32" t="e">
        <f>IF(OR(E64="Jeopardy",E64="APP Moonlighting",E64="Differential Pay"),"",Jan[[#This Row],[SysID]])</f>
        <v>#N/A</v>
      </c>
      <c r="H64" s="32" t="e">
        <f>IF(E64="Jeopardy",IF(C64="MD",Relay!$E$7,Relay!$E$8),IF(C64="MD",IF(COUNTIF(G:G,B64)&gt;1,Relay!$E$2,Relay!$E$1),IF(AND(COUNTIF(G:G,B64)&gt;1,COUNTA(A64)&gt;0),Relay!$E$5,Relay!$E$4)))</f>
        <v>#N/A</v>
      </c>
      <c r="I64" s="8">
        <f t="shared" si="1"/>
        <v>0</v>
      </c>
      <c r="J64" s="35"/>
      <c r="K64" s="35"/>
      <c r="L64" s="35"/>
      <c r="M64" s="35"/>
      <c r="N64" s="32" t="e">
        <f>IF(H64=Jan!$E$2,"N",IF(AND(COUNTIF(B:B,B64)=1,D64&gt;14),"Y","N"))</f>
        <v>#N/A</v>
      </c>
      <c r="O64" s="55" t="str">
        <f>IF(COUNT(Jan[[#This Row],[Date]])&gt;0,IF(Jan[[#This Row],[Date]]&gt;14,"Yes","No"),"N/A")</f>
        <v>N/A</v>
      </c>
      <c r="P64" s="55"/>
      <c r="Q64" s="5">
        <f>Relay!A63</f>
        <v>0</v>
      </c>
      <c r="R64" s="5">
        <f>Relay!B63</f>
        <v>62</v>
      </c>
      <c r="S64" s="8">
        <f>IF(Jan[After the 14th?]="No",SUMIF(Jan[SysID],R64,Jan[Pay Amount]),0)+IF(Dec[After the 14th?]="Yes",SUMIF(Dec[SysID],R64,Dec[Pay Amount]),0)</f>
        <v>0</v>
      </c>
      <c r="T64" s="8"/>
      <c r="U64" s="5" t="str">
        <f t="shared" si="2"/>
        <v>N</v>
      </c>
      <c r="X64" s="56"/>
      <c r="Y64" s="56"/>
      <c r="Z64" s="56"/>
      <c r="AA64" s="56"/>
      <c r="AC64" s="56"/>
    </row>
    <row r="65" spans="1:29" x14ac:dyDescent="0.25">
      <c r="A65" s="35"/>
      <c r="B65" s="32" t="e">
        <f>VLOOKUP(A65,Relay!$A$1:$B$50,2,FALSE)</f>
        <v>#N/A</v>
      </c>
      <c r="C65" s="32" t="e">
        <f>VLOOKUP(A65,Relay!$A$2:$C$101,3,FALSE)</f>
        <v>#N/A</v>
      </c>
      <c r="D65" s="39"/>
      <c r="E65" s="35"/>
      <c r="F65" s="58" t="str">
        <f t="shared" si="0"/>
        <v>INS</v>
      </c>
      <c r="G65" s="32" t="e">
        <f>IF(OR(E65="Jeopardy",E65="APP Moonlighting",E65="Differential Pay"),"",Jan[[#This Row],[SysID]])</f>
        <v>#N/A</v>
      </c>
      <c r="H65" s="32" t="e">
        <f>IF(E65="Jeopardy",IF(C65="MD",Relay!$E$7,Relay!$E$8),IF(C65="MD",IF(COUNTIF(G:G,B65)&gt;1,Relay!$E$2,Relay!$E$1),IF(AND(COUNTIF(G:G,B65)&gt;1,COUNTA(A65)&gt;0),Relay!$E$5,Relay!$E$4)))</f>
        <v>#N/A</v>
      </c>
      <c r="I65" s="8">
        <f t="shared" si="1"/>
        <v>0</v>
      </c>
      <c r="J65" s="35"/>
      <c r="K65" s="35"/>
      <c r="L65" s="35"/>
      <c r="M65" s="35"/>
      <c r="N65" s="32" t="e">
        <f>IF(H65=Jan!$E$2,"N",IF(AND(COUNTIF(B:B,B65)=1,D65&gt;14),"Y","N"))</f>
        <v>#N/A</v>
      </c>
      <c r="O65" s="55" t="str">
        <f>IF(COUNT(Jan[[#This Row],[Date]])&gt;0,IF(Jan[[#This Row],[Date]]&gt;14,"Yes","No"),"N/A")</f>
        <v>N/A</v>
      </c>
      <c r="P65" s="55"/>
      <c r="Q65" s="5">
        <f>Relay!A64</f>
        <v>0</v>
      </c>
      <c r="R65" s="5">
        <f>Relay!B64</f>
        <v>63</v>
      </c>
      <c r="S65" s="8">
        <f>IF(Jan[After the 14th?]="No",SUMIF(Jan[SysID],R65,Jan[Pay Amount]),0)+IF(Dec[After the 14th?]="Yes",SUMIF(Dec[SysID],R65,Dec[Pay Amount]),0)</f>
        <v>0</v>
      </c>
      <c r="T65" s="8"/>
      <c r="U65" s="5" t="str">
        <f t="shared" si="2"/>
        <v>N</v>
      </c>
      <c r="X65" s="56"/>
      <c r="Y65" s="56"/>
      <c r="Z65" s="56"/>
      <c r="AA65" s="56"/>
      <c r="AC65" s="56"/>
    </row>
    <row r="66" spans="1:29" x14ac:dyDescent="0.25">
      <c r="A66" s="35"/>
      <c r="B66" s="32" t="e">
        <f>VLOOKUP(A66,Relay!$A$1:$B$50,2,FALSE)</f>
        <v>#N/A</v>
      </c>
      <c r="C66" s="32" t="e">
        <f>VLOOKUP(A66,Relay!$A$2:$C$101,3,FALSE)</f>
        <v>#N/A</v>
      </c>
      <c r="D66" s="39"/>
      <c r="E66" s="35"/>
      <c r="F66" s="58" t="str">
        <f t="shared" si="0"/>
        <v>INS</v>
      </c>
      <c r="G66" s="32" t="e">
        <f>IF(OR(E66="Jeopardy",E66="APP Moonlighting",E66="Differential Pay"),"",Jan[[#This Row],[SysID]])</f>
        <v>#N/A</v>
      </c>
      <c r="H66" s="32" t="e">
        <f>IF(E66="Jeopardy",IF(C66="MD",Relay!$E$7,Relay!$E$8),IF(C66="MD",IF(COUNTIF(G:G,B66)&gt;1,Relay!$E$2,Relay!$E$1),IF(AND(COUNTIF(G:G,B66)&gt;1,COUNTA(A66)&gt;0),Relay!$E$5,Relay!$E$4)))</f>
        <v>#N/A</v>
      </c>
      <c r="I66" s="8">
        <f t="shared" si="1"/>
        <v>0</v>
      </c>
      <c r="J66" s="35"/>
      <c r="K66" s="35"/>
      <c r="L66" s="35"/>
      <c r="M66" s="35"/>
      <c r="N66" s="32" t="e">
        <f>IF(H66=Jan!$E$2,"N",IF(AND(COUNTIF(B:B,B66)=1,D66&gt;14),"Y","N"))</f>
        <v>#N/A</v>
      </c>
      <c r="O66" s="55" t="str">
        <f>IF(COUNT(Jan[[#This Row],[Date]])&gt;0,IF(Jan[[#This Row],[Date]]&gt;14,"Yes","No"),"N/A")</f>
        <v>N/A</v>
      </c>
      <c r="P66" s="55"/>
      <c r="Q66" s="5">
        <f>Relay!A65</f>
        <v>0</v>
      </c>
      <c r="R66" s="5">
        <f>Relay!B65</f>
        <v>64</v>
      </c>
      <c r="S66" s="8">
        <f>IF(Jan[After the 14th?]="No",SUMIF(Jan[SysID],R66,Jan[Pay Amount]),0)+IF(Dec[After the 14th?]="Yes",SUMIF(Dec[SysID],R66,Dec[Pay Amount]),0)</f>
        <v>0</v>
      </c>
      <c r="T66" s="8"/>
      <c r="U66" s="5" t="str">
        <f t="shared" si="2"/>
        <v>N</v>
      </c>
      <c r="X66" s="56"/>
      <c r="Y66" s="56"/>
      <c r="Z66" s="56"/>
      <c r="AA66" s="56"/>
      <c r="AC66" s="56"/>
    </row>
    <row r="67" spans="1:29" x14ac:dyDescent="0.25">
      <c r="A67" s="35"/>
      <c r="B67" s="32" t="e">
        <f>VLOOKUP(A67,Relay!$A$1:$B$50,2,FALSE)</f>
        <v>#N/A</v>
      </c>
      <c r="C67" s="32" t="e">
        <f>VLOOKUP(A67,Relay!$A$2:$C$101,3,FALSE)</f>
        <v>#N/A</v>
      </c>
      <c r="D67" s="39"/>
      <c r="E67" s="35"/>
      <c r="F67" s="58" t="str">
        <f t="shared" ref="F67:F103" si="3">IF(E67="Moonlighting", 12, "INS")</f>
        <v>INS</v>
      </c>
      <c r="G67" s="32" t="e">
        <f>IF(OR(E67="Jeopardy",E67="APP Moonlighting",E67="Differential Pay"),"",Jan[[#This Row],[SysID]])</f>
        <v>#N/A</v>
      </c>
      <c r="H67" s="32" t="e">
        <f>IF(E67="Jeopardy",IF(C67="MD",Relay!$E$7,Relay!$E$8),IF(C67="MD",IF(COUNTIF(G:G,B67)&gt;1,Relay!$E$2,Relay!$E$1),IF(AND(COUNTIF(G:G,B67)&gt;1,COUNTA(A67)&gt;0),Relay!$E$5,Relay!$E$4)))</f>
        <v>#N/A</v>
      </c>
      <c r="I67" s="8">
        <f t="shared" ref="I67:I103" si="4">IF(COUNTA(A67)&gt;0,H67*F67,0)</f>
        <v>0</v>
      </c>
      <c r="J67" s="35"/>
      <c r="K67" s="35"/>
      <c r="L67" s="35"/>
      <c r="M67" s="35"/>
      <c r="N67" s="32" t="e">
        <f>IF(H67=Jan!$E$2,"N",IF(AND(COUNTIF(B:B,B67)=1,D67&gt;14),"Y","N"))</f>
        <v>#N/A</v>
      </c>
      <c r="O67" s="55" t="str">
        <f>IF(COUNT(Jan[[#This Row],[Date]])&gt;0,IF(Jan[[#This Row],[Date]]&gt;14,"Yes","No"),"N/A")</f>
        <v>N/A</v>
      </c>
      <c r="P67" s="55"/>
      <c r="Q67" s="5">
        <f>Relay!A66</f>
        <v>0</v>
      </c>
      <c r="R67" s="5">
        <f>Relay!B66</f>
        <v>65</v>
      </c>
      <c r="S67" s="8">
        <f>IF(Jan[After the 14th?]="No",SUMIF(Jan[SysID],R67,Jan[Pay Amount]),0)+IF(Dec[After the 14th?]="Yes",SUMIF(Dec[SysID],R67,Dec[Pay Amount]),0)</f>
        <v>0</v>
      </c>
      <c r="T67" s="8"/>
      <c r="U67" s="5" t="str">
        <f t="shared" ref="U67:U103" si="5">IF(S67=T67,"N","Y")</f>
        <v>N</v>
      </c>
      <c r="X67" s="56"/>
      <c r="Y67" s="56"/>
      <c r="Z67" s="56"/>
      <c r="AA67" s="56"/>
      <c r="AC67" s="56"/>
    </row>
    <row r="68" spans="1:29" x14ac:dyDescent="0.25">
      <c r="A68" s="35"/>
      <c r="B68" s="32" t="e">
        <f>VLOOKUP(A68,Relay!$A$1:$B$50,2,FALSE)</f>
        <v>#N/A</v>
      </c>
      <c r="C68" s="32" t="e">
        <f>VLOOKUP(A68,Relay!$A$2:$C$101,3,FALSE)</f>
        <v>#N/A</v>
      </c>
      <c r="D68" s="39"/>
      <c r="E68" s="35"/>
      <c r="F68" s="58" t="str">
        <f t="shared" si="3"/>
        <v>INS</v>
      </c>
      <c r="G68" s="32" t="e">
        <f>IF(OR(E68="Jeopardy",E68="APP Moonlighting",E68="Differential Pay"),"",Jan[[#This Row],[SysID]])</f>
        <v>#N/A</v>
      </c>
      <c r="H68" s="32" t="e">
        <f>IF(E68="Jeopardy",IF(C68="MD",Relay!$E$7,Relay!$E$8),IF(C68="MD",IF(COUNTIF(G:G,B68)&gt;1,Relay!$E$2,Relay!$E$1),IF(AND(COUNTIF(G:G,B68)&gt;1,COUNTA(A68)&gt;0),Relay!$E$5,Relay!$E$4)))</f>
        <v>#N/A</v>
      </c>
      <c r="I68" s="8">
        <f t="shared" si="4"/>
        <v>0</v>
      </c>
      <c r="J68" s="35"/>
      <c r="K68" s="35"/>
      <c r="L68" s="35"/>
      <c r="M68" s="35"/>
      <c r="N68" s="32" t="e">
        <f>IF(H68=Jan!$E$2,"N",IF(AND(COUNTIF(B:B,B68)=1,D68&gt;14),"Y","N"))</f>
        <v>#N/A</v>
      </c>
      <c r="O68" s="55" t="str">
        <f>IF(COUNT(Jan[[#This Row],[Date]])&gt;0,IF(Jan[[#This Row],[Date]]&gt;14,"Yes","No"),"N/A")</f>
        <v>N/A</v>
      </c>
      <c r="P68" s="55"/>
      <c r="Q68" s="5">
        <f>Relay!A67</f>
        <v>0</v>
      </c>
      <c r="R68" s="5">
        <f>Relay!B67</f>
        <v>66</v>
      </c>
      <c r="S68" s="8">
        <f>IF(Jan[After the 14th?]="No",SUMIF(Jan[SysID],R68,Jan[Pay Amount]),0)+IF(Dec[After the 14th?]="Yes",SUMIF(Dec[SysID],R68,Dec[Pay Amount]),0)</f>
        <v>0</v>
      </c>
      <c r="T68" s="8"/>
      <c r="U68" s="5" t="str">
        <f t="shared" si="5"/>
        <v>N</v>
      </c>
      <c r="X68" s="56"/>
      <c r="Y68" s="56"/>
      <c r="Z68" s="56"/>
      <c r="AA68" s="56"/>
      <c r="AC68" s="56"/>
    </row>
    <row r="69" spans="1:29" x14ac:dyDescent="0.25">
      <c r="A69" s="35"/>
      <c r="B69" s="32" t="e">
        <f>VLOOKUP(A69,Relay!$A$1:$B$50,2,FALSE)</f>
        <v>#N/A</v>
      </c>
      <c r="C69" s="32" t="e">
        <f>VLOOKUP(A69,Relay!$A$2:$C$101,3,FALSE)</f>
        <v>#N/A</v>
      </c>
      <c r="D69" s="39"/>
      <c r="E69" s="35"/>
      <c r="F69" s="58" t="str">
        <f t="shared" si="3"/>
        <v>INS</v>
      </c>
      <c r="G69" s="32" t="e">
        <f>IF(OR(E69="Jeopardy",E69="APP Moonlighting",E69="Differential Pay"),"",Jan[[#This Row],[SysID]])</f>
        <v>#N/A</v>
      </c>
      <c r="H69" s="32" t="e">
        <f>IF(E69="Jeopardy",IF(C69="MD",Relay!$E$7,Relay!$E$8),IF(C69="MD",IF(COUNTIF(G:G,B69)&gt;1,Relay!$E$2,Relay!$E$1),IF(AND(COUNTIF(G:G,B69)&gt;1,COUNTA(A69)&gt;0),Relay!$E$5,Relay!$E$4)))</f>
        <v>#N/A</v>
      </c>
      <c r="I69" s="8">
        <f t="shared" si="4"/>
        <v>0</v>
      </c>
      <c r="J69" s="35"/>
      <c r="K69" s="35"/>
      <c r="L69" s="35"/>
      <c r="M69" s="35"/>
      <c r="N69" s="32" t="e">
        <f>IF(H69=Jan!$E$2,"N",IF(AND(COUNTIF(B:B,B69)=1,D69&gt;14),"Y","N"))</f>
        <v>#N/A</v>
      </c>
      <c r="O69" s="55" t="str">
        <f>IF(COUNT(Jan[[#This Row],[Date]])&gt;0,IF(Jan[[#This Row],[Date]]&gt;14,"Yes","No"),"N/A")</f>
        <v>N/A</v>
      </c>
      <c r="P69" s="55"/>
      <c r="Q69" s="5">
        <f>Relay!A68</f>
        <v>0</v>
      </c>
      <c r="R69" s="5">
        <f>Relay!B68</f>
        <v>67</v>
      </c>
      <c r="S69" s="8">
        <f>IF(Jan[After the 14th?]="No",SUMIF(Jan[SysID],R69,Jan[Pay Amount]),0)+IF(Dec[After the 14th?]="Yes",SUMIF(Dec[SysID],R69,Dec[Pay Amount]),0)</f>
        <v>0</v>
      </c>
      <c r="T69" s="8"/>
      <c r="U69" s="5" t="str">
        <f t="shared" si="5"/>
        <v>N</v>
      </c>
      <c r="X69" s="56"/>
      <c r="Y69" s="56"/>
      <c r="Z69" s="56"/>
      <c r="AA69" s="56"/>
      <c r="AC69" s="56"/>
    </row>
    <row r="70" spans="1:29" x14ac:dyDescent="0.25">
      <c r="A70" s="35"/>
      <c r="B70" s="32" t="e">
        <f>VLOOKUP(A70,Relay!$A$1:$B$50,2,FALSE)</f>
        <v>#N/A</v>
      </c>
      <c r="C70" s="32" t="e">
        <f>VLOOKUP(A70,Relay!$A$2:$C$101,3,FALSE)</f>
        <v>#N/A</v>
      </c>
      <c r="D70" s="39"/>
      <c r="E70" s="35"/>
      <c r="F70" s="58" t="str">
        <f t="shared" si="3"/>
        <v>INS</v>
      </c>
      <c r="G70" s="32" t="e">
        <f>IF(OR(E70="Jeopardy",E70="APP Moonlighting",E70="Differential Pay"),"",Jan[[#This Row],[SysID]])</f>
        <v>#N/A</v>
      </c>
      <c r="H70" s="32" t="e">
        <f>IF(E70="Jeopardy",IF(C70="MD",Relay!$E$7,Relay!$E$8),IF(C70="MD",IF(COUNTIF(G:G,B70)&gt;1,Relay!$E$2,Relay!$E$1),IF(AND(COUNTIF(G:G,B70)&gt;1,COUNTA(A70)&gt;0),Relay!$E$5,Relay!$E$4)))</f>
        <v>#N/A</v>
      </c>
      <c r="I70" s="8">
        <f t="shared" si="4"/>
        <v>0</v>
      </c>
      <c r="J70" s="35"/>
      <c r="K70" s="35"/>
      <c r="L70" s="35"/>
      <c r="M70" s="35"/>
      <c r="N70" s="32" t="e">
        <f>IF(H70=Jan!$E$2,"N",IF(AND(COUNTIF(B:B,B70)=1,D70&gt;14),"Y","N"))</f>
        <v>#N/A</v>
      </c>
      <c r="O70" s="55" t="str">
        <f>IF(COUNT(Jan[[#This Row],[Date]])&gt;0,IF(Jan[[#This Row],[Date]]&gt;14,"Yes","No"),"N/A")</f>
        <v>N/A</v>
      </c>
      <c r="P70" s="55"/>
      <c r="Q70" s="5">
        <f>Relay!A69</f>
        <v>0</v>
      </c>
      <c r="R70" s="5">
        <f>Relay!B69</f>
        <v>68</v>
      </c>
      <c r="S70" s="8">
        <f>IF(Jan[After the 14th?]="No",SUMIF(Jan[SysID],R70,Jan[Pay Amount]),0)+IF(Dec[After the 14th?]="Yes",SUMIF(Dec[SysID],R70,Dec[Pay Amount]),0)</f>
        <v>0</v>
      </c>
      <c r="T70" s="8"/>
      <c r="U70" s="5" t="str">
        <f t="shared" si="5"/>
        <v>N</v>
      </c>
      <c r="X70" s="56"/>
      <c r="Y70" s="56"/>
      <c r="Z70" s="56"/>
      <c r="AA70" s="56"/>
      <c r="AC70" s="56"/>
    </row>
    <row r="71" spans="1:29" x14ac:dyDescent="0.25">
      <c r="A71" s="35"/>
      <c r="B71" s="32" t="e">
        <f>VLOOKUP(A71,Relay!$A$1:$B$50,2,FALSE)</f>
        <v>#N/A</v>
      </c>
      <c r="C71" s="32" t="e">
        <f>VLOOKUP(A71,Relay!$A$2:$C$101,3,FALSE)</f>
        <v>#N/A</v>
      </c>
      <c r="D71" s="39"/>
      <c r="E71" s="35"/>
      <c r="F71" s="58" t="str">
        <f t="shared" si="3"/>
        <v>INS</v>
      </c>
      <c r="G71" s="32" t="e">
        <f>IF(OR(E71="Jeopardy",E71="APP Moonlighting",E71="Differential Pay"),"",Jan[[#This Row],[SysID]])</f>
        <v>#N/A</v>
      </c>
      <c r="H71" s="32" t="e">
        <f>IF(E71="Jeopardy",IF(C71="MD",Relay!$E$7,Relay!$E$8),IF(C71="MD",IF(COUNTIF(G:G,B71)&gt;1,Relay!$E$2,Relay!$E$1),IF(AND(COUNTIF(G:G,B71)&gt;1,COUNTA(A71)&gt;0),Relay!$E$5,Relay!$E$4)))</f>
        <v>#N/A</v>
      </c>
      <c r="I71" s="8">
        <f t="shared" si="4"/>
        <v>0</v>
      </c>
      <c r="J71" s="35"/>
      <c r="K71" s="35"/>
      <c r="L71" s="35"/>
      <c r="M71" s="35"/>
      <c r="N71" s="32" t="e">
        <f>IF(H71=Jan!$E$2,"N",IF(AND(COUNTIF(B:B,B71)=1,D71&gt;14),"Y","N"))</f>
        <v>#N/A</v>
      </c>
      <c r="O71" s="55" t="str">
        <f>IF(COUNT(Jan[[#This Row],[Date]])&gt;0,IF(Jan[[#This Row],[Date]]&gt;14,"Yes","No"),"N/A")</f>
        <v>N/A</v>
      </c>
      <c r="P71" s="55"/>
      <c r="Q71" s="5">
        <f>Relay!A70</f>
        <v>0</v>
      </c>
      <c r="R71" s="5">
        <f>Relay!B70</f>
        <v>69</v>
      </c>
      <c r="S71" s="8">
        <f>IF(Jan[After the 14th?]="No",SUMIF(Jan[SysID],R71,Jan[Pay Amount]),0)+IF(Dec[After the 14th?]="Yes",SUMIF(Dec[SysID],R71,Dec[Pay Amount]),0)</f>
        <v>0</v>
      </c>
      <c r="T71" s="8"/>
      <c r="U71" s="5" t="str">
        <f t="shared" si="5"/>
        <v>N</v>
      </c>
      <c r="X71" s="56"/>
      <c r="Y71" s="56"/>
      <c r="Z71" s="56"/>
      <c r="AA71" s="56"/>
      <c r="AC71" s="56"/>
    </row>
    <row r="72" spans="1:29" x14ac:dyDescent="0.25">
      <c r="A72" s="35"/>
      <c r="B72" s="32" t="e">
        <f>VLOOKUP(A72,Relay!$A$1:$B$50,2,FALSE)</f>
        <v>#N/A</v>
      </c>
      <c r="C72" s="32" t="e">
        <f>VLOOKUP(A72,Relay!$A$2:$C$101,3,FALSE)</f>
        <v>#N/A</v>
      </c>
      <c r="D72" s="39"/>
      <c r="E72" s="35"/>
      <c r="F72" s="58" t="str">
        <f t="shared" si="3"/>
        <v>INS</v>
      </c>
      <c r="G72" s="32" t="e">
        <f>IF(OR(E72="Jeopardy",E72="APP Moonlighting",E72="Differential Pay"),"",Jan[[#This Row],[SysID]])</f>
        <v>#N/A</v>
      </c>
      <c r="H72" s="32" t="e">
        <f>IF(E72="Jeopardy",IF(C72="MD",Relay!$E$7,Relay!$E$8),IF(C72="MD",IF(COUNTIF(G:G,B72)&gt;1,Relay!$E$2,Relay!$E$1),IF(AND(COUNTIF(G:G,B72)&gt;1,COUNTA(A72)&gt;0),Relay!$E$5,Relay!$E$4)))</f>
        <v>#N/A</v>
      </c>
      <c r="I72" s="8">
        <f t="shared" si="4"/>
        <v>0</v>
      </c>
      <c r="J72" s="35"/>
      <c r="K72" s="35"/>
      <c r="L72" s="35"/>
      <c r="M72" s="35"/>
      <c r="N72" s="32" t="e">
        <f>IF(H72=Jan!$E$2,"N",IF(AND(COUNTIF(B:B,B72)=1,D72&gt;14),"Y","N"))</f>
        <v>#N/A</v>
      </c>
      <c r="O72" s="55" t="str">
        <f>IF(COUNT(Jan[[#This Row],[Date]])&gt;0,IF(Jan[[#This Row],[Date]]&gt;14,"Yes","No"),"N/A")</f>
        <v>N/A</v>
      </c>
      <c r="P72" s="55"/>
      <c r="Q72" s="5">
        <f>Relay!A71</f>
        <v>0</v>
      </c>
      <c r="R72" s="5">
        <f>Relay!B71</f>
        <v>70</v>
      </c>
      <c r="S72" s="8">
        <f>IF(Jan[After the 14th?]="No",SUMIF(Jan[SysID],R72,Jan[Pay Amount]),0)+IF(Dec[After the 14th?]="Yes",SUMIF(Dec[SysID],R72,Dec[Pay Amount]),0)</f>
        <v>0</v>
      </c>
      <c r="T72" s="8"/>
      <c r="U72" s="5" t="str">
        <f t="shared" si="5"/>
        <v>N</v>
      </c>
      <c r="X72" s="56"/>
      <c r="Y72" s="56"/>
      <c r="Z72" s="56"/>
      <c r="AA72" s="56"/>
      <c r="AC72" s="56"/>
    </row>
    <row r="73" spans="1:29" x14ac:dyDescent="0.25">
      <c r="A73" s="35"/>
      <c r="B73" s="32" t="e">
        <f>VLOOKUP(A73,Relay!$A$1:$B$50,2,FALSE)</f>
        <v>#N/A</v>
      </c>
      <c r="C73" s="32" t="e">
        <f>VLOOKUP(A73,Relay!$A$2:$C$101,3,FALSE)</f>
        <v>#N/A</v>
      </c>
      <c r="D73" s="39"/>
      <c r="E73" s="35"/>
      <c r="F73" s="58" t="str">
        <f t="shared" si="3"/>
        <v>INS</v>
      </c>
      <c r="G73" s="32" t="e">
        <f>IF(OR(E73="Jeopardy",E73="APP Moonlighting",E73="Differential Pay"),"",Jan[[#This Row],[SysID]])</f>
        <v>#N/A</v>
      </c>
      <c r="H73" s="32" t="e">
        <f>IF(E73="Jeopardy",IF(C73="MD",Relay!$E$7,Relay!$E$8),IF(C73="MD",IF(COUNTIF(G:G,B73)&gt;1,Relay!$E$2,Relay!$E$1),IF(AND(COUNTIF(G:G,B73)&gt;1,COUNTA(A73)&gt;0),Relay!$E$5,Relay!$E$4)))</f>
        <v>#N/A</v>
      </c>
      <c r="I73" s="8">
        <f t="shared" si="4"/>
        <v>0</v>
      </c>
      <c r="J73" s="35"/>
      <c r="K73" s="35"/>
      <c r="L73" s="35"/>
      <c r="M73" s="35"/>
      <c r="N73" s="32" t="e">
        <f>IF(H73=Jan!$E$2,"N",IF(AND(COUNTIF(B:B,B73)=1,D73&gt;14),"Y","N"))</f>
        <v>#N/A</v>
      </c>
      <c r="O73" s="55" t="str">
        <f>IF(COUNT(Jan[[#This Row],[Date]])&gt;0,IF(Jan[[#This Row],[Date]]&gt;14,"Yes","No"),"N/A")</f>
        <v>N/A</v>
      </c>
      <c r="P73" s="55"/>
      <c r="Q73" s="5">
        <f>Relay!A72</f>
        <v>0</v>
      </c>
      <c r="R73" s="5">
        <f>Relay!B72</f>
        <v>71</v>
      </c>
      <c r="S73" s="8">
        <f>IF(Jan[After the 14th?]="No",SUMIF(Jan[SysID],R73,Jan[Pay Amount]),0)+IF(Dec[After the 14th?]="Yes",SUMIF(Dec[SysID],R73,Dec[Pay Amount]),0)</f>
        <v>0</v>
      </c>
      <c r="T73" s="8"/>
      <c r="U73" s="5" t="str">
        <f t="shared" si="5"/>
        <v>N</v>
      </c>
      <c r="X73" s="56"/>
      <c r="Y73" s="56"/>
      <c r="Z73" s="56"/>
      <c r="AA73" s="56"/>
      <c r="AC73" s="56"/>
    </row>
    <row r="74" spans="1:29" x14ac:dyDescent="0.25">
      <c r="A74" s="35"/>
      <c r="B74" s="32" t="e">
        <f>VLOOKUP(A74,Relay!$A$1:$B$50,2,FALSE)</f>
        <v>#N/A</v>
      </c>
      <c r="C74" s="32" t="e">
        <f>VLOOKUP(A74,Relay!$A$2:$C$101,3,FALSE)</f>
        <v>#N/A</v>
      </c>
      <c r="D74" s="39"/>
      <c r="E74" s="35"/>
      <c r="F74" s="58" t="str">
        <f t="shared" si="3"/>
        <v>INS</v>
      </c>
      <c r="G74" s="32" t="e">
        <f>IF(OR(E74="Jeopardy",E74="APP Moonlighting",E74="Differential Pay"),"",Jan[[#This Row],[SysID]])</f>
        <v>#N/A</v>
      </c>
      <c r="H74" s="32" t="e">
        <f>IF(E74="Jeopardy",IF(C74="MD",Relay!$E$7,Relay!$E$8),IF(C74="MD",IF(COUNTIF(G:G,B74)&gt;1,Relay!$E$2,Relay!$E$1),IF(AND(COUNTIF(G:G,B74)&gt;1,COUNTA(A74)&gt;0),Relay!$E$5,Relay!$E$4)))</f>
        <v>#N/A</v>
      </c>
      <c r="I74" s="8">
        <f t="shared" si="4"/>
        <v>0</v>
      </c>
      <c r="J74" s="35"/>
      <c r="K74" s="35"/>
      <c r="L74" s="35"/>
      <c r="M74" s="35"/>
      <c r="N74" s="32" t="e">
        <f>IF(H74=Jan!$E$2,"N",IF(AND(COUNTIF(B:B,B74)=1,D74&gt;14),"Y","N"))</f>
        <v>#N/A</v>
      </c>
      <c r="O74" s="55" t="str">
        <f>IF(COUNT(Jan[[#This Row],[Date]])&gt;0,IF(Jan[[#This Row],[Date]]&gt;14,"Yes","No"),"N/A")</f>
        <v>N/A</v>
      </c>
      <c r="P74" s="55"/>
      <c r="Q74" s="5">
        <f>Relay!A73</f>
        <v>0</v>
      </c>
      <c r="R74" s="5">
        <f>Relay!B73</f>
        <v>72</v>
      </c>
      <c r="S74" s="8">
        <f>IF(Jan[After the 14th?]="No",SUMIF(Jan[SysID],R74,Jan[Pay Amount]),0)+IF(Dec[After the 14th?]="Yes",SUMIF(Dec[SysID],R74,Dec[Pay Amount]),0)</f>
        <v>0</v>
      </c>
      <c r="T74" s="8"/>
      <c r="U74" s="5" t="str">
        <f t="shared" si="5"/>
        <v>N</v>
      </c>
      <c r="X74" s="56"/>
      <c r="Y74" s="56"/>
      <c r="Z74" s="56"/>
      <c r="AA74" s="56"/>
      <c r="AC74" s="56"/>
    </row>
    <row r="75" spans="1:29" x14ac:dyDescent="0.25">
      <c r="A75" s="35"/>
      <c r="B75" s="32" t="e">
        <f>VLOOKUP(A75,Relay!$A$1:$B$50,2,FALSE)</f>
        <v>#N/A</v>
      </c>
      <c r="C75" s="32" t="e">
        <f>VLOOKUP(A75,Relay!$A$2:$C$101,3,FALSE)</f>
        <v>#N/A</v>
      </c>
      <c r="D75" s="39"/>
      <c r="E75" s="35"/>
      <c r="F75" s="58" t="str">
        <f t="shared" si="3"/>
        <v>INS</v>
      </c>
      <c r="G75" s="32" t="e">
        <f>IF(OR(E75="Jeopardy",E75="APP Moonlighting",E75="Differential Pay"),"",Jan[[#This Row],[SysID]])</f>
        <v>#N/A</v>
      </c>
      <c r="H75" s="32" t="e">
        <f>IF(E75="Jeopardy",IF(C75="MD",Relay!$E$7,Relay!$E$8),IF(C75="MD",IF(COUNTIF(G:G,B75)&gt;1,Relay!$E$2,Relay!$E$1),IF(AND(COUNTIF(G:G,B75)&gt;1,COUNTA(A75)&gt;0),Relay!$E$5,Relay!$E$4)))</f>
        <v>#N/A</v>
      </c>
      <c r="I75" s="8">
        <f t="shared" si="4"/>
        <v>0</v>
      </c>
      <c r="J75" s="35"/>
      <c r="K75" s="35"/>
      <c r="L75" s="35"/>
      <c r="M75" s="35"/>
      <c r="N75" s="32" t="e">
        <f>IF(H75=Jan!$E$2,"N",IF(AND(COUNTIF(B:B,B75)=1,D75&gt;14),"Y","N"))</f>
        <v>#N/A</v>
      </c>
      <c r="O75" s="55" t="str">
        <f>IF(COUNT(Jan[[#This Row],[Date]])&gt;0,IF(Jan[[#This Row],[Date]]&gt;14,"Yes","No"),"N/A")</f>
        <v>N/A</v>
      </c>
      <c r="P75" s="55"/>
      <c r="Q75" s="5">
        <f>Relay!A74</f>
        <v>0</v>
      </c>
      <c r="R75" s="5">
        <f>Relay!B74</f>
        <v>73</v>
      </c>
      <c r="S75" s="8">
        <f>IF(Jan[After the 14th?]="No",SUMIF(Jan[SysID],R75,Jan[Pay Amount]),0)+IF(Dec[After the 14th?]="Yes",SUMIF(Dec[SysID],R75,Dec[Pay Amount]),0)</f>
        <v>0</v>
      </c>
      <c r="T75" s="8"/>
      <c r="U75" s="5" t="str">
        <f t="shared" si="5"/>
        <v>N</v>
      </c>
      <c r="X75" s="56"/>
      <c r="Y75" s="56"/>
      <c r="Z75" s="56"/>
      <c r="AA75" s="56"/>
      <c r="AC75" s="56"/>
    </row>
    <row r="76" spans="1:29" x14ac:dyDescent="0.25">
      <c r="A76" s="35"/>
      <c r="B76" s="32" t="e">
        <f>VLOOKUP(A76,Relay!$A$1:$B$50,2,FALSE)</f>
        <v>#N/A</v>
      </c>
      <c r="C76" s="32" t="e">
        <f>VLOOKUP(A76,Relay!$A$2:$C$101,3,FALSE)</f>
        <v>#N/A</v>
      </c>
      <c r="D76" s="39"/>
      <c r="E76" s="35"/>
      <c r="F76" s="58" t="str">
        <f t="shared" si="3"/>
        <v>INS</v>
      </c>
      <c r="G76" s="32" t="e">
        <f>IF(OR(E76="Jeopardy",E76="APP Moonlighting",E76="Differential Pay"),"",Jan[[#This Row],[SysID]])</f>
        <v>#N/A</v>
      </c>
      <c r="H76" s="32" t="e">
        <f>IF(E76="Jeopardy",IF(C76="MD",Relay!$E$7,Relay!$E$8),IF(C76="MD",IF(COUNTIF(G:G,B76)&gt;1,Relay!$E$2,Relay!$E$1),IF(AND(COUNTIF(G:G,B76)&gt;1,COUNTA(A76)&gt;0),Relay!$E$5,Relay!$E$4)))</f>
        <v>#N/A</v>
      </c>
      <c r="I76" s="8">
        <f t="shared" si="4"/>
        <v>0</v>
      </c>
      <c r="J76" s="35"/>
      <c r="K76" s="35"/>
      <c r="L76" s="35"/>
      <c r="M76" s="35"/>
      <c r="N76" s="32" t="e">
        <f>IF(H76=Jan!$E$2,"N",IF(AND(COUNTIF(B:B,B76)=1,D76&gt;14),"Y","N"))</f>
        <v>#N/A</v>
      </c>
      <c r="O76" s="55" t="str">
        <f>IF(COUNT(Jan[[#This Row],[Date]])&gt;0,IF(Jan[[#This Row],[Date]]&gt;14,"Yes","No"),"N/A")</f>
        <v>N/A</v>
      </c>
      <c r="P76" s="55"/>
      <c r="Q76" s="5">
        <f>Relay!A75</f>
        <v>0</v>
      </c>
      <c r="R76" s="5">
        <f>Relay!B75</f>
        <v>74</v>
      </c>
      <c r="S76" s="8">
        <f>IF(Jan[After the 14th?]="No",SUMIF(Jan[SysID],R76,Jan[Pay Amount]),0)+IF(Dec[After the 14th?]="Yes",SUMIF(Dec[SysID],R76,Dec[Pay Amount]),0)</f>
        <v>0</v>
      </c>
      <c r="T76" s="8"/>
      <c r="U76" s="5" t="str">
        <f t="shared" si="5"/>
        <v>N</v>
      </c>
      <c r="X76" s="56"/>
      <c r="Y76" s="56"/>
      <c r="Z76" s="56"/>
      <c r="AA76" s="56"/>
      <c r="AC76" s="56"/>
    </row>
    <row r="77" spans="1:29" x14ac:dyDescent="0.25">
      <c r="A77" s="35"/>
      <c r="B77" s="32" t="e">
        <f>VLOOKUP(A77,Relay!$A$1:$B$50,2,FALSE)</f>
        <v>#N/A</v>
      </c>
      <c r="C77" s="32" t="e">
        <f>VLOOKUP(A77,Relay!$A$2:$C$101,3,FALSE)</f>
        <v>#N/A</v>
      </c>
      <c r="D77" s="39"/>
      <c r="E77" s="35"/>
      <c r="F77" s="58" t="str">
        <f t="shared" si="3"/>
        <v>INS</v>
      </c>
      <c r="G77" s="32" t="e">
        <f>IF(OR(E77="Jeopardy",E77="APP Moonlighting",E77="Differential Pay"),"",Jan[[#This Row],[SysID]])</f>
        <v>#N/A</v>
      </c>
      <c r="H77" s="32" t="e">
        <f>IF(E77="Jeopardy",IF(C77="MD",Relay!$E$7,Relay!$E$8),IF(C77="MD",IF(COUNTIF(G:G,B77)&gt;1,Relay!$E$2,Relay!$E$1),IF(AND(COUNTIF(G:G,B77)&gt;1,COUNTA(A77)&gt;0),Relay!$E$5,Relay!$E$4)))</f>
        <v>#N/A</v>
      </c>
      <c r="I77" s="8">
        <f t="shared" si="4"/>
        <v>0</v>
      </c>
      <c r="J77" s="35"/>
      <c r="K77" s="35"/>
      <c r="L77" s="35"/>
      <c r="M77" s="35"/>
      <c r="N77" s="32" t="e">
        <f>IF(H77=Jan!$E$2,"N",IF(AND(COUNTIF(B:B,B77)=1,D77&gt;14),"Y","N"))</f>
        <v>#N/A</v>
      </c>
      <c r="O77" s="55" t="str">
        <f>IF(COUNT(Jan[[#This Row],[Date]])&gt;0,IF(Jan[[#This Row],[Date]]&gt;14,"Yes","No"),"N/A")</f>
        <v>N/A</v>
      </c>
      <c r="P77" s="55"/>
      <c r="Q77" s="5">
        <f>Relay!A76</f>
        <v>0</v>
      </c>
      <c r="R77" s="5">
        <f>Relay!B76</f>
        <v>75</v>
      </c>
      <c r="S77" s="8">
        <f>IF(Jan[After the 14th?]="No",SUMIF(Jan[SysID],R77,Jan[Pay Amount]),0)+IF(Dec[After the 14th?]="Yes",SUMIF(Dec[SysID],R77,Dec[Pay Amount]),0)</f>
        <v>0</v>
      </c>
      <c r="T77" s="8"/>
      <c r="U77" s="5" t="str">
        <f t="shared" si="5"/>
        <v>N</v>
      </c>
      <c r="X77" s="56"/>
      <c r="Y77" s="56"/>
      <c r="Z77" s="56"/>
      <c r="AA77" s="56"/>
      <c r="AC77" s="56"/>
    </row>
    <row r="78" spans="1:29" x14ac:dyDescent="0.25">
      <c r="A78" s="35"/>
      <c r="B78" s="32" t="e">
        <f>VLOOKUP(A78,Relay!$A$1:$B$50,2,FALSE)</f>
        <v>#N/A</v>
      </c>
      <c r="C78" s="32" t="e">
        <f>VLOOKUP(A78,Relay!$A$2:$C$101,3,FALSE)</f>
        <v>#N/A</v>
      </c>
      <c r="D78" s="39"/>
      <c r="E78" s="35"/>
      <c r="F78" s="58" t="str">
        <f t="shared" si="3"/>
        <v>INS</v>
      </c>
      <c r="G78" s="32" t="e">
        <f>IF(OR(E78="Jeopardy",E78="APP Moonlighting",E78="Differential Pay"),"",Jan[[#This Row],[SysID]])</f>
        <v>#N/A</v>
      </c>
      <c r="H78" s="32" t="e">
        <f>IF(E78="Jeopardy",IF(C78="MD",Relay!$E$7,Relay!$E$8),IF(C78="MD",IF(COUNTIF(G:G,B78)&gt;1,Relay!$E$2,Relay!$E$1),IF(AND(COUNTIF(G:G,B78)&gt;1,COUNTA(A78)&gt;0),Relay!$E$5,Relay!$E$4)))</f>
        <v>#N/A</v>
      </c>
      <c r="I78" s="8">
        <f t="shared" si="4"/>
        <v>0</v>
      </c>
      <c r="J78" s="35"/>
      <c r="K78" s="35"/>
      <c r="L78" s="35"/>
      <c r="M78" s="35"/>
      <c r="N78" s="32" t="e">
        <f>IF(H78=Jan!$E$2,"N",IF(AND(COUNTIF(B:B,B78)=1,D78&gt;14),"Y","N"))</f>
        <v>#N/A</v>
      </c>
      <c r="O78" s="55" t="str">
        <f>IF(COUNT(Jan[[#This Row],[Date]])&gt;0,IF(Jan[[#This Row],[Date]]&gt;14,"Yes","No"),"N/A")</f>
        <v>N/A</v>
      </c>
      <c r="P78" s="55"/>
      <c r="Q78" s="5">
        <f>Relay!A77</f>
        <v>0</v>
      </c>
      <c r="R78" s="5">
        <f>Relay!B77</f>
        <v>76</v>
      </c>
      <c r="S78" s="8">
        <f>IF(Jan[After the 14th?]="No",SUMIF(Jan[SysID],R78,Jan[Pay Amount]),0)+IF(Dec[After the 14th?]="Yes",SUMIF(Dec[SysID],R78,Dec[Pay Amount]),0)</f>
        <v>0</v>
      </c>
      <c r="T78" s="8"/>
      <c r="U78" s="5" t="str">
        <f t="shared" si="5"/>
        <v>N</v>
      </c>
      <c r="X78" s="56"/>
      <c r="Y78" s="56"/>
      <c r="Z78" s="56"/>
      <c r="AA78" s="56"/>
      <c r="AC78" s="56"/>
    </row>
    <row r="79" spans="1:29" x14ac:dyDescent="0.25">
      <c r="A79" s="35"/>
      <c r="B79" s="32" t="e">
        <f>VLOOKUP(A79,Relay!$A$1:$B$50,2,FALSE)</f>
        <v>#N/A</v>
      </c>
      <c r="C79" s="32" t="e">
        <f>VLOOKUP(A79,Relay!$A$2:$C$101,3,FALSE)</f>
        <v>#N/A</v>
      </c>
      <c r="D79" s="39"/>
      <c r="E79" s="35"/>
      <c r="F79" s="58" t="str">
        <f t="shared" si="3"/>
        <v>INS</v>
      </c>
      <c r="G79" s="32" t="e">
        <f>IF(OR(E79="Jeopardy",E79="APP Moonlighting",E79="Differential Pay"),"",Jan[[#This Row],[SysID]])</f>
        <v>#N/A</v>
      </c>
      <c r="H79" s="32" t="e">
        <f>IF(E79="Jeopardy",IF(C79="MD",Relay!$E$7,Relay!$E$8),IF(C79="MD",IF(COUNTIF(G:G,B79)&gt;1,Relay!$E$2,Relay!$E$1),IF(AND(COUNTIF(G:G,B79)&gt;1,COUNTA(A79)&gt;0),Relay!$E$5,Relay!$E$4)))</f>
        <v>#N/A</v>
      </c>
      <c r="I79" s="8">
        <f t="shared" si="4"/>
        <v>0</v>
      </c>
      <c r="J79" s="35"/>
      <c r="K79" s="35"/>
      <c r="L79" s="35"/>
      <c r="M79" s="35"/>
      <c r="N79" s="32" t="e">
        <f>IF(H79=Jan!$E$2,"N",IF(AND(COUNTIF(B:B,B79)=1,D79&gt;14),"Y","N"))</f>
        <v>#N/A</v>
      </c>
      <c r="O79" s="55" t="str">
        <f>IF(COUNT(Jan[[#This Row],[Date]])&gt;0,IF(Jan[[#This Row],[Date]]&gt;14,"Yes","No"),"N/A")</f>
        <v>N/A</v>
      </c>
      <c r="P79" s="55"/>
      <c r="Q79" s="5">
        <f>Relay!A78</f>
        <v>0</v>
      </c>
      <c r="R79" s="5">
        <f>Relay!B78</f>
        <v>77</v>
      </c>
      <c r="S79" s="8">
        <f>IF(Jan[After the 14th?]="No",SUMIF(Jan[SysID],R79,Jan[Pay Amount]),0)+IF(Dec[After the 14th?]="Yes",SUMIF(Dec[SysID],R79,Dec[Pay Amount]),0)</f>
        <v>0</v>
      </c>
      <c r="T79" s="8"/>
      <c r="U79" s="5" t="str">
        <f t="shared" si="5"/>
        <v>N</v>
      </c>
      <c r="X79" s="56"/>
      <c r="Y79" s="56"/>
      <c r="Z79" s="56"/>
      <c r="AA79" s="56"/>
      <c r="AC79" s="56"/>
    </row>
    <row r="80" spans="1:29" x14ac:dyDescent="0.25">
      <c r="A80" s="35"/>
      <c r="B80" s="32" t="e">
        <f>VLOOKUP(A80,Relay!$A$1:$B$50,2,FALSE)</f>
        <v>#N/A</v>
      </c>
      <c r="C80" s="32" t="e">
        <f>VLOOKUP(A80,Relay!$A$2:$C$101,3,FALSE)</f>
        <v>#N/A</v>
      </c>
      <c r="D80" s="39"/>
      <c r="E80" s="35"/>
      <c r="F80" s="58" t="str">
        <f t="shared" si="3"/>
        <v>INS</v>
      </c>
      <c r="G80" s="32" t="e">
        <f>IF(OR(E80="Jeopardy",E80="APP Moonlighting",E80="Differential Pay"),"",Jan[[#This Row],[SysID]])</f>
        <v>#N/A</v>
      </c>
      <c r="H80" s="32" t="e">
        <f>IF(E80="Jeopardy",IF(C80="MD",Relay!$E$7,Relay!$E$8),IF(C80="MD",IF(COUNTIF(G:G,B80)&gt;1,Relay!$E$2,Relay!$E$1),IF(AND(COUNTIF(G:G,B80)&gt;1,COUNTA(A80)&gt;0),Relay!$E$5,Relay!$E$4)))</f>
        <v>#N/A</v>
      </c>
      <c r="I80" s="8">
        <f t="shared" si="4"/>
        <v>0</v>
      </c>
      <c r="J80" s="35"/>
      <c r="K80" s="35"/>
      <c r="L80" s="35"/>
      <c r="M80" s="35"/>
      <c r="N80" s="32" t="e">
        <f>IF(H80=Jan!$E$2,"N",IF(AND(COUNTIF(B:B,B80)=1,D80&gt;14),"Y","N"))</f>
        <v>#N/A</v>
      </c>
      <c r="O80" s="55" t="str">
        <f>IF(COUNT(Jan[[#This Row],[Date]])&gt;0,IF(Jan[[#This Row],[Date]]&gt;14,"Yes","No"),"N/A")</f>
        <v>N/A</v>
      </c>
      <c r="P80" s="55"/>
      <c r="Q80" s="5">
        <f>Relay!A79</f>
        <v>0</v>
      </c>
      <c r="R80" s="5">
        <f>Relay!B79</f>
        <v>78</v>
      </c>
      <c r="S80" s="8">
        <f>IF(Jan[After the 14th?]="No",SUMIF(Jan[SysID],R80,Jan[Pay Amount]),0)+IF(Dec[After the 14th?]="Yes",SUMIF(Dec[SysID],R80,Dec[Pay Amount]),0)</f>
        <v>0</v>
      </c>
      <c r="T80" s="8"/>
      <c r="U80" s="5" t="str">
        <f t="shared" si="5"/>
        <v>N</v>
      </c>
      <c r="X80" s="56"/>
      <c r="Y80" s="56"/>
      <c r="Z80" s="56"/>
      <c r="AA80" s="56"/>
      <c r="AC80" s="56"/>
    </row>
    <row r="81" spans="1:29" x14ac:dyDescent="0.25">
      <c r="A81" s="35"/>
      <c r="B81" s="32" t="e">
        <f>VLOOKUP(A81,Relay!$A$1:$B$50,2,FALSE)</f>
        <v>#N/A</v>
      </c>
      <c r="C81" s="32" t="e">
        <f>VLOOKUP(A81,Relay!$A$2:$C$101,3,FALSE)</f>
        <v>#N/A</v>
      </c>
      <c r="D81" s="39"/>
      <c r="E81" s="35"/>
      <c r="F81" s="58" t="str">
        <f t="shared" si="3"/>
        <v>INS</v>
      </c>
      <c r="G81" s="32" t="e">
        <f>IF(OR(E81="Jeopardy",E81="APP Moonlighting",E81="Differential Pay"),"",Jan[[#This Row],[SysID]])</f>
        <v>#N/A</v>
      </c>
      <c r="H81" s="32" t="e">
        <f>IF(E81="Jeopardy",IF(C81="MD",Relay!$E$7,Relay!$E$8),IF(C81="MD",IF(COUNTIF(G:G,B81)&gt;1,Relay!$E$2,Relay!$E$1),IF(AND(COUNTIF(G:G,B81)&gt;1,COUNTA(A81)&gt;0),Relay!$E$5,Relay!$E$4)))</f>
        <v>#N/A</v>
      </c>
      <c r="I81" s="8">
        <f t="shared" si="4"/>
        <v>0</v>
      </c>
      <c r="J81" s="35"/>
      <c r="K81" s="35"/>
      <c r="L81" s="35"/>
      <c r="M81" s="35"/>
      <c r="N81" s="32" t="e">
        <f>IF(H81=Jan!$E$2,"N",IF(AND(COUNTIF(B:B,B81)=1,D81&gt;14),"Y","N"))</f>
        <v>#N/A</v>
      </c>
      <c r="O81" s="55" t="str">
        <f>IF(COUNT(Jan[[#This Row],[Date]])&gt;0,IF(Jan[[#This Row],[Date]]&gt;14,"Yes","No"),"N/A")</f>
        <v>N/A</v>
      </c>
      <c r="P81" s="55"/>
      <c r="Q81" s="5">
        <f>Relay!A80</f>
        <v>0</v>
      </c>
      <c r="R81" s="5">
        <f>Relay!B80</f>
        <v>79</v>
      </c>
      <c r="S81" s="8">
        <f>IF(Jan[After the 14th?]="No",SUMIF(Jan[SysID],R81,Jan[Pay Amount]),0)+IF(Dec[After the 14th?]="Yes",SUMIF(Dec[SysID],R81,Dec[Pay Amount]),0)</f>
        <v>0</v>
      </c>
      <c r="T81" s="8"/>
      <c r="U81" s="5" t="str">
        <f t="shared" si="5"/>
        <v>N</v>
      </c>
      <c r="X81" s="56"/>
      <c r="Y81" s="56"/>
      <c r="Z81" s="56"/>
      <c r="AA81" s="56"/>
      <c r="AC81" s="56"/>
    </row>
    <row r="82" spans="1:29" x14ac:dyDescent="0.25">
      <c r="A82" s="35"/>
      <c r="B82" s="32" t="e">
        <f>VLOOKUP(A82,Relay!$A$1:$B$50,2,FALSE)</f>
        <v>#N/A</v>
      </c>
      <c r="C82" s="32" t="e">
        <f>VLOOKUP(A82,Relay!$A$2:$C$101,3,FALSE)</f>
        <v>#N/A</v>
      </c>
      <c r="D82" s="39"/>
      <c r="E82" s="35"/>
      <c r="F82" s="58" t="str">
        <f t="shared" si="3"/>
        <v>INS</v>
      </c>
      <c r="G82" s="32" t="e">
        <f>IF(OR(E82="Jeopardy",E82="APP Moonlighting",E82="Differential Pay"),"",Jan[[#This Row],[SysID]])</f>
        <v>#N/A</v>
      </c>
      <c r="H82" s="32" t="e">
        <f>IF(E82="Jeopardy",IF(C82="MD",Relay!$E$7,Relay!$E$8),IF(C82="MD",IF(COUNTIF(G:G,B82)&gt;1,Relay!$E$2,Relay!$E$1),IF(AND(COUNTIF(G:G,B82)&gt;1,COUNTA(A82)&gt;0),Relay!$E$5,Relay!$E$4)))</f>
        <v>#N/A</v>
      </c>
      <c r="I82" s="8">
        <f t="shared" si="4"/>
        <v>0</v>
      </c>
      <c r="J82" s="35"/>
      <c r="K82" s="35"/>
      <c r="L82" s="35"/>
      <c r="M82" s="35"/>
      <c r="N82" s="32" t="e">
        <f>IF(H82=Jan!$E$2,"N",IF(AND(COUNTIF(B:B,B82)=1,D82&gt;14),"Y","N"))</f>
        <v>#N/A</v>
      </c>
      <c r="O82" s="55" t="str">
        <f>IF(COUNT(Jan[[#This Row],[Date]])&gt;0,IF(Jan[[#This Row],[Date]]&gt;14,"Yes","No"),"N/A")</f>
        <v>N/A</v>
      </c>
      <c r="P82" s="55"/>
      <c r="Q82" s="5">
        <f>Relay!A81</f>
        <v>0</v>
      </c>
      <c r="R82" s="5">
        <f>Relay!B81</f>
        <v>80</v>
      </c>
      <c r="S82" s="8">
        <f>IF(Jan[After the 14th?]="No",SUMIF(Jan[SysID],R82,Jan[Pay Amount]),0)+IF(Dec[After the 14th?]="Yes",SUMIF(Dec[SysID],R82,Dec[Pay Amount]),0)</f>
        <v>0</v>
      </c>
      <c r="T82" s="8"/>
      <c r="U82" s="5" t="str">
        <f t="shared" si="5"/>
        <v>N</v>
      </c>
      <c r="X82" s="56"/>
      <c r="Y82" s="56"/>
      <c r="Z82" s="56"/>
      <c r="AA82" s="56"/>
      <c r="AC82" s="56"/>
    </row>
    <row r="83" spans="1:29" x14ac:dyDescent="0.25">
      <c r="A83" s="35"/>
      <c r="B83" s="32" t="e">
        <f>VLOOKUP(A83,Relay!$A$1:$B$50,2,FALSE)</f>
        <v>#N/A</v>
      </c>
      <c r="C83" s="32" t="e">
        <f>VLOOKUP(A83,Relay!$A$2:$C$101,3,FALSE)</f>
        <v>#N/A</v>
      </c>
      <c r="D83" s="39"/>
      <c r="E83" s="35"/>
      <c r="F83" s="58" t="str">
        <f t="shared" si="3"/>
        <v>INS</v>
      </c>
      <c r="G83" s="32" t="e">
        <f>IF(OR(E83="Jeopardy",E83="APP Moonlighting",E83="Differential Pay"),"",Jan[[#This Row],[SysID]])</f>
        <v>#N/A</v>
      </c>
      <c r="H83" s="32" t="e">
        <f>IF(E83="Jeopardy",IF(C83="MD",Relay!$E$7,Relay!$E$8),IF(C83="MD",IF(COUNTIF(G:G,B83)&gt;1,Relay!$E$2,Relay!$E$1),IF(AND(COUNTIF(G:G,B83)&gt;1,COUNTA(A83)&gt;0),Relay!$E$5,Relay!$E$4)))</f>
        <v>#N/A</v>
      </c>
      <c r="I83" s="8">
        <f t="shared" si="4"/>
        <v>0</v>
      </c>
      <c r="J83" s="35"/>
      <c r="K83" s="35"/>
      <c r="L83" s="35"/>
      <c r="M83" s="35"/>
      <c r="N83" s="32" t="e">
        <f>IF(H83=Jan!$E$2,"N",IF(AND(COUNTIF(B:B,B83)=1,D83&gt;14),"Y","N"))</f>
        <v>#N/A</v>
      </c>
      <c r="O83" s="55" t="str">
        <f>IF(COUNT(Jan[[#This Row],[Date]])&gt;0,IF(Jan[[#This Row],[Date]]&gt;14,"Yes","No"),"N/A")</f>
        <v>N/A</v>
      </c>
      <c r="P83" s="55"/>
      <c r="Q83" s="5">
        <f>Relay!A82</f>
        <v>0</v>
      </c>
      <c r="R83" s="5">
        <f>Relay!B82</f>
        <v>81</v>
      </c>
      <c r="S83" s="8">
        <f>IF(Jan[After the 14th?]="No",SUMIF(Jan[SysID],R83,Jan[Pay Amount]),0)+IF(Dec[After the 14th?]="Yes",SUMIF(Dec[SysID],R83,Dec[Pay Amount]),0)</f>
        <v>0</v>
      </c>
      <c r="T83" s="8"/>
      <c r="U83" s="5" t="str">
        <f t="shared" si="5"/>
        <v>N</v>
      </c>
      <c r="X83" s="56"/>
      <c r="Y83" s="56"/>
      <c r="Z83" s="56"/>
      <c r="AA83" s="56"/>
      <c r="AC83" s="56"/>
    </row>
    <row r="84" spans="1:29" x14ac:dyDescent="0.25">
      <c r="A84" s="35"/>
      <c r="B84" s="32" t="e">
        <f>VLOOKUP(A84,Relay!$A$1:$B$50,2,FALSE)</f>
        <v>#N/A</v>
      </c>
      <c r="C84" s="32" t="e">
        <f>VLOOKUP(A84,Relay!$A$2:$C$101,3,FALSE)</f>
        <v>#N/A</v>
      </c>
      <c r="D84" s="39"/>
      <c r="E84" s="35"/>
      <c r="F84" s="58" t="str">
        <f t="shared" si="3"/>
        <v>INS</v>
      </c>
      <c r="G84" s="32" t="e">
        <f>IF(OR(E84="Jeopardy",E84="APP Moonlighting",E84="Differential Pay"),"",Jan[[#This Row],[SysID]])</f>
        <v>#N/A</v>
      </c>
      <c r="H84" s="32" t="e">
        <f>IF(E84="Jeopardy",IF(C84="MD",Relay!$E$7,Relay!$E$8),IF(C84="MD",IF(COUNTIF(G:G,B84)&gt;1,Relay!$E$2,Relay!$E$1),IF(AND(COUNTIF(G:G,B84)&gt;1,COUNTA(A84)&gt;0),Relay!$E$5,Relay!$E$4)))</f>
        <v>#N/A</v>
      </c>
      <c r="I84" s="8">
        <f t="shared" si="4"/>
        <v>0</v>
      </c>
      <c r="J84" s="35"/>
      <c r="K84" s="35"/>
      <c r="L84" s="35"/>
      <c r="M84" s="35"/>
      <c r="N84" s="32" t="e">
        <f>IF(H84=Jan!$E$2,"N",IF(AND(COUNTIF(B:B,B84)=1,D84&gt;14),"Y","N"))</f>
        <v>#N/A</v>
      </c>
      <c r="O84" s="55" t="str">
        <f>IF(COUNT(Jan[[#This Row],[Date]])&gt;0,IF(Jan[[#This Row],[Date]]&gt;14,"Yes","No"),"N/A")</f>
        <v>N/A</v>
      </c>
      <c r="P84" s="55"/>
      <c r="Q84" s="5">
        <f>Relay!A83</f>
        <v>0</v>
      </c>
      <c r="R84" s="5">
        <f>Relay!B83</f>
        <v>82</v>
      </c>
      <c r="S84" s="8">
        <f>IF(Jan[After the 14th?]="No",SUMIF(Jan[SysID],R84,Jan[Pay Amount]),0)+IF(Dec[After the 14th?]="Yes",SUMIF(Dec[SysID],R84,Dec[Pay Amount]),0)</f>
        <v>0</v>
      </c>
      <c r="T84" s="8"/>
      <c r="U84" s="5" t="str">
        <f t="shared" si="5"/>
        <v>N</v>
      </c>
      <c r="X84" s="56"/>
      <c r="Y84" s="56"/>
      <c r="Z84" s="56"/>
      <c r="AA84" s="56"/>
      <c r="AC84" s="56"/>
    </row>
    <row r="85" spans="1:29" x14ac:dyDescent="0.25">
      <c r="A85" s="35"/>
      <c r="B85" s="32" t="e">
        <f>VLOOKUP(A85,Relay!$A$1:$B$50,2,FALSE)</f>
        <v>#N/A</v>
      </c>
      <c r="C85" s="32" t="e">
        <f>VLOOKUP(A85,Relay!$A$2:$C$101,3,FALSE)</f>
        <v>#N/A</v>
      </c>
      <c r="D85" s="39"/>
      <c r="E85" s="35"/>
      <c r="F85" s="58" t="str">
        <f t="shared" si="3"/>
        <v>INS</v>
      </c>
      <c r="G85" s="32" t="e">
        <f>IF(OR(E85="Jeopardy",E85="APP Moonlighting",E85="Differential Pay"),"",Jan[[#This Row],[SysID]])</f>
        <v>#N/A</v>
      </c>
      <c r="H85" s="32" t="e">
        <f>IF(E85="Jeopardy",IF(C85="MD",Relay!$E$7,Relay!$E$8),IF(C85="MD",IF(COUNTIF(G:G,B85)&gt;1,Relay!$E$2,Relay!$E$1),IF(AND(COUNTIF(G:G,B85)&gt;1,COUNTA(A85)&gt;0),Relay!$E$5,Relay!$E$4)))</f>
        <v>#N/A</v>
      </c>
      <c r="I85" s="8">
        <f t="shared" si="4"/>
        <v>0</v>
      </c>
      <c r="J85" s="35"/>
      <c r="K85" s="35"/>
      <c r="L85" s="35"/>
      <c r="M85" s="35"/>
      <c r="N85" s="32" t="e">
        <f>IF(H85=Jan!$E$2,"N",IF(AND(COUNTIF(B:B,B85)=1,D85&gt;14),"Y","N"))</f>
        <v>#N/A</v>
      </c>
      <c r="O85" s="55" t="str">
        <f>IF(COUNT(Jan[[#This Row],[Date]])&gt;0,IF(Jan[[#This Row],[Date]]&gt;14,"Yes","No"),"N/A")</f>
        <v>N/A</v>
      </c>
      <c r="P85" s="55"/>
      <c r="Q85" s="5">
        <f>Relay!A84</f>
        <v>0</v>
      </c>
      <c r="R85" s="5">
        <f>Relay!B84</f>
        <v>83</v>
      </c>
      <c r="S85" s="8">
        <f>IF(Jan[After the 14th?]="No",SUMIF(Jan[SysID],R85,Jan[Pay Amount]),0)+IF(Dec[After the 14th?]="Yes",SUMIF(Dec[SysID],R85,Dec[Pay Amount]),0)</f>
        <v>0</v>
      </c>
      <c r="T85" s="8"/>
      <c r="U85" s="5" t="str">
        <f t="shared" si="5"/>
        <v>N</v>
      </c>
      <c r="X85" s="56"/>
      <c r="Y85" s="56"/>
      <c r="Z85" s="56"/>
      <c r="AA85" s="56"/>
      <c r="AC85" s="56"/>
    </row>
    <row r="86" spans="1:29" x14ac:dyDescent="0.25">
      <c r="A86" s="35"/>
      <c r="B86" s="32" t="e">
        <f>VLOOKUP(A86,Relay!$A$1:$B$50,2,FALSE)</f>
        <v>#N/A</v>
      </c>
      <c r="C86" s="32" t="e">
        <f>VLOOKUP(A86,Relay!$A$2:$C$101,3,FALSE)</f>
        <v>#N/A</v>
      </c>
      <c r="D86" s="39"/>
      <c r="E86" s="35"/>
      <c r="F86" s="58" t="str">
        <f t="shared" si="3"/>
        <v>INS</v>
      </c>
      <c r="G86" s="32" t="e">
        <f>IF(OR(E86="Jeopardy",E86="APP Moonlighting",E86="Differential Pay"),"",Jan[[#This Row],[SysID]])</f>
        <v>#N/A</v>
      </c>
      <c r="H86" s="32" t="e">
        <f>IF(E86="Jeopardy",IF(C86="MD",Relay!$E$7,Relay!$E$8),IF(C86="MD",IF(COUNTIF(G:G,B86)&gt;1,Relay!$E$2,Relay!$E$1),IF(AND(COUNTIF(G:G,B86)&gt;1,COUNTA(A86)&gt;0),Relay!$E$5,Relay!$E$4)))</f>
        <v>#N/A</v>
      </c>
      <c r="I86" s="8">
        <f t="shared" si="4"/>
        <v>0</v>
      </c>
      <c r="J86" s="35"/>
      <c r="K86" s="35"/>
      <c r="L86" s="35"/>
      <c r="M86" s="35"/>
      <c r="N86" s="32" t="e">
        <f>IF(H86=Jan!$E$2,"N",IF(AND(COUNTIF(B:B,B86)=1,D86&gt;14),"Y","N"))</f>
        <v>#N/A</v>
      </c>
      <c r="O86" s="55" t="str">
        <f>IF(COUNT(Jan[[#This Row],[Date]])&gt;0,IF(Jan[[#This Row],[Date]]&gt;14,"Yes","No"),"N/A")</f>
        <v>N/A</v>
      </c>
      <c r="P86" s="55"/>
      <c r="Q86" s="5">
        <f>Relay!A85</f>
        <v>0</v>
      </c>
      <c r="R86" s="5">
        <f>Relay!B85</f>
        <v>84</v>
      </c>
      <c r="S86" s="8">
        <f>IF(Jan[After the 14th?]="No",SUMIF(Jan[SysID],R86,Jan[Pay Amount]),0)+IF(Dec[After the 14th?]="Yes",SUMIF(Dec[SysID],R86,Dec[Pay Amount]),0)</f>
        <v>0</v>
      </c>
      <c r="T86" s="8"/>
      <c r="U86" s="5" t="str">
        <f t="shared" si="5"/>
        <v>N</v>
      </c>
      <c r="X86" s="56"/>
      <c r="Y86" s="56"/>
      <c r="Z86" s="56"/>
      <c r="AA86" s="56"/>
      <c r="AC86" s="56"/>
    </row>
    <row r="87" spans="1:29" x14ac:dyDescent="0.25">
      <c r="A87" s="35"/>
      <c r="B87" s="32" t="e">
        <f>VLOOKUP(A87,Relay!$A$1:$B$50,2,FALSE)</f>
        <v>#N/A</v>
      </c>
      <c r="C87" s="32" t="e">
        <f>VLOOKUP(A87,Relay!$A$2:$C$101,3,FALSE)</f>
        <v>#N/A</v>
      </c>
      <c r="D87" s="39"/>
      <c r="E87" s="35"/>
      <c r="F87" s="58" t="str">
        <f t="shared" si="3"/>
        <v>INS</v>
      </c>
      <c r="G87" s="32" t="e">
        <f>IF(OR(E87="Jeopardy",E87="APP Moonlighting",E87="Differential Pay"),"",Jan[[#This Row],[SysID]])</f>
        <v>#N/A</v>
      </c>
      <c r="H87" s="32" t="e">
        <f>IF(E87="Jeopardy",IF(C87="MD",Relay!$E$7,Relay!$E$8),IF(C87="MD",IF(COUNTIF(G:G,B87)&gt;1,Relay!$E$2,Relay!$E$1),IF(AND(COUNTIF(G:G,B87)&gt;1,COUNTA(A87)&gt;0),Relay!$E$5,Relay!$E$4)))</f>
        <v>#N/A</v>
      </c>
      <c r="I87" s="8">
        <f t="shared" si="4"/>
        <v>0</v>
      </c>
      <c r="J87" s="35"/>
      <c r="K87" s="35"/>
      <c r="L87" s="35"/>
      <c r="M87" s="35"/>
      <c r="N87" s="32" t="e">
        <f>IF(H87=Jan!$E$2,"N",IF(AND(COUNTIF(B:B,B87)=1,D87&gt;14),"Y","N"))</f>
        <v>#N/A</v>
      </c>
      <c r="O87" s="55" t="str">
        <f>IF(COUNT(Jan[[#This Row],[Date]])&gt;0,IF(Jan[[#This Row],[Date]]&gt;14,"Yes","No"),"N/A")</f>
        <v>N/A</v>
      </c>
      <c r="P87" s="55"/>
      <c r="Q87" s="5">
        <f>Relay!A86</f>
        <v>0</v>
      </c>
      <c r="R87" s="5">
        <f>Relay!B86</f>
        <v>85</v>
      </c>
      <c r="S87" s="8">
        <f>IF(Jan[After the 14th?]="No",SUMIF(Jan[SysID],R87,Jan[Pay Amount]),0)+IF(Dec[After the 14th?]="Yes",SUMIF(Dec[SysID],R87,Dec[Pay Amount]),0)</f>
        <v>0</v>
      </c>
      <c r="T87" s="8"/>
      <c r="U87" s="5" t="str">
        <f t="shared" si="5"/>
        <v>N</v>
      </c>
      <c r="X87" s="56"/>
      <c r="Y87" s="56"/>
      <c r="Z87" s="56"/>
      <c r="AA87" s="56"/>
      <c r="AC87" s="56"/>
    </row>
    <row r="88" spans="1:29" x14ac:dyDescent="0.25">
      <c r="A88" s="35"/>
      <c r="B88" s="32" t="e">
        <f>VLOOKUP(A88,Relay!$A$1:$B$50,2,FALSE)</f>
        <v>#N/A</v>
      </c>
      <c r="C88" s="32" t="e">
        <f>VLOOKUP(A88,Relay!$A$2:$C$101,3,FALSE)</f>
        <v>#N/A</v>
      </c>
      <c r="D88" s="39"/>
      <c r="E88" s="35"/>
      <c r="F88" s="58" t="str">
        <f t="shared" si="3"/>
        <v>INS</v>
      </c>
      <c r="G88" s="32" t="e">
        <f>IF(OR(E88="Jeopardy",E88="APP Moonlighting",E88="Differential Pay"),"",Jan[[#This Row],[SysID]])</f>
        <v>#N/A</v>
      </c>
      <c r="H88" s="32" t="e">
        <f>IF(E88="Jeopardy",IF(C88="MD",Relay!$E$7,Relay!$E$8),IF(C88="MD",IF(COUNTIF(G:G,B88)&gt;1,Relay!$E$2,Relay!$E$1),IF(AND(COUNTIF(G:G,B88)&gt;1,COUNTA(A88)&gt;0),Relay!$E$5,Relay!$E$4)))</f>
        <v>#N/A</v>
      </c>
      <c r="I88" s="8">
        <f t="shared" si="4"/>
        <v>0</v>
      </c>
      <c r="J88" s="35"/>
      <c r="K88" s="35"/>
      <c r="L88" s="35"/>
      <c r="M88" s="35"/>
      <c r="N88" s="32" t="e">
        <f>IF(H88=Jan!$E$2,"N",IF(AND(COUNTIF(B:B,B88)=1,D88&gt;14),"Y","N"))</f>
        <v>#N/A</v>
      </c>
      <c r="O88" s="55" t="str">
        <f>IF(COUNT(Jan[[#This Row],[Date]])&gt;0,IF(Jan[[#This Row],[Date]]&gt;14,"Yes","No"),"N/A")</f>
        <v>N/A</v>
      </c>
      <c r="P88" s="55"/>
      <c r="Q88" s="5">
        <f>Relay!A87</f>
        <v>0</v>
      </c>
      <c r="R88" s="5">
        <f>Relay!B87</f>
        <v>86</v>
      </c>
      <c r="S88" s="8">
        <f>IF(Jan[After the 14th?]="No",SUMIF(Jan[SysID],R88,Jan[Pay Amount]),0)+IF(Dec[After the 14th?]="Yes",SUMIF(Dec[SysID],R88,Dec[Pay Amount]),0)</f>
        <v>0</v>
      </c>
      <c r="T88" s="8"/>
      <c r="U88" s="5" t="str">
        <f t="shared" si="5"/>
        <v>N</v>
      </c>
      <c r="X88" s="56"/>
      <c r="Y88" s="56"/>
      <c r="Z88" s="56"/>
      <c r="AA88" s="56"/>
      <c r="AC88" s="56"/>
    </row>
    <row r="89" spans="1:29" x14ac:dyDescent="0.25">
      <c r="A89" s="35"/>
      <c r="B89" s="32" t="e">
        <f>VLOOKUP(A89,Relay!$A$1:$B$50,2,FALSE)</f>
        <v>#N/A</v>
      </c>
      <c r="C89" s="32" t="e">
        <f>VLOOKUP(A89,Relay!$A$2:$C$101,3,FALSE)</f>
        <v>#N/A</v>
      </c>
      <c r="D89" s="39"/>
      <c r="E89" s="35"/>
      <c r="F89" s="58" t="str">
        <f t="shared" si="3"/>
        <v>INS</v>
      </c>
      <c r="G89" s="32" t="e">
        <f>IF(OR(E89="Jeopardy",E89="APP Moonlighting",E89="Differential Pay"),"",Jan[[#This Row],[SysID]])</f>
        <v>#N/A</v>
      </c>
      <c r="H89" s="32" t="e">
        <f>IF(E89="Jeopardy",IF(C89="MD",Relay!$E$7,Relay!$E$8),IF(C89="MD",IF(COUNTIF(G:G,B89)&gt;1,Relay!$E$2,Relay!$E$1),IF(AND(COUNTIF(G:G,B89)&gt;1,COUNTA(A89)&gt;0),Relay!$E$5,Relay!$E$4)))</f>
        <v>#N/A</v>
      </c>
      <c r="I89" s="8">
        <f t="shared" si="4"/>
        <v>0</v>
      </c>
      <c r="J89" s="35"/>
      <c r="K89" s="35"/>
      <c r="L89" s="35"/>
      <c r="M89" s="35"/>
      <c r="N89" s="32" t="e">
        <f>IF(H89=Jan!$E$2,"N",IF(AND(COUNTIF(B:B,B89)=1,D89&gt;14),"Y","N"))</f>
        <v>#N/A</v>
      </c>
      <c r="O89" s="55" t="str">
        <f>IF(COUNT(Jan[[#This Row],[Date]])&gt;0,IF(Jan[[#This Row],[Date]]&gt;14,"Yes","No"),"N/A")</f>
        <v>N/A</v>
      </c>
      <c r="P89" s="55"/>
      <c r="Q89" s="5">
        <f>Relay!A88</f>
        <v>0</v>
      </c>
      <c r="R89" s="5">
        <f>Relay!B88</f>
        <v>87</v>
      </c>
      <c r="S89" s="8">
        <f>IF(Jan[After the 14th?]="No",SUMIF(Jan[SysID],R89,Jan[Pay Amount]),0)+IF(Dec[After the 14th?]="Yes",SUMIF(Dec[SysID],R89,Dec[Pay Amount]),0)</f>
        <v>0</v>
      </c>
      <c r="T89" s="8"/>
      <c r="U89" s="5" t="str">
        <f t="shared" si="5"/>
        <v>N</v>
      </c>
      <c r="X89" s="56"/>
      <c r="Y89" s="56"/>
      <c r="Z89" s="56"/>
      <c r="AA89" s="56"/>
      <c r="AC89" s="56"/>
    </row>
    <row r="90" spans="1:29" x14ac:dyDescent="0.25">
      <c r="A90" s="35"/>
      <c r="B90" s="32" t="e">
        <f>VLOOKUP(A90,Relay!$A$1:$B$50,2,FALSE)</f>
        <v>#N/A</v>
      </c>
      <c r="C90" s="32" t="e">
        <f>VLOOKUP(A90,Relay!$A$2:$C$101,3,FALSE)</f>
        <v>#N/A</v>
      </c>
      <c r="D90" s="39"/>
      <c r="E90" s="35"/>
      <c r="F90" s="58" t="str">
        <f t="shared" si="3"/>
        <v>INS</v>
      </c>
      <c r="G90" s="32" t="e">
        <f>IF(OR(E90="Jeopardy",E90="APP Moonlighting",E90="Differential Pay"),"",Jan[[#This Row],[SysID]])</f>
        <v>#N/A</v>
      </c>
      <c r="H90" s="32" t="e">
        <f>IF(E90="Jeopardy",IF(C90="MD",Relay!$E$7,Relay!$E$8),IF(C90="MD",IF(COUNTIF(G:G,B90)&gt;1,Relay!$E$2,Relay!$E$1),IF(AND(COUNTIF(G:G,B90)&gt;1,COUNTA(A90)&gt;0),Relay!$E$5,Relay!$E$4)))</f>
        <v>#N/A</v>
      </c>
      <c r="I90" s="8">
        <f t="shared" si="4"/>
        <v>0</v>
      </c>
      <c r="J90" s="35"/>
      <c r="K90" s="35"/>
      <c r="L90" s="35"/>
      <c r="M90" s="35"/>
      <c r="N90" s="32" t="e">
        <f>IF(H90=Jan!$E$2,"N",IF(AND(COUNTIF(B:B,B90)=1,D90&gt;14),"Y","N"))</f>
        <v>#N/A</v>
      </c>
      <c r="O90" s="55" t="str">
        <f>IF(COUNT(Jan[[#This Row],[Date]])&gt;0,IF(Jan[[#This Row],[Date]]&gt;14,"Yes","No"),"N/A")</f>
        <v>N/A</v>
      </c>
      <c r="P90" s="55"/>
      <c r="Q90" s="5">
        <f>Relay!A89</f>
        <v>0</v>
      </c>
      <c r="R90" s="5">
        <f>Relay!B89</f>
        <v>88</v>
      </c>
      <c r="S90" s="8">
        <f>IF(Jan[After the 14th?]="No",SUMIF(Jan[SysID],R90,Jan[Pay Amount]),0)+IF(Dec[After the 14th?]="Yes",SUMIF(Dec[SysID],R90,Dec[Pay Amount]),0)</f>
        <v>0</v>
      </c>
      <c r="T90" s="8"/>
      <c r="U90" s="5" t="str">
        <f t="shared" si="5"/>
        <v>N</v>
      </c>
      <c r="X90" s="56"/>
      <c r="Y90" s="56"/>
      <c r="Z90" s="56"/>
      <c r="AA90" s="56"/>
      <c r="AC90" s="56"/>
    </row>
    <row r="91" spans="1:29" x14ac:dyDescent="0.25">
      <c r="A91" s="35"/>
      <c r="B91" s="32" t="e">
        <f>VLOOKUP(A91,Relay!$A$1:$B$50,2,FALSE)</f>
        <v>#N/A</v>
      </c>
      <c r="C91" s="32" t="e">
        <f>VLOOKUP(A91,Relay!$A$2:$C$101,3,FALSE)</f>
        <v>#N/A</v>
      </c>
      <c r="D91" s="39"/>
      <c r="E91" s="35"/>
      <c r="F91" s="58" t="str">
        <f t="shared" si="3"/>
        <v>INS</v>
      </c>
      <c r="G91" s="32" t="e">
        <f>IF(OR(E91="Jeopardy",E91="APP Moonlighting",E91="Differential Pay"),"",Jan[[#This Row],[SysID]])</f>
        <v>#N/A</v>
      </c>
      <c r="H91" s="32" t="e">
        <f>IF(E91="Jeopardy",IF(C91="MD",Relay!$E$7,Relay!$E$8),IF(C91="MD",IF(COUNTIF(G:G,B91)&gt;1,Relay!$E$2,Relay!$E$1),IF(AND(COUNTIF(G:G,B91)&gt;1,COUNTA(A91)&gt;0),Relay!$E$5,Relay!$E$4)))</f>
        <v>#N/A</v>
      </c>
      <c r="I91" s="8">
        <f t="shared" si="4"/>
        <v>0</v>
      </c>
      <c r="J91" s="35"/>
      <c r="K91" s="35"/>
      <c r="L91" s="35"/>
      <c r="M91" s="35"/>
      <c r="N91" s="32" t="e">
        <f>IF(H91=Jan!$E$2,"N",IF(AND(COUNTIF(B:B,B91)=1,D91&gt;14),"Y","N"))</f>
        <v>#N/A</v>
      </c>
      <c r="O91" s="55" t="str">
        <f>IF(COUNT(Jan[[#This Row],[Date]])&gt;0,IF(Jan[[#This Row],[Date]]&gt;14,"Yes","No"),"N/A")</f>
        <v>N/A</v>
      </c>
      <c r="P91" s="55"/>
      <c r="Q91" s="5">
        <f>Relay!A90</f>
        <v>0</v>
      </c>
      <c r="R91" s="5">
        <f>Relay!B90</f>
        <v>89</v>
      </c>
      <c r="S91" s="8">
        <f>IF(Jan[After the 14th?]="No",SUMIF(Jan[SysID],R91,Jan[Pay Amount]),0)+IF(Dec[After the 14th?]="Yes",SUMIF(Dec[SysID],R91,Dec[Pay Amount]),0)</f>
        <v>0</v>
      </c>
      <c r="T91" s="8"/>
      <c r="U91" s="5" t="str">
        <f t="shared" si="5"/>
        <v>N</v>
      </c>
      <c r="X91" s="56"/>
      <c r="Y91" s="56"/>
      <c r="Z91" s="56"/>
      <c r="AA91" s="56"/>
      <c r="AC91" s="56"/>
    </row>
    <row r="92" spans="1:29" x14ac:dyDescent="0.25">
      <c r="A92" s="35"/>
      <c r="B92" s="32" t="e">
        <f>VLOOKUP(A92,Relay!$A$1:$B$50,2,FALSE)</f>
        <v>#N/A</v>
      </c>
      <c r="C92" s="32" t="e">
        <f>VLOOKUP(A92,Relay!$A$2:$C$101,3,FALSE)</f>
        <v>#N/A</v>
      </c>
      <c r="D92" s="39"/>
      <c r="E92" s="35"/>
      <c r="F92" s="58" t="str">
        <f t="shared" si="3"/>
        <v>INS</v>
      </c>
      <c r="G92" s="32" t="e">
        <f>IF(OR(E92="Jeopardy",E92="APP Moonlighting",E92="Differential Pay"),"",Jan[[#This Row],[SysID]])</f>
        <v>#N/A</v>
      </c>
      <c r="H92" s="32" t="e">
        <f>IF(E92="Jeopardy",IF(C92="MD",Relay!$E$7,Relay!$E$8),IF(C92="MD",IF(COUNTIF(G:G,B92)&gt;1,Relay!$E$2,Relay!$E$1),IF(AND(COUNTIF(G:G,B92)&gt;1,COUNTA(A92)&gt;0),Relay!$E$5,Relay!$E$4)))</f>
        <v>#N/A</v>
      </c>
      <c r="I92" s="8">
        <f t="shared" si="4"/>
        <v>0</v>
      </c>
      <c r="J92" s="35"/>
      <c r="K92" s="35"/>
      <c r="L92" s="35"/>
      <c r="M92" s="35"/>
      <c r="N92" s="32" t="e">
        <f>IF(H92=Jan!$E$2,"N",IF(AND(COUNTIF(B:B,B92)=1,D92&gt;14),"Y","N"))</f>
        <v>#N/A</v>
      </c>
      <c r="O92" s="55" t="str">
        <f>IF(COUNT(Jan[[#This Row],[Date]])&gt;0,IF(Jan[[#This Row],[Date]]&gt;14,"Yes","No"),"N/A")</f>
        <v>N/A</v>
      </c>
      <c r="P92" s="55"/>
      <c r="Q92" s="5">
        <f>Relay!A91</f>
        <v>0</v>
      </c>
      <c r="R92" s="5">
        <f>Relay!B91</f>
        <v>90</v>
      </c>
      <c r="S92" s="8">
        <f>IF(Jan[After the 14th?]="No",SUMIF(Jan[SysID],R92,Jan[Pay Amount]),0)+IF(Dec[After the 14th?]="Yes",SUMIF(Dec[SysID],R92,Dec[Pay Amount]),0)</f>
        <v>0</v>
      </c>
      <c r="T92" s="8"/>
      <c r="U92" s="5" t="str">
        <f t="shared" si="5"/>
        <v>N</v>
      </c>
      <c r="X92" s="56"/>
      <c r="Y92" s="56"/>
      <c r="Z92" s="56"/>
      <c r="AA92" s="56"/>
      <c r="AC92" s="56"/>
    </row>
    <row r="93" spans="1:29" x14ac:dyDescent="0.25">
      <c r="A93" s="35"/>
      <c r="B93" s="32" t="e">
        <f>VLOOKUP(A93,Relay!$A$1:$B$50,2,FALSE)</f>
        <v>#N/A</v>
      </c>
      <c r="C93" s="32" t="e">
        <f>VLOOKUP(A93,Relay!$A$2:$C$101,3,FALSE)</f>
        <v>#N/A</v>
      </c>
      <c r="D93" s="39"/>
      <c r="E93" s="35"/>
      <c r="F93" s="58" t="str">
        <f t="shared" si="3"/>
        <v>INS</v>
      </c>
      <c r="G93" s="32" t="e">
        <f>IF(OR(E93="Jeopardy",E93="APP Moonlighting",E93="Differential Pay"),"",Jan[[#This Row],[SysID]])</f>
        <v>#N/A</v>
      </c>
      <c r="H93" s="32" t="e">
        <f>IF(E93="Jeopardy",IF(C93="MD",Relay!$E$7,Relay!$E$8),IF(C93="MD",IF(COUNTIF(G:G,B93)&gt;1,Relay!$E$2,Relay!$E$1),IF(AND(COUNTIF(G:G,B93)&gt;1,COUNTA(A93)&gt;0),Relay!$E$5,Relay!$E$4)))</f>
        <v>#N/A</v>
      </c>
      <c r="I93" s="8">
        <f t="shared" si="4"/>
        <v>0</v>
      </c>
      <c r="J93" s="35"/>
      <c r="K93" s="35"/>
      <c r="L93" s="35"/>
      <c r="M93" s="35"/>
      <c r="N93" s="32" t="e">
        <f>IF(H93=Jan!$E$2,"N",IF(AND(COUNTIF(B:B,B93)=1,D93&gt;14),"Y","N"))</f>
        <v>#N/A</v>
      </c>
      <c r="O93" s="55" t="str">
        <f>IF(COUNT(Jan[[#This Row],[Date]])&gt;0,IF(Jan[[#This Row],[Date]]&gt;14,"Yes","No"),"N/A")</f>
        <v>N/A</v>
      </c>
      <c r="P93" s="55"/>
      <c r="Q93" s="5">
        <f>Relay!A92</f>
        <v>0</v>
      </c>
      <c r="R93" s="5">
        <f>Relay!B92</f>
        <v>91</v>
      </c>
      <c r="S93" s="8">
        <f>IF(Jan[After the 14th?]="No",SUMIF(Jan[SysID],R93,Jan[Pay Amount]),0)+IF(Dec[After the 14th?]="Yes",SUMIF(Dec[SysID],R93,Dec[Pay Amount]),0)</f>
        <v>0</v>
      </c>
      <c r="T93" s="8"/>
      <c r="U93" s="5" t="str">
        <f t="shared" si="5"/>
        <v>N</v>
      </c>
      <c r="X93" s="56"/>
      <c r="Y93" s="56"/>
      <c r="Z93" s="56"/>
      <c r="AA93" s="56"/>
      <c r="AC93" s="56"/>
    </row>
    <row r="94" spans="1:29" x14ac:dyDescent="0.25">
      <c r="A94" s="35"/>
      <c r="B94" s="32" t="e">
        <f>VLOOKUP(A94,Relay!$A$1:$B$50,2,FALSE)</f>
        <v>#N/A</v>
      </c>
      <c r="C94" s="32" t="e">
        <f>VLOOKUP(A94,Relay!$A$2:$C$101,3,FALSE)</f>
        <v>#N/A</v>
      </c>
      <c r="D94" s="39"/>
      <c r="E94" s="35"/>
      <c r="F94" s="58" t="str">
        <f t="shared" si="3"/>
        <v>INS</v>
      </c>
      <c r="G94" s="32" t="e">
        <f>IF(OR(E94="Jeopardy",E94="APP Moonlighting",E94="Differential Pay"),"",Jan[[#This Row],[SysID]])</f>
        <v>#N/A</v>
      </c>
      <c r="H94" s="32" t="e">
        <f>IF(E94="Jeopardy",IF(C94="MD",Relay!$E$7,Relay!$E$8),IF(C94="MD",IF(COUNTIF(G:G,B94)&gt;1,Relay!$E$2,Relay!$E$1),IF(AND(COUNTIF(G:G,B94)&gt;1,COUNTA(A94)&gt;0),Relay!$E$5,Relay!$E$4)))</f>
        <v>#N/A</v>
      </c>
      <c r="I94" s="8">
        <f t="shared" si="4"/>
        <v>0</v>
      </c>
      <c r="J94" s="35"/>
      <c r="K94" s="35"/>
      <c r="L94" s="35"/>
      <c r="M94" s="35"/>
      <c r="N94" s="32" t="e">
        <f>IF(H94=Jan!$E$2,"N",IF(AND(COUNTIF(B:B,B94)=1,D94&gt;14),"Y","N"))</f>
        <v>#N/A</v>
      </c>
      <c r="O94" s="55" t="str">
        <f>IF(COUNT(Jan[[#This Row],[Date]])&gt;0,IF(Jan[[#This Row],[Date]]&gt;14,"Yes","No"),"N/A")</f>
        <v>N/A</v>
      </c>
      <c r="P94" s="55"/>
      <c r="Q94" s="5">
        <f>Relay!A93</f>
        <v>0</v>
      </c>
      <c r="R94" s="5">
        <f>Relay!B93</f>
        <v>92</v>
      </c>
      <c r="S94" s="8">
        <f>IF(Jan[After the 14th?]="No",SUMIF(Jan[SysID],R94,Jan[Pay Amount]),0)+IF(Dec[After the 14th?]="Yes",SUMIF(Dec[SysID],R94,Dec[Pay Amount]),0)</f>
        <v>0</v>
      </c>
      <c r="T94" s="8"/>
      <c r="U94" s="5" t="str">
        <f t="shared" si="5"/>
        <v>N</v>
      </c>
      <c r="X94" s="56"/>
      <c r="Y94" s="56"/>
      <c r="Z94" s="56"/>
      <c r="AA94" s="56"/>
      <c r="AC94" s="56"/>
    </row>
    <row r="95" spans="1:29" x14ac:dyDescent="0.25">
      <c r="A95" s="35"/>
      <c r="B95" s="32" t="e">
        <f>VLOOKUP(A95,Relay!$A$1:$B$50,2,FALSE)</f>
        <v>#N/A</v>
      </c>
      <c r="C95" s="32" t="e">
        <f>VLOOKUP(A95,Relay!$A$2:$C$101,3,FALSE)</f>
        <v>#N/A</v>
      </c>
      <c r="D95" s="39"/>
      <c r="E95" s="35"/>
      <c r="F95" s="58" t="str">
        <f t="shared" si="3"/>
        <v>INS</v>
      </c>
      <c r="G95" s="32" t="e">
        <f>IF(OR(E95="Jeopardy",E95="APP Moonlighting",E95="Differential Pay"),"",Jan[[#This Row],[SysID]])</f>
        <v>#N/A</v>
      </c>
      <c r="H95" s="32" t="e">
        <f>IF(E95="Jeopardy",IF(C95="MD",Relay!$E$7,Relay!$E$8),IF(C95="MD",IF(COUNTIF(G:G,B95)&gt;1,Relay!$E$2,Relay!$E$1),IF(AND(COUNTIF(G:G,B95)&gt;1,COUNTA(A95)&gt;0),Relay!$E$5,Relay!$E$4)))</f>
        <v>#N/A</v>
      </c>
      <c r="I95" s="8">
        <f t="shared" si="4"/>
        <v>0</v>
      </c>
      <c r="J95" s="35"/>
      <c r="K95" s="35"/>
      <c r="L95" s="35"/>
      <c r="M95" s="35"/>
      <c r="N95" s="32" t="e">
        <f>IF(H95=Jan!$E$2,"N",IF(AND(COUNTIF(B:B,B95)=1,D95&gt;14),"Y","N"))</f>
        <v>#N/A</v>
      </c>
      <c r="O95" s="55" t="str">
        <f>IF(COUNT(Jan[[#This Row],[Date]])&gt;0,IF(Jan[[#This Row],[Date]]&gt;14,"Yes","No"),"N/A")</f>
        <v>N/A</v>
      </c>
      <c r="P95" s="55"/>
      <c r="Q95" s="5">
        <f>Relay!A94</f>
        <v>0</v>
      </c>
      <c r="R95" s="5">
        <f>Relay!B94</f>
        <v>93</v>
      </c>
      <c r="S95" s="8">
        <f>IF(Jan[After the 14th?]="No",SUMIF(Jan[SysID],R95,Jan[Pay Amount]),0)+IF(Dec[After the 14th?]="Yes",SUMIF(Dec[SysID],R95,Dec[Pay Amount]),0)</f>
        <v>0</v>
      </c>
      <c r="T95" s="8"/>
      <c r="U95" s="5" t="str">
        <f t="shared" si="5"/>
        <v>N</v>
      </c>
      <c r="X95" s="56"/>
      <c r="Y95" s="56"/>
      <c r="Z95" s="56"/>
      <c r="AA95" s="56"/>
      <c r="AC95" s="56"/>
    </row>
    <row r="96" spans="1:29" x14ac:dyDescent="0.25">
      <c r="A96" s="35"/>
      <c r="B96" s="32" t="e">
        <f>VLOOKUP(A96,Relay!$A$1:$B$50,2,FALSE)</f>
        <v>#N/A</v>
      </c>
      <c r="C96" s="32" t="e">
        <f>VLOOKUP(A96,Relay!$A$2:$C$101,3,FALSE)</f>
        <v>#N/A</v>
      </c>
      <c r="D96" s="39"/>
      <c r="E96" s="35"/>
      <c r="F96" s="58" t="str">
        <f t="shared" si="3"/>
        <v>INS</v>
      </c>
      <c r="G96" s="32" t="e">
        <f>IF(OR(E96="Jeopardy",E96="APP Moonlighting",E96="Differential Pay"),"",Jan[[#This Row],[SysID]])</f>
        <v>#N/A</v>
      </c>
      <c r="H96" s="32" t="e">
        <f>IF(E96="Jeopardy",IF(C96="MD",Relay!$E$7,Relay!$E$8),IF(C96="MD",IF(COUNTIF(G:G,B96)&gt;1,Relay!$E$2,Relay!$E$1),IF(AND(COUNTIF(G:G,B96)&gt;1,COUNTA(A96)&gt;0),Relay!$E$5,Relay!$E$4)))</f>
        <v>#N/A</v>
      </c>
      <c r="I96" s="8">
        <f t="shared" si="4"/>
        <v>0</v>
      </c>
      <c r="J96" s="35"/>
      <c r="K96" s="35"/>
      <c r="L96" s="35"/>
      <c r="M96" s="35"/>
      <c r="N96" s="32" t="e">
        <f>IF(H96=Jan!$E$2,"N",IF(AND(COUNTIF(B:B,B96)=1,D96&gt;14),"Y","N"))</f>
        <v>#N/A</v>
      </c>
      <c r="O96" s="55" t="str">
        <f>IF(COUNT(Jan[[#This Row],[Date]])&gt;0,IF(Jan[[#This Row],[Date]]&gt;14,"Yes","No"),"N/A")</f>
        <v>N/A</v>
      </c>
      <c r="P96" s="55"/>
      <c r="Q96" s="5">
        <f>Relay!A95</f>
        <v>0</v>
      </c>
      <c r="R96" s="5">
        <f>Relay!B95</f>
        <v>94</v>
      </c>
      <c r="S96" s="8">
        <f>IF(Jan[After the 14th?]="No",SUMIF(Jan[SysID],R96,Jan[Pay Amount]),0)+IF(Dec[After the 14th?]="Yes",SUMIF(Dec[SysID],R96,Dec[Pay Amount]),0)</f>
        <v>0</v>
      </c>
      <c r="T96" s="8"/>
      <c r="U96" s="5" t="str">
        <f t="shared" si="5"/>
        <v>N</v>
      </c>
      <c r="X96" s="56"/>
      <c r="Y96" s="56"/>
      <c r="Z96" s="56"/>
      <c r="AA96" s="56"/>
      <c r="AC96" s="56"/>
    </row>
    <row r="97" spans="1:29" x14ac:dyDescent="0.25">
      <c r="A97" s="35"/>
      <c r="B97" s="32" t="e">
        <f>VLOOKUP(A97,Relay!$A$1:$B$50,2,FALSE)</f>
        <v>#N/A</v>
      </c>
      <c r="C97" s="32" t="e">
        <f>VLOOKUP(A97,Relay!$A$2:$C$101,3,FALSE)</f>
        <v>#N/A</v>
      </c>
      <c r="D97" s="39"/>
      <c r="E97" s="35"/>
      <c r="F97" s="58" t="str">
        <f t="shared" si="3"/>
        <v>INS</v>
      </c>
      <c r="G97" s="32" t="e">
        <f>IF(OR(E97="Jeopardy",E97="APP Moonlighting",E97="Differential Pay"),"",Jan[[#This Row],[SysID]])</f>
        <v>#N/A</v>
      </c>
      <c r="H97" s="32" t="e">
        <f>IF(E97="Jeopardy",IF(C97="MD",Relay!$E$7,Relay!$E$8),IF(C97="MD",IF(COUNTIF(G:G,B97)&gt;1,Relay!$E$2,Relay!$E$1),IF(AND(COUNTIF(G:G,B97)&gt;1,COUNTA(A97)&gt;0),Relay!$E$5,Relay!$E$4)))</f>
        <v>#N/A</v>
      </c>
      <c r="I97" s="8">
        <f t="shared" si="4"/>
        <v>0</v>
      </c>
      <c r="J97" s="35"/>
      <c r="K97" s="35"/>
      <c r="L97" s="35"/>
      <c r="M97" s="35"/>
      <c r="N97" s="32" t="e">
        <f>IF(H97=Jan!$E$2,"N",IF(AND(COUNTIF(B:B,B97)=1,D97&gt;14),"Y","N"))</f>
        <v>#N/A</v>
      </c>
      <c r="O97" s="55" t="str">
        <f>IF(COUNT(Jan[[#This Row],[Date]])&gt;0,IF(Jan[[#This Row],[Date]]&gt;14,"Yes","No"),"N/A")</f>
        <v>N/A</v>
      </c>
      <c r="P97" s="55"/>
      <c r="Q97" s="5">
        <f>Relay!A96</f>
        <v>0</v>
      </c>
      <c r="R97" s="5">
        <f>Relay!B96</f>
        <v>95</v>
      </c>
      <c r="S97" s="8">
        <f>IF(Jan[After the 14th?]="No",SUMIF(Jan[SysID],R97,Jan[Pay Amount]),0)+IF(Dec[After the 14th?]="Yes",SUMIF(Dec[SysID],R97,Dec[Pay Amount]),0)</f>
        <v>0</v>
      </c>
      <c r="T97" s="8"/>
      <c r="U97" s="5" t="str">
        <f t="shared" si="5"/>
        <v>N</v>
      </c>
      <c r="X97" s="56"/>
      <c r="Y97" s="56"/>
      <c r="Z97" s="56"/>
      <c r="AA97" s="56"/>
      <c r="AC97" s="56"/>
    </row>
    <row r="98" spans="1:29" x14ac:dyDescent="0.25">
      <c r="A98" s="35"/>
      <c r="B98" s="32" t="e">
        <f>VLOOKUP(A98,Relay!$A$1:$B$50,2,FALSE)</f>
        <v>#N/A</v>
      </c>
      <c r="C98" s="32" t="e">
        <f>VLOOKUP(A98,Relay!$A$2:$C$101,3,FALSE)</f>
        <v>#N/A</v>
      </c>
      <c r="D98" s="39"/>
      <c r="E98" s="35"/>
      <c r="F98" s="58" t="str">
        <f t="shared" si="3"/>
        <v>INS</v>
      </c>
      <c r="G98" s="32" t="e">
        <f>IF(OR(E98="Jeopardy",E98="APP Moonlighting",E98="Differential Pay"),"",Jan[[#This Row],[SysID]])</f>
        <v>#N/A</v>
      </c>
      <c r="H98" s="32" t="e">
        <f>IF(E98="Jeopardy",IF(C98="MD",Relay!$E$7,Relay!$E$8),IF(C98="MD",IF(COUNTIF(G:G,B98)&gt;1,Relay!$E$2,Relay!$E$1),IF(AND(COUNTIF(G:G,B98)&gt;1,COUNTA(A98)&gt;0),Relay!$E$5,Relay!$E$4)))</f>
        <v>#N/A</v>
      </c>
      <c r="I98" s="8">
        <f t="shared" si="4"/>
        <v>0</v>
      </c>
      <c r="J98" s="35"/>
      <c r="K98" s="35"/>
      <c r="L98" s="35"/>
      <c r="M98" s="35"/>
      <c r="N98" s="32" t="e">
        <f>IF(H98=Jan!$E$2,"N",IF(AND(COUNTIF(B:B,B98)=1,D98&gt;14),"Y","N"))</f>
        <v>#N/A</v>
      </c>
      <c r="O98" s="55" t="str">
        <f>IF(COUNT(Jan[[#This Row],[Date]])&gt;0,IF(Jan[[#This Row],[Date]]&gt;14,"Yes","No"),"N/A")</f>
        <v>N/A</v>
      </c>
      <c r="P98" s="55"/>
      <c r="Q98" s="5">
        <f>Relay!A97</f>
        <v>0</v>
      </c>
      <c r="R98" s="5">
        <f>Relay!B97</f>
        <v>96</v>
      </c>
      <c r="S98" s="8">
        <f>IF(Jan[After the 14th?]="No",SUMIF(Jan[SysID],R98,Jan[Pay Amount]),0)+IF(Dec[After the 14th?]="Yes",SUMIF(Dec[SysID],R98,Dec[Pay Amount]),0)</f>
        <v>0</v>
      </c>
      <c r="T98" s="8"/>
      <c r="U98" s="5" t="str">
        <f t="shared" si="5"/>
        <v>N</v>
      </c>
      <c r="X98" s="56"/>
      <c r="Y98" s="56"/>
      <c r="Z98" s="56"/>
      <c r="AA98" s="56"/>
      <c r="AC98" s="56"/>
    </row>
    <row r="99" spans="1:29" x14ac:dyDescent="0.25">
      <c r="A99" s="35"/>
      <c r="B99" s="32" t="e">
        <f>VLOOKUP(A99,Relay!$A$1:$B$50,2,FALSE)</f>
        <v>#N/A</v>
      </c>
      <c r="C99" s="32" t="e">
        <f>VLOOKUP(A99,Relay!$A$2:$C$101,3,FALSE)</f>
        <v>#N/A</v>
      </c>
      <c r="D99" s="39"/>
      <c r="E99" s="35"/>
      <c r="F99" s="58" t="str">
        <f t="shared" si="3"/>
        <v>INS</v>
      </c>
      <c r="G99" s="32" t="e">
        <f>IF(OR(E99="Jeopardy",E99="APP Moonlighting",E99="Differential Pay"),"",Jan[[#This Row],[SysID]])</f>
        <v>#N/A</v>
      </c>
      <c r="H99" s="32" t="e">
        <f>IF(E99="Jeopardy",IF(C99="MD",Relay!$E$7,Relay!$E$8),IF(C99="MD",IF(COUNTIF(G:G,B99)&gt;1,Relay!$E$2,Relay!$E$1),IF(AND(COUNTIF(G:G,B99)&gt;1,COUNTA(A99)&gt;0),Relay!$E$5,Relay!$E$4)))</f>
        <v>#N/A</v>
      </c>
      <c r="I99" s="8">
        <f t="shared" si="4"/>
        <v>0</v>
      </c>
      <c r="J99" s="35"/>
      <c r="K99" s="35"/>
      <c r="L99" s="35"/>
      <c r="M99" s="35"/>
      <c r="N99" s="32" t="e">
        <f>IF(H99=Jan!$E$2,"N",IF(AND(COUNTIF(B:B,B99)=1,D99&gt;14),"Y","N"))</f>
        <v>#N/A</v>
      </c>
      <c r="O99" s="55" t="str">
        <f>IF(COUNT(Jan[[#This Row],[Date]])&gt;0,IF(Jan[[#This Row],[Date]]&gt;14,"Yes","No"),"N/A")</f>
        <v>N/A</v>
      </c>
      <c r="P99" s="55"/>
      <c r="Q99" s="5">
        <f>Relay!A98</f>
        <v>0</v>
      </c>
      <c r="R99" s="5">
        <f>Relay!B98</f>
        <v>97</v>
      </c>
      <c r="S99" s="8">
        <f>IF(Jan[After the 14th?]="No",SUMIF(Jan[SysID],R99,Jan[Pay Amount]),0)+IF(Dec[After the 14th?]="Yes",SUMIF(Dec[SysID],R99,Dec[Pay Amount]),0)</f>
        <v>0</v>
      </c>
      <c r="T99" s="8"/>
      <c r="U99" s="5" t="str">
        <f t="shared" si="5"/>
        <v>N</v>
      </c>
      <c r="X99" s="56"/>
      <c r="Y99" s="56"/>
      <c r="Z99" s="56"/>
      <c r="AA99" s="56"/>
      <c r="AC99" s="56"/>
    </row>
    <row r="100" spans="1:29" x14ac:dyDescent="0.25">
      <c r="A100" s="35"/>
      <c r="B100" s="32" t="e">
        <f>VLOOKUP(A100,Relay!$A$1:$B$50,2,FALSE)</f>
        <v>#N/A</v>
      </c>
      <c r="C100" s="32" t="e">
        <f>VLOOKUP(A100,Relay!$A$2:$C$101,3,FALSE)</f>
        <v>#N/A</v>
      </c>
      <c r="D100" s="39"/>
      <c r="E100" s="35"/>
      <c r="F100" s="58" t="str">
        <f t="shared" si="3"/>
        <v>INS</v>
      </c>
      <c r="G100" s="32" t="e">
        <f>IF(OR(E100="Jeopardy",E100="APP Moonlighting",E100="Differential Pay"),"",Jan[[#This Row],[SysID]])</f>
        <v>#N/A</v>
      </c>
      <c r="H100" s="32" t="e">
        <f>IF(E100="Jeopardy",IF(C100="MD",Relay!$E$7,Relay!$E$8),IF(C100="MD",IF(COUNTIF(G:G,B100)&gt;1,Relay!$E$2,Relay!$E$1),IF(AND(COUNTIF(G:G,B100)&gt;1,COUNTA(A100)&gt;0),Relay!$E$5,Relay!$E$4)))</f>
        <v>#N/A</v>
      </c>
      <c r="I100" s="8">
        <f t="shared" si="4"/>
        <v>0</v>
      </c>
      <c r="J100" s="35"/>
      <c r="K100" s="35"/>
      <c r="L100" s="35"/>
      <c r="M100" s="35"/>
      <c r="N100" s="32" t="e">
        <f>IF(H100=Jan!$E$2,"N",IF(AND(COUNTIF(B:B,B100)=1,D100&gt;14),"Y","N"))</f>
        <v>#N/A</v>
      </c>
      <c r="O100" s="55" t="str">
        <f>IF(COUNT(Jan[[#This Row],[Date]])&gt;0,IF(Jan[[#This Row],[Date]]&gt;14,"Yes","No"),"N/A")</f>
        <v>N/A</v>
      </c>
      <c r="P100" s="55"/>
      <c r="Q100" s="5">
        <f>Relay!A99</f>
        <v>0</v>
      </c>
      <c r="R100" s="5">
        <f>Relay!B99</f>
        <v>98</v>
      </c>
      <c r="S100" s="8">
        <f>IF(Jan[After the 14th?]="No",SUMIF(Jan[SysID],R100,Jan[Pay Amount]),0)+IF(Dec[After the 14th?]="Yes",SUMIF(Dec[SysID],R100,Dec[Pay Amount]),0)</f>
        <v>0</v>
      </c>
      <c r="T100" s="8"/>
      <c r="U100" s="5" t="str">
        <f t="shared" si="5"/>
        <v>N</v>
      </c>
      <c r="X100" s="56"/>
      <c r="Y100" s="56"/>
      <c r="Z100" s="56"/>
      <c r="AA100" s="56"/>
      <c r="AC100" s="56"/>
    </row>
    <row r="101" spans="1:29" x14ac:dyDescent="0.25">
      <c r="A101" s="35"/>
      <c r="B101" s="32" t="e">
        <f>VLOOKUP(A101,Relay!$A$1:$B$50,2,FALSE)</f>
        <v>#N/A</v>
      </c>
      <c r="C101" s="32" t="e">
        <f>VLOOKUP(A101,Relay!$A$2:$C$101,3,FALSE)</f>
        <v>#N/A</v>
      </c>
      <c r="D101" s="39"/>
      <c r="E101" s="35"/>
      <c r="F101" s="58" t="str">
        <f t="shared" si="3"/>
        <v>INS</v>
      </c>
      <c r="G101" s="32" t="e">
        <f>IF(OR(E101="Jeopardy",E101="APP Moonlighting",E101="Differential Pay"),"",Jan[[#This Row],[SysID]])</f>
        <v>#N/A</v>
      </c>
      <c r="H101" s="32" t="e">
        <f>IF(E101="Jeopardy",IF(C101="MD",Relay!$E$7,Relay!$E$8),IF(C101="MD",IF(COUNTIF(G:G,B101)&gt;1,Relay!$E$2,Relay!$E$1),IF(AND(COUNTIF(G:G,B101)&gt;1,COUNTA(A101)&gt;0),Relay!$E$5,Relay!$E$4)))</f>
        <v>#N/A</v>
      </c>
      <c r="I101" s="8">
        <f t="shared" si="4"/>
        <v>0</v>
      </c>
      <c r="J101" s="35"/>
      <c r="K101" s="35"/>
      <c r="L101" s="35"/>
      <c r="M101" s="35"/>
      <c r="N101" s="32" t="e">
        <f>IF(H101=Jan!$E$2,"N",IF(AND(COUNTIF(B:B,B101)=1,D101&gt;14),"Y","N"))</f>
        <v>#N/A</v>
      </c>
      <c r="O101" s="55" t="str">
        <f>IF(COUNT(Jan[[#This Row],[Date]])&gt;0,IF(Jan[[#This Row],[Date]]&gt;14,"Yes","No"),"N/A")</f>
        <v>N/A</v>
      </c>
      <c r="P101" s="55"/>
      <c r="Q101" s="5">
        <f>Relay!A100</f>
        <v>0</v>
      </c>
      <c r="R101" s="5">
        <f>Relay!B100</f>
        <v>99</v>
      </c>
      <c r="S101" s="8">
        <f>IF(Jan[After the 14th?]="No",SUMIF(Jan[SysID],R101,Jan[Pay Amount]),0)+IF(Dec[After the 14th?]="Yes",SUMIF(Dec[SysID],R101,Dec[Pay Amount]),0)</f>
        <v>0</v>
      </c>
      <c r="T101" s="8"/>
      <c r="U101" s="5" t="str">
        <f t="shared" si="5"/>
        <v>N</v>
      </c>
      <c r="X101" s="56"/>
      <c r="Y101" s="56"/>
      <c r="Z101" s="56"/>
      <c r="AA101" s="56"/>
      <c r="AC101" s="56"/>
    </row>
    <row r="102" spans="1:29" x14ac:dyDescent="0.25">
      <c r="A102" s="35"/>
      <c r="B102" s="32" t="e">
        <f>VLOOKUP(A102,Relay!$A$1:$B$50,2,FALSE)</f>
        <v>#N/A</v>
      </c>
      <c r="C102" s="32" t="e">
        <f>VLOOKUP(A102,Relay!$A$2:$C$101,3,FALSE)</f>
        <v>#N/A</v>
      </c>
      <c r="D102" s="39"/>
      <c r="E102" s="35"/>
      <c r="F102" s="58" t="str">
        <f t="shared" si="3"/>
        <v>INS</v>
      </c>
      <c r="G102" s="32" t="e">
        <f>IF(OR(E102="Jeopardy",E102="APP Moonlighting",E102="Differential Pay"),"",Jan[[#This Row],[SysID]])</f>
        <v>#N/A</v>
      </c>
      <c r="H102" s="32" t="e">
        <f>IF(E102="Jeopardy",IF(C102="MD",Relay!$E$7,Relay!$E$8),IF(C102="MD",IF(COUNTIF(G:G,B102)&gt;1,Relay!$E$2,Relay!$E$1),IF(AND(COUNTIF(G:G,B102)&gt;1,COUNTA(A102)&gt;0),Relay!$E$5,Relay!$E$4)))</f>
        <v>#N/A</v>
      </c>
      <c r="I102" s="8">
        <f t="shared" si="4"/>
        <v>0</v>
      </c>
      <c r="J102" s="35"/>
      <c r="K102" s="35"/>
      <c r="L102" s="35"/>
      <c r="M102" s="35"/>
      <c r="N102" s="32" t="e">
        <f>IF(H102=Jan!$E$2,"N",IF(AND(COUNTIF(B:B,B102)=1,D102&gt;14),"Y","N"))</f>
        <v>#N/A</v>
      </c>
      <c r="O102" s="55" t="str">
        <f>IF(COUNT(Jan[[#This Row],[Date]])&gt;0,IF(Jan[[#This Row],[Date]]&gt;14,"Yes","No"),"N/A")</f>
        <v>N/A</v>
      </c>
      <c r="P102" s="55"/>
      <c r="Q102" s="5">
        <f>Relay!A101</f>
        <v>0</v>
      </c>
      <c r="R102" s="5">
        <f>Relay!B101</f>
        <v>100</v>
      </c>
      <c r="S102" s="8">
        <f>IF(Jan[After the 14th?]="No",SUMIF(Jan[SysID],R102,Jan[Pay Amount]),0)+IF(Dec[After the 14th?]="Yes",SUMIF(Dec[SysID],R102,Dec[Pay Amount]),0)</f>
        <v>0</v>
      </c>
      <c r="T102" s="8"/>
      <c r="U102" s="5" t="str">
        <f t="shared" si="5"/>
        <v>N</v>
      </c>
      <c r="X102" s="56"/>
      <c r="Y102" s="56"/>
      <c r="Z102" s="56"/>
      <c r="AA102" s="56"/>
      <c r="AC102" s="56"/>
    </row>
    <row r="103" spans="1:29" x14ac:dyDescent="0.25">
      <c r="A103" s="35"/>
      <c r="B103" s="32" t="e">
        <f>VLOOKUP(A103,Relay!$A$1:$B$50,2,FALSE)</f>
        <v>#N/A</v>
      </c>
      <c r="C103" s="32" t="e">
        <f>VLOOKUP(A103,Relay!$A$2:$C$101,3,FALSE)</f>
        <v>#N/A</v>
      </c>
      <c r="D103" s="39"/>
      <c r="E103" s="35"/>
      <c r="F103" s="58" t="str">
        <f t="shared" si="3"/>
        <v>INS</v>
      </c>
      <c r="G103" s="32" t="e">
        <f>IF(OR(E103="Jeopardy",E103="APP Moonlighting",E103="Differential Pay"),"",Jan[[#This Row],[SysID]])</f>
        <v>#N/A</v>
      </c>
      <c r="H103" s="32" t="e">
        <f>IF(E103="Jeopardy",IF(C103="MD",Relay!$E$7,Relay!$E$8),IF(C103="MD",IF(COUNTIF(G:G,B103)&gt;1,Relay!$E$2,Relay!$E$1),IF(AND(COUNTIF(G:G,B103)&gt;1,COUNTA(A103)&gt;0),Relay!$E$5,Relay!$E$4)))</f>
        <v>#N/A</v>
      </c>
      <c r="I103" s="8">
        <f t="shared" si="4"/>
        <v>0</v>
      </c>
      <c r="J103" s="35"/>
      <c r="K103" s="35"/>
      <c r="L103" s="35"/>
      <c r="M103" s="35"/>
      <c r="N103" s="32" t="e">
        <f>IF(H103=Jan!$E$2,"N",IF(AND(COUNTIF(B:B,B103)=1,D103&gt;14),"Y","N"))</f>
        <v>#N/A</v>
      </c>
      <c r="O103" s="55" t="str">
        <f>IF(COUNT(Jan[[#This Row],[Date]])&gt;0,IF(Jan[[#This Row],[Date]]&gt;14,"Yes","No"),"N/A")</f>
        <v>N/A</v>
      </c>
      <c r="P103" s="55"/>
      <c r="Q103">
        <f>Relay!A102</f>
        <v>0</v>
      </c>
      <c r="R103">
        <f>Relay!B102</f>
        <v>0</v>
      </c>
      <c r="S103" s="9">
        <f>IF(Jan[After the 14th?]="No",SUMIF(Jan[SysID],R103,Jan[Pay Amount]),0)+IF(Dec[After the 14th?]="Yes",SUMIF(Dec[SysID],R103,Dec[Pay Amount]),0)</f>
        <v>0</v>
      </c>
      <c r="U103" s="5" t="str">
        <f t="shared" si="5"/>
        <v>N</v>
      </c>
      <c r="X103" s="56"/>
      <c r="Y103" s="56"/>
      <c r="Z103" s="56"/>
      <c r="AA103" s="56"/>
      <c r="AC103" s="56"/>
    </row>
  </sheetData>
  <conditionalFormatting sqref="N1:N1048576">
    <cfRule type="containsText" dxfId="239" priority="6" operator="containsText" text="Y">
      <formula>NOT(ISERROR(SEARCH("Y",N1)))</formula>
    </cfRule>
  </conditionalFormatting>
  <conditionalFormatting sqref="F1:G1048576">
    <cfRule type="containsText" dxfId="238" priority="5" operator="containsText" text="INS">
      <formula>NOT(ISERROR(SEARCH("INS",F1)))</formula>
    </cfRule>
  </conditionalFormatting>
  <conditionalFormatting sqref="O1:O1048576">
    <cfRule type="containsText" dxfId="237" priority="2" operator="containsText" text="yes">
      <formula>NOT(ISERROR(SEARCH("yes",O1)))</formula>
    </cfRule>
    <cfRule type="containsText" dxfId="236" priority="3" operator="containsText" text="no">
      <formula>NOT(ISERROR(SEARCH("no",O1)))</formula>
    </cfRule>
    <cfRule type="containsText" dxfId="235" priority="4" operator="containsText" text="/">
      <formula>NOT(ISERROR(SEARCH("/",O1)))</formula>
    </cfRule>
  </conditionalFormatting>
  <conditionalFormatting sqref="U1:U1048576">
    <cfRule type="containsText" dxfId="234" priority="1" operator="containsText" text="Y">
      <formula>NOT(ISERROR(SEARCH("Y",U1)))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Relay!$D$11:$D$16</xm:f>
          </x14:formula1>
          <xm:sqref>E3:E103</xm:sqref>
        </x14:dataValidation>
        <x14:dataValidation type="list" allowBlank="1" showInputMessage="1" showErrorMessage="1">
          <x14:formula1>
            <xm:f>Relay!$A$2:$A$101</xm:f>
          </x14:formula1>
          <xm:sqref>A3:A103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103"/>
  <sheetViews>
    <sheetView workbookViewId="0">
      <selection activeCell="B1" sqref="B1:B1048576"/>
    </sheetView>
  </sheetViews>
  <sheetFormatPr defaultRowHeight="15" x14ac:dyDescent="0.25"/>
  <cols>
    <col min="1" max="1" width="21.7109375" style="36" customWidth="1"/>
    <col min="2" max="2" width="9.140625" hidden="1" customWidth="1"/>
    <col min="3" max="3" width="12.85546875" bestFit="1" customWidth="1"/>
    <col min="4" max="4" width="10.7109375" style="40" bestFit="1" customWidth="1"/>
    <col min="5" max="5" width="12.85546875" style="36" bestFit="1" customWidth="1"/>
    <col min="6" max="6" width="12.85546875" style="36" customWidth="1"/>
    <col min="7" max="7" width="12.85546875" customWidth="1"/>
    <col min="8" max="8" width="10.7109375" customWidth="1"/>
    <col min="9" max="9" width="15.5703125" style="9" bestFit="1" customWidth="1"/>
    <col min="10" max="10" width="9.140625" style="36" customWidth="1"/>
    <col min="11" max="11" width="13.140625" style="36" bestFit="1" customWidth="1"/>
    <col min="12" max="12" width="15.5703125" style="36" bestFit="1" customWidth="1"/>
    <col min="13" max="13" width="14.140625" style="36" bestFit="1" customWidth="1"/>
    <col min="14" max="14" width="19.5703125" hidden="1" customWidth="1"/>
    <col min="15" max="16" width="17" customWidth="1"/>
    <col min="17" max="17" width="16.42578125" customWidth="1"/>
    <col min="19" max="19" width="15" style="9" bestFit="1" customWidth="1"/>
    <col min="20" max="20" width="16.28515625" style="9" bestFit="1" customWidth="1"/>
    <col min="21" max="21" width="9.140625" style="5"/>
    <col min="22" max="22" width="14.28515625" bestFit="1" customWidth="1"/>
    <col min="23" max="23" width="21.7109375" customWidth="1"/>
    <col min="27" max="27" width="12.85546875" bestFit="1" customWidth="1"/>
    <col min="28" max="28" width="9" style="9" bestFit="1" customWidth="1"/>
    <col min="29" max="29" width="8.42578125" bestFit="1" customWidth="1"/>
    <col min="30" max="30" width="10.42578125" style="9" bestFit="1" customWidth="1"/>
  </cols>
  <sheetData>
    <row r="1" spans="1:30" s="3" customFormat="1" x14ac:dyDescent="0.25">
      <c r="A1" s="33" t="s">
        <v>56</v>
      </c>
      <c r="D1" s="37"/>
      <c r="E1" s="41"/>
      <c r="F1" s="41"/>
      <c r="I1" s="6"/>
      <c r="J1" s="41"/>
      <c r="K1" s="41"/>
      <c r="L1" s="41"/>
      <c r="M1" s="41"/>
      <c r="Q1" s="2" t="s">
        <v>14</v>
      </c>
      <c r="S1" s="6"/>
      <c r="T1" s="6"/>
      <c r="U1" s="71"/>
      <c r="V1" s="2"/>
      <c r="AB1" s="6"/>
      <c r="AD1" s="6"/>
    </row>
    <row r="2" spans="1:30" x14ac:dyDescent="0.25">
      <c r="A2" s="34" t="s">
        <v>3</v>
      </c>
      <c r="B2" s="4" t="s">
        <v>2</v>
      </c>
      <c r="C2" s="4" t="s">
        <v>4</v>
      </c>
      <c r="D2" s="38" t="s">
        <v>1</v>
      </c>
      <c r="E2" s="34" t="s">
        <v>5</v>
      </c>
      <c r="F2" s="34" t="s">
        <v>6</v>
      </c>
      <c r="G2" s="4" t="s">
        <v>35</v>
      </c>
      <c r="H2" s="4" t="s">
        <v>7</v>
      </c>
      <c r="I2" s="7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11" t="s">
        <v>13</v>
      </c>
      <c r="O2" s="4" t="s">
        <v>70</v>
      </c>
      <c r="P2" s="4"/>
      <c r="Q2" s="5" t="s">
        <v>69</v>
      </c>
      <c r="R2" s="5" t="s">
        <v>2</v>
      </c>
      <c r="S2" s="8" t="s">
        <v>71</v>
      </c>
      <c r="T2" s="8" t="s">
        <v>16</v>
      </c>
      <c r="U2" s="5" t="s">
        <v>13</v>
      </c>
    </row>
    <row r="3" spans="1:30" x14ac:dyDescent="0.25">
      <c r="A3" s="35"/>
      <c r="B3" s="5" t="e">
        <f>VLOOKUP(A3,Relay!$A$1:$B$50,2,FALSE)</f>
        <v>#N/A</v>
      </c>
      <c r="C3" s="5" t="e">
        <f>VLOOKUP(A3,Relay!$A$2:$C$51,3,FALSE)</f>
        <v>#N/A</v>
      </c>
      <c r="D3" s="39"/>
      <c r="E3" s="35"/>
      <c r="F3" s="35" t="str">
        <f t="shared" ref="F3:F66" si="0">IF(E3="Moonlighting", 12, "INS")</f>
        <v>INS</v>
      </c>
      <c r="G3" s="5" t="e">
        <f>IF(OR(E3="Jeopardy",E3="APP Moonlighting",E3="Differential Pay"),"",Feb[[#This Row],[SysID]])</f>
        <v>#N/A</v>
      </c>
      <c r="H3" s="5" t="e">
        <f>IF(E3="Jeopardy",IF(C3="MD",Relay!$E$7,Relay!$E$8),IF(C3="MD",IF(COUNTIF(G:G,B3)&gt;1,Relay!$E$2,Relay!$E$1),IF(AND(COUNTIF(G:G,B3)&gt;1,COUNTA(A3)&gt;0),Relay!$E$5,Relay!$E$4)))</f>
        <v>#N/A</v>
      </c>
      <c r="I3" s="8">
        <f t="shared" ref="I3:I66" si="1">IF(COUNTA(A3)&gt;0,H3*F3,0)</f>
        <v>0</v>
      </c>
      <c r="J3" s="35"/>
      <c r="K3" s="35"/>
      <c r="L3" s="35"/>
      <c r="M3" s="35"/>
      <c r="N3" s="10" t="e">
        <f>IF(H3=Feb!$E$2,"N",IF(AND(COUNTIF(B:B,B3)=1,D3&gt;14),"Y","N"))</f>
        <v>#N/A</v>
      </c>
      <c r="O3" s="55" t="str">
        <f>IF(COUNT(Feb[[#This Row],[Date]])&gt;0,IF(Feb[[#This Row],[Date]]&gt;14,"Yes","No"),"N/A")</f>
        <v>N/A</v>
      </c>
      <c r="P3" s="55"/>
      <c r="Q3" s="5">
        <f>Relay!A2</f>
        <v>0</v>
      </c>
      <c r="R3" s="5">
        <f>Relay!B2</f>
        <v>1</v>
      </c>
      <c r="S3" s="8">
        <f>IF(Feb[After the 14th?]="No",SUMIF(Feb[SysID],R3,Feb[Pay Amount]),0)+IF(Jan[After the 14th?]="Yes",SUMIF(Jan[SysID],R3,Jan[Pay Amount]),0)</f>
        <v>0</v>
      </c>
      <c r="T3" s="8"/>
      <c r="U3" s="5" t="str">
        <f t="shared" ref="U3:U66" si="2">IF(S3=T3,"N","Y")</f>
        <v>N</v>
      </c>
      <c r="V3" s="57"/>
      <c r="W3" s="57"/>
      <c r="X3" s="56"/>
      <c r="Y3" s="56"/>
      <c r="Z3" s="56"/>
      <c r="AA3" s="56"/>
      <c r="AC3" s="56"/>
    </row>
    <row r="4" spans="1:30" x14ac:dyDescent="0.25">
      <c r="A4" s="35"/>
      <c r="B4" s="5" t="e">
        <f>VLOOKUP(A4,Relay!$A$1:$B$50,2,FALSE)</f>
        <v>#N/A</v>
      </c>
      <c r="C4" s="5" t="e">
        <f>VLOOKUP(A4,Relay!$A$2:$C$51,3,FALSE)</f>
        <v>#N/A</v>
      </c>
      <c r="D4" s="39"/>
      <c r="E4" s="35"/>
      <c r="F4" s="35" t="str">
        <f t="shared" si="0"/>
        <v>INS</v>
      </c>
      <c r="G4" s="5" t="e">
        <f>IF(OR(E4="Jeopardy",E4="APP Moonlighting",E4="Differential Pay"),"",Feb[[#This Row],[SysID]])</f>
        <v>#N/A</v>
      </c>
      <c r="H4" s="5" t="e">
        <f>IF(E4="Jeopardy",IF(C4="MD",Relay!$E$7,Relay!$E$8),IF(C4="MD",IF(COUNTIF(G:G,B4)&gt;1,Relay!$E$2,Relay!$E$1),IF(AND(COUNTIF(G:G,B4)&gt;1,COUNTA(A4)&gt;0),Relay!$E$5,Relay!$E$4)))</f>
        <v>#N/A</v>
      </c>
      <c r="I4" s="8">
        <f t="shared" si="1"/>
        <v>0</v>
      </c>
      <c r="J4" s="35"/>
      <c r="K4" s="35"/>
      <c r="L4" s="35"/>
      <c r="M4" s="35"/>
      <c r="N4" s="10" t="e">
        <f>IF(H4=Feb!$E$2,"N",IF(AND(COUNTIF(B:B,B4)=1,D4&gt;14),"Y","N"))</f>
        <v>#N/A</v>
      </c>
      <c r="O4" s="55" t="str">
        <f>IF(COUNT(Feb[[#This Row],[Date]])&gt;0,IF(Feb[[#This Row],[Date]]&gt;14,"Yes","No"),"N/A")</f>
        <v>N/A</v>
      </c>
      <c r="P4" s="55"/>
      <c r="Q4" s="5">
        <f>Relay!A3</f>
        <v>0</v>
      </c>
      <c r="R4" s="5">
        <f>Relay!B3</f>
        <v>2</v>
      </c>
      <c r="S4" s="8">
        <f>IF(Feb[After the 14th?]="No",SUMIF(Feb[SysID],R4,Feb[Pay Amount]),0)+IF(Jan[After the 14th?]="Yes",SUMIF(Jan[SysID],R4,Jan[Pay Amount]),0)</f>
        <v>0</v>
      </c>
      <c r="T4" s="8"/>
      <c r="U4" s="5" t="str">
        <f t="shared" si="2"/>
        <v>N</v>
      </c>
      <c r="X4" s="56"/>
      <c r="Y4" s="56"/>
      <c r="Z4" s="56"/>
      <c r="AA4" s="56"/>
      <c r="AC4" s="56"/>
    </row>
    <row r="5" spans="1:30" x14ac:dyDescent="0.25">
      <c r="A5" s="35"/>
      <c r="B5" s="5" t="e">
        <f>VLOOKUP(A5,Relay!$A$1:$B$50,2,FALSE)</f>
        <v>#N/A</v>
      </c>
      <c r="C5" s="5" t="e">
        <f>VLOOKUP(A5,Relay!$A$2:$C$51,3,FALSE)</f>
        <v>#N/A</v>
      </c>
      <c r="D5" s="39"/>
      <c r="E5" s="35"/>
      <c r="F5" s="35" t="str">
        <f t="shared" si="0"/>
        <v>INS</v>
      </c>
      <c r="G5" s="5" t="e">
        <f>IF(OR(E5="Jeopardy",E5="APP Moonlighting",E5="Differential Pay"),"",Feb[[#This Row],[SysID]])</f>
        <v>#N/A</v>
      </c>
      <c r="H5" s="5" t="e">
        <f>IF(E5="Jeopardy",IF(C5="MD",Relay!$E$7,Relay!$E$8),IF(C5="MD",IF(COUNTIF(G:G,B5)&gt;1,Relay!$E$2,Relay!$E$1),IF(AND(COUNTIF(G:G,B5)&gt;1,COUNTA(A5)&gt;0),Relay!$E$5,Relay!$E$4)))</f>
        <v>#N/A</v>
      </c>
      <c r="I5" s="8">
        <f t="shared" si="1"/>
        <v>0</v>
      </c>
      <c r="J5" s="35"/>
      <c r="K5" s="35"/>
      <c r="L5" s="35"/>
      <c r="M5" s="35"/>
      <c r="N5" s="10" t="e">
        <f>IF(H5=Feb!$E$2,"N",IF(AND(COUNTIF(B:B,B5)=1,D5&gt;14),"Y","N"))</f>
        <v>#N/A</v>
      </c>
      <c r="O5" s="55" t="str">
        <f>IF(COUNT(Feb[[#This Row],[Date]])&gt;0,IF(Feb[[#This Row],[Date]]&gt;14,"Yes","No"),"N/A")</f>
        <v>N/A</v>
      </c>
      <c r="P5" s="55"/>
      <c r="Q5" s="5">
        <f>Relay!A4</f>
        <v>0</v>
      </c>
      <c r="R5" s="5">
        <f>Relay!B4</f>
        <v>3</v>
      </c>
      <c r="S5" s="8">
        <f>IF(Feb[After the 14th?]="No",SUMIF(Feb[SysID],R5,Feb[Pay Amount]),0)+IF(Jan[After the 14th?]="Yes",SUMIF(Jan[SysID],R5,Jan[Pay Amount]),0)</f>
        <v>0</v>
      </c>
      <c r="T5" s="8"/>
      <c r="U5" s="5" t="str">
        <f t="shared" si="2"/>
        <v>N</v>
      </c>
      <c r="X5" s="56"/>
      <c r="Y5" s="56"/>
      <c r="Z5" s="56"/>
      <c r="AA5" s="56"/>
      <c r="AC5" s="56"/>
    </row>
    <row r="6" spans="1:30" x14ac:dyDescent="0.25">
      <c r="A6" s="35"/>
      <c r="B6" s="5" t="e">
        <f>VLOOKUP(A6,Relay!$A$1:$B$50,2,FALSE)</f>
        <v>#N/A</v>
      </c>
      <c r="C6" s="5" t="e">
        <f>VLOOKUP(A6,Relay!$A$2:$C$51,3,FALSE)</f>
        <v>#N/A</v>
      </c>
      <c r="D6" s="39"/>
      <c r="E6" s="35"/>
      <c r="F6" s="35" t="str">
        <f t="shared" si="0"/>
        <v>INS</v>
      </c>
      <c r="G6" s="5" t="e">
        <f>IF(OR(E6="Jeopardy",E6="APP Moonlighting",E6="Differential Pay"),"",Feb[[#This Row],[SysID]])</f>
        <v>#N/A</v>
      </c>
      <c r="H6" s="5" t="e">
        <f>IF(E6="Jeopardy",IF(C6="MD",Relay!$E$7,Relay!$E$8),IF(C6="MD",IF(COUNTIF(G:G,B6)&gt;1,Relay!$E$2,Relay!$E$1),IF(AND(COUNTIF(G:G,B6)&gt;1,COUNTA(A6)&gt;0),Relay!$E$5,Relay!$E$4)))</f>
        <v>#N/A</v>
      </c>
      <c r="I6" s="8">
        <f t="shared" si="1"/>
        <v>0</v>
      </c>
      <c r="J6" s="35"/>
      <c r="K6" s="35"/>
      <c r="L6" s="35"/>
      <c r="M6" s="35"/>
      <c r="N6" s="10" t="e">
        <f>IF(H6=Feb!$E$2,"N",IF(AND(COUNTIF(B:B,B6)=1,D6&gt;14),"Y","N"))</f>
        <v>#N/A</v>
      </c>
      <c r="O6" s="55" t="str">
        <f>IF(COUNT(Feb[[#This Row],[Date]])&gt;0,IF(Feb[[#This Row],[Date]]&gt;14,"Yes","No"),"N/A")</f>
        <v>N/A</v>
      </c>
      <c r="P6" s="55"/>
      <c r="Q6" s="5">
        <f>Relay!A5</f>
        <v>0</v>
      </c>
      <c r="R6" s="5">
        <f>Relay!B5</f>
        <v>4</v>
      </c>
      <c r="S6" s="8">
        <f>IF(Feb[After the 14th?]="No",SUMIF(Feb[SysID],R6,Feb[Pay Amount]),0)+IF(Jan[After the 14th?]="Yes",SUMIF(Jan[SysID],R6,Jan[Pay Amount]),0)</f>
        <v>0</v>
      </c>
      <c r="T6" s="8"/>
      <c r="U6" s="5" t="str">
        <f t="shared" si="2"/>
        <v>N</v>
      </c>
      <c r="X6" s="56"/>
      <c r="Y6" s="56"/>
      <c r="Z6" s="56"/>
      <c r="AA6" s="56"/>
      <c r="AC6" s="56"/>
    </row>
    <row r="7" spans="1:30" x14ac:dyDescent="0.25">
      <c r="A7" s="35"/>
      <c r="B7" s="5" t="e">
        <f>VLOOKUP(A7,Relay!$A$1:$B$50,2,FALSE)</f>
        <v>#N/A</v>
      </c>
      <c r="C7" s="5" t="e">
        <f>VLOOKUP(A7,Relay!$A$2:$C$51,3,FALSE)</f>
        <v>#N/A</v>
      </c>
      <c r="D7" s="39"/>
      <c r="E7" s="35"/>
      <c r="F7" s="35" t="str">
        <f t="shared" si="0"/>
        <v>INS</v>
      </c>
      <c r="G7" s="5" t="e">
        <f>IF(OR(E7="Jeopardy",E7="APP Moonlighting",E7="Differential Pay"),"",Feb[[#This Row],[SysID]])</f>
        <v>#N/A</v>
      </c>
      <c r="H7" s="5" t="e">
        <f>IF(E7="Jeopardy",IF(C7="MD",Relay!$E$7,Relay!$E$8),IF(C7="MD",IF(COUNTIF(G:G,B7)&gt;1,Relay!$E$2,Relay!$E$1),IF(AND(COUNTIF(G:G,B7)&gt;1,COUNTA(A7)&gt;0),Relay!$E$5,Relay!$E$4)))</f>
        <v>#N/A</v>
      </c>
      <c r="I7" s="8">
        <f t="shared" si="1"/>
        <v>0</v>
      </c>
      <c r="J7" s="35"/>
      <c r="K7" s="35"/>
      <c r="L7" s="35"/>
      <c r="M7" s="35"/>
      <c r="N7" s="10" t="e">
        <f>IF(H7=Feb!$E$2,"N",IF(AND(COUNTIF(B:B,B7)=1,D7&gt;14),"Y","N"))</f>
        <v>#N/A</v>
      </c>
      <c r="O7" s="55" t="str">
        <f>IF(COUNT(Feb[[#This Row],[Date]])&gt;0,IF(Feb[[#This Row],[Date]]&gt;14,"Yes","No"),"N/A")</f>
        <v>N/A</v>
      </c>
      <c r="P7" s="55"/>
      <c r="Q7" s="5">
        <f>Relay!A6</f>
        <v>0</v>
      </c>
      <c r="R7" s="5">
        <f>Relay!B6</f>
        <v>5</v>
      </c>
      <c r="S7" s="8">
        <f>IF(Feb[After the 14th?]="No",SUMIF(Feb[SysID],R7,Feb[Pay Amount]),0)+IF(Jan[After the 14th?]="Yes",SUMIF(Jan[SysID],R7,Jan[Pay Amount]),0)</f>
        <v>0</v>
      </c>
      <c r="T7" s="8"/>
      <c r="U7" s="5" t="str">
        <f t="shared" si="2"/>
        <v>N</v>
      </c>
      <c r="X7" s="56"/>
      <c r="Y7" s="56"/>
      <c r="Z7" s="56"/>
      <c r="AA7" s="56"/>
      <c r="AC7" s="56"/>
    </row>
    <row r="8" spans="1:30" x14ac:dyDescent="0.25">
      <c r="A8" s="35"/>
      <c r="B8" s="5" t="e">
        <f>VLOOKUP(A8,Relay!$A$1:$B$50,2,FALSE)</f>
        <v>#N/A</v>
      </c>
      <c r="C8" s="5" t="e">
        <f>VLOOKUP(A8,Relay!$A$2:$C$51,3,FALSE)</f>
        <v>#N/A</v>
      </c>
      <c r="D8" s="39"/>
      <c r="E8" s="35"/>
      <c r="F8" s="35" t="str">
        <f t="shared" si="0"/>
        <v>INS</v>
      </c>
      <c r="G8" s="5" t="e">
        <f>IF(OR(E8="Jeopardy",E8="APP Moonlighting",E8="Differential Pay"),"",Feb[[#This Row],[SysID]])</f>
        <v>#N/A</v>
      </c>
      <c r="H8" s="5" t="e">
        <f>IF(E8="Jeopardy",IF(C8="MD",Relay!$E$7,Relay!$E$8),IF(C8="MD",IF(COUNTIF(G:G,B8)&gt;1,Relay!$E$2,Relay!$E$1),IF(AND(COUNTIF(G:G,B8)&gt;1,COUNTA(A8)&gt;0),Relay!$E$5,Relay!$E$4)))</f>
        <v>#N/A</v>
      </c>
      <c r="I8" s="8">
        <f t="shared" si="1"/>
        <v>0</v>
      </c>
      <c r="J8" s="35"/>
      <c r="K8" s="35"/>
      <c r="L8" s="35"/>
      <c r="M8" s="35"/>
      <c r="N8" s="10" t="e">
        <f>IF(H8=Feb!$E$2,"N",IF(AND(COUNTIF(B:B,B8)=1,D8&gt;14),"Y","N"))</f>
        <v>#N/A</v>
      </c>
      <c r="O8" s="55" t="str">
        <f>IF(COUNT(Feb[[#This Row],[Date]])&gt;0,IF(Feb[[#This Row],[Date]]&gt;14,"Yes","No"),"N/A")</f>
        <v>N/A</v>
      </c>
      <c r="P8" s="55"/>
      <c r="Q8" s="5">
        <f>Relay!A7</f>
        <v>0</v>
      </c>
      <c r="R8" s="5">
        <f>Relay!B7</f>
        <v>6</v>
      </c>
      <c r="S8" s="8">
        <f>IF(Feb[After the 14th?]="No",SUMIF(Feb[SysID],R8,Feb[Pay Amount]),0)+IF(Jan[After the 14th?]="Yes",SUMIF(Jan[SysID],R8,Jan[Pay Amount]),0)</f>
        <v>0</v>
      </c>
      <c r="T8" s="8"/>
      <c r="U8" s="5" t="str">
        <f t="shared" si="2"/>
        <v>N</v>
      </c>
      <c r="X8" s="56"/>
      <c r="Y8" s="56"/>
      <c r="Z8" s="56"/>
      <c r="AA8" s="56"/>
      <c r="AC8" s="56"/>
    </row>
    <row r="9" spans="1:30" x14ac:dyDescent="0.25">
      <c r="A9" s="35"/>
      <c r="B9" s="5" t="e">
        <f>VLOOKUP(A9,Relay!$A$1:$B$50,2,FALSE)</f>
        <v>#N/A</v>
      </c>
      <c r="C9" s="5" t="e">
        <f>VLOOKUP(A9,Relay!$A$2:$C$51,3,FALSE)</f>
        <v>#N/A</v>
      </c>
      <c r="D9" s="39"/>
      <c r="E9" s="35"/>
      <c r="F9" s="35" t="str">
        <f t="shared" si="0"/>
        <v>INS</v>
      </c>
      <c r="G9" s="5" t="e">
        <f>IF(OR(E9="Jeopardy",E9="APP Moonlighting",E9="Differential Pay"),"",Feb[[#This Row],[SysID]])</f>
        <v>#N/A</v>
      </c>
      <c r="H9" s="5" t="e">
        <f>IF(E9="Jeopardy",IF(C9="MD",Relay!$E$7,Relay!$E$8),IF(C9="MD",IF(COUNTIF(G:G,B9)&gt;1,Relay!$E$2,Relay!$E$1),IF(AND(COUNTIF(G:G,B9)&gt;1,COUNTA(A9)&gt;0),Relay!$E$5,Relay!$E$4)))</f>
        <v>#N/A</v>
      </c>
      <c r="I9" s="8">
        <f t="shared" si="1"/>
        <v>0</v>
      </c>
      <c r="J9" s="35"/>
      <c r="K9" s="35"/>
      <c r="L9" s="35"/>
      <c r="M9" s="35"/>
      <c r="N9" s="10" t="e">
        <f>IF(H9=Feb!$E$2,"N",IF(AND(COUNTIF(B:B,B9)=1,D9&gt;14),"Y","N"))</f>
        <v>#N/A</v>
      </c>
      <c r="O9" s="55" t="str">
        <f>IF(COUNT(Feb[[#This Row],[Date]])&gt;0,IF(Feb[[#This Row],[Date]]&gt;14,"Yes","No"),"N/A")</f>
        <v>N/A</v>
      </c>
      <c r="P9" s="55"/>
      <c r="Q9" s="5">
        <f>Relay!A8</f>
        <v>0</v>
      </c>
      <c r="R9" s="5">
        <f>Relay!B8</f>
        <v>7</v>
      </c>
      <c r="S9" s="8">
        <f>IF(Feb[After the 14th?]="No",SUMIF(Feb[SysID],R9,Feb[Pay Amount]),0)+IF(Jan[After the 14th?]="Yes",SUMIF(Jan[SysID],R9,Jan[Pay Amount]),0)</f>
        <v>0</v>
      </c>
      <c r="T9" s="8"/>
      <c r="U9" s="5" t="str">
        <f t="shared" si="2"/>
        <v>N</v>
      </c>
      <c r="X9" s="56"/>
      <c r="Y9" s="56"/>
      <c r="Z9" s="56"/>
      <c r="AA9" s="56"/>
      <c r="AC9" s="56"/>
    </row>
    <row r="10" spans="1:30" x14ac:dyDescent="0.25">
      <c r="A10" s="35"/>
      <c r="B10" s="5" t="e">
        <f>VLOOKUP(A10,Relay!$A$1:$B$50,2,FALSE)</f>
        <v>#N/A</v>
      </c>
      <c r="C10" s="5" t="e">
        <f>VLOOKUP(A10,Relay!$A$2:$C$51,3,FALSE)</f>
        <v>#N/A</v>
      </c>
      <c r="D10" s="39"/>
      <c r="E10" s="35"/>
      <c r="F10" s="35" t="str">
        <f t="shared" si="0"/>
        <v>INS</v>
      </c>
      <c r="G10" s="5" t="e">
        <f>IF(OR(E10="Jeopardy",E10="APP Moonlighting",E10="Differential Pay"),"",Feb[[#This Row],[SysID]])</f>
        <v>#N/A</v>
      </c>
      <c r="H10" s="5" t="e">
        <f>IF(E10="Jeopardy",IF(C10="MD",Relay!$E$7,Relay!$E$8),IF(C10="MD",IF(COUNTIF(G:G,B10)&gt;1,Relay!$E$2,Relay!$E$1),IF(AND(COUNTIF(G:G,B10)&gt;1,COUNTA(A10)&gt;0),Relay!$E$5,Relay!$E$4)))</f>
        <v>#N/A</v>
      </c>
      <c r="I10" s="8">
        <f t="shared" si="1"/>
        <v>0</v>
      </c>
      <c r="J10" s="35"/>
      <c r="K10" s="35"/>
      <c r="L10" s="35"/>
      <c r="M10" s="35"/>
      <c r="N10" s="10" t="e">
        <f>IF(H10=Feb!$E$2,"N",IF(AND(COUNTIF(B:B,B10)=1,D10&gt;14),"Y","N"))</f>
        <v>#N/A</v>
      </c>
      <c r="O10" s="55" t="str">
        <f>IF(COUNT(Feb[[#This Row],[Date]])&gt;0,IF(Feb[[#This Row],[Date]]&gt;14,"Yes","No"),"N/A")</f>
        <v>N/A</v>
      </c>
      <c r="P10" s="55"/>
      <c r="Q10" s="5">
        <f>Relay!A9</f>
        <v>0</v>
      </c>
      <c r="R10" s="5">
        <f>Relay!B9</f>
        <v>8</v>
      </c>
      <c r="S10" s="8">
        <f>IF(Feb[After the 14th?]="No",SUMIF(Feb[SysID],R10,Feb[Pay Amount]),0)+IF(Jan[After the 14th?]="Yes",SUMIF(Jan[SysID],R10,Jan[Pay Amount]),0)</f>
        <v>0</v>
      </c>
      <c r="T10" s="8"/>
      <c r="U10" s="5" t="str">
        <f t="shared" si="2"/>
        <v>N</v>
      </c>
      <c r="X10" s="56"/>
      <c r="Y10" s="56"/>
      <c r="Z10" s="56"/>
      <c r="AA10" s="56"/>
      <c r="AC10" s="56"/>
    </row>
    <row r="11" spans="1:30" x14ac:dyDescent="0.25">
      <c r="A11" s="35"/>
      <c r="B11" s="5" t="e">
        <f>VLOOKUP(A11,Relay!$A$1:$B$50,2,FALSE)</f>
        <v>#N/A</v>
      </c>
      <c r="C11" s="5" t="e">
        <f>VLOOKUP(A11,Relay!$A$2:$C$51,3,FALSE)</f>
        <v>#N/A</v>
      </c>
      <c r="D11" s="39"/>
      <c r="E11" s="35"/>
      <c r="F11" s="35" t="str">
        <f t="shared" si="0"/>
        <v>INS</v>
      </c>
      <c r="G11" s="5" t="e">
        <f>IF(OR(E11="Jeopardy",E11="APP Moonlighting",E11="Differential Pay"),"",Feb[[#This Row],[SysID]])</f>
        <v>#N/A</v>
      </c>
      <c r="H11" s="5" t="e">
        <f>IF(E11="Jeopardy",IF(C11="MD",Relay!$E$7,Relay!$E$8),IF(C11="MD",IF(COUNTIF(G:G,B11)&gt;1,Relay!$E$2,Relay!$E$1),IF(AND(COUNTIF(G:G,B11)&gt;1,COUNTA(A11)&gt;0),Relay!$E$5,Relay!$E$4)))</f>
        <v>#N/A</v>
      </c>
      <c r="I11" s="8">
        <f t="shared" si="1"/>
        <v>0</v>
      </c>
      <c r="J11" s="35"/>
      <c r="K11" s="35"/>
      <c r="L11" s="35"/>
      <c r="M11" s="35"/>
      <c r="N11" s="10" t="e">
        <f>IF(H11=Feb!$E$2,"N",IF(AND(COUNTIF(B:B,B11)=1,D11&gt;14),"Y","N"))</f>
        <v>#N/A</v>
      </c>
      <c r="O11" s="55" t="str">
        <f>IF(COUNT(Feb[[#This Row],[Date]])&gt;0,IF(Feb[[#This Row],[Date]]&gt;14,"Yes","No"),"N/A")</f>
        <v>N/A</v>
      </c>
      <c r="P11" s="55"/>
      <c r="Q11" s="5">
        <f>Relay!A10</f>
        <v>0</v>
      </c>
      <c r="R11" s="5">
        <f>Relay!B10</f>
        <v>9</v>
      </c>
      <c r="S11" s="8">
        <f>IF(Feb[After the 14th?]="No",SUMIF(Feb[SysID],R11,Feb[Pay Amount]),0)+IF(Jan[After the 14th?]="Yes",SUMIF(Jan[SysID],R11,Jan[Pay Amount]),0)</f>
        <v>0</v>
      </c>
      <c r="T11" s="8"/>
      <c r="U11" s="5" t="str">
        <f t="shared" si="2"/>
        <v>N</v>
      </c>
      <c r="X11" s="56"/>
      <c r="Y11" s="56"/>
      <c r="Z11" s="56"/>
      <c r="AA11" s="56"/>
      <c r="AC11" s="56"/>
    </row>
    <row r="12" spans="1:30" x14ac:dyDescent="0.25">
      <c r="A12" s="35"/>
      <c r="B12" s="5" t="e">
        <f>VLOOKUP(A12,Relay!$A$1:$B$50,2,FALSE)</f>
        <v>#N/A</v>
      </c>
      <c r="C12" s="5" t="e">
        <f>VLOOKUP(A12,Relay!$A$2:$C$51,3,FALSE)</f>
        <v>#N/A</v>
      </c>
      <c r="D12" s="39"/>
      <c r="E12" s="35"/>
      <c r="F12" s="35" t="str">
        <f t="shared" si="0"/>
        <v>INS</v>
      </c>
      <c r="G12" s="5" t="e">
        <f>IF(OR(E12="Jeopardy",E12="APP Moonlighting",E12="Differential Pay"),"",Feb[[#This Row],[SysID]])</f>
        <v>#N/A</v>
      </c>
      <c r="H12" s="5" t="e">
        <f>IF(E12="Jeopardy",IF(C12="MD",Relay!$E$7,Relay!$E$8),IF(C12="MD",IF(COUNTIF(G:G,B12)&gt;1,Relay!$E$2,Relay!$E$1),IF(AND(COUNTIF(G:G,B12)&gt;1,COUNTA(A12)&gt;0),Relay!$E$5,Relay!$E$4)))</f>
        <v>#N/A</v>
      </c>
      <c r="I12" s="8">
        <f t="shared" si="1"/>
        <v>0</v>
      </c>
      <c r="J12" s="35"/>
      <c r="K12" s="35"/>
      <c r="L12" s="35"/>
      <c r="M12" s="35"/>
      <c r="N12" s="10" t="e">
        <f>IF(H12=Feb!$E$2,"N",IF(AND(COUNTIF(B:B,B12)=1,D12&gt;14),"Y","N"))</f>
        <v>#N/A</v>
      </c>
      <c r="O12" s="55" t="str">
        <f>IF(COUNT(Feb[[#This Row],[Date]])&gt;0,IF(Feb[[#This Row],[Date]]&gt;14,"Yes","No"),"N/A")</f>
        <v>N/A</v>
      </c>
      <c r="P12" s="55"/>
      <c r="Q12" s="5">
        <f>Relay!A11</f>
        <v>0</v>
      </c>
      <c r="R12" s="5">
        <f>Relay!B11</f>
        <v>10</v>
      </c>
      <c r="S12" s="8">
        <f>IF(Feb[After the 14th?]="No",SUMIF(Feb[SysID],R12,Feb[Pay Amount]),0)+IF(Jan[After the 14th?]="Yes",SUMIF(Jan[SysID],R12,Jan[Pay Amount]),0)</f>
        <v>0</v>
      </c>
      <c r="T12" s="8"/>
      <c r="U12" s="5" t="str">
        <f t="shared" si="2"/>
        <v>N</v>
      </c>
      <c r="X12" s="56"/>
      <c r="Y12" s="56"/>
      <c r="Z12" s="56"/>
      <c r="AA12" s="56"/>
      <c r="AC12" s="56"/>
    </row>
    <row r="13" spans="1:30" x14ac:dyDescent="0.25">
      <c r="A13" s="35"/>
      <c r="B13" s="5" t="e">
        <f>VLOOKUP(A13,Relay!$A$1:$B$50,2,FALSE)</f>
        <v>#N/A</v>
      </c>
      <c r="C13" s="5" t="e">
        <f>VLOOKUP(A13,Relay!$A$2:$C$51,3,FALSE)</f>
        <v>#N/A</v>
      </c>
      <c r="D13" s="39"/>
      <c r="E13" s="35"/>
      <c r="F13" s="35" t="str">
        <f t="shared" si="0"/>
        <v>INS</v>
      </c>
      <c r="G13" s="5" t="e">
        <f>IF(OR(E13="Jeopardy",E13="APP Moonlighting",E13="Differential Pay"),"",Feb[[#This Row],[SysID]])</f>
        <v>#N/A</v>
      </c>
      <c r="H13" s="5" t="e">
        <f>IF(E13="Jeopardy",IF(C13="MD",Relay!$E$7,Relay!$E$8),IF(C13="MD",IF(COUNTIF(G:G,B13)&gt;1,Relay!$E$2,Relay!$E$1),IF(AND(COUNTIF(G:G,B13)&gt;1,COUNTA(A13)&gt;0),Relay!$E$5,Relay!$E$4)))</f>
        <v>#N/A</v>
      </c>
      <c r="I13" s="8">
        <f t="shared" si="1"/>
        <v>0</v>
      </c>
      <c r="J13" s="35"/>
      <c r="K13" s="35"/>
      <c r="L13" s="35"/>
      <c r="M13" s="35"/>
      <c r="N13" s="10" t="e">
        <f>IF(H13=Feb!$E$2,"N",IF(AND(COUNTIF(B:B,B13)=1,D13&gt;14),"Y","N"))</f>
        <v>#N/A</v>
      </c>
      <c r="O13" s="55" t="str">
        <f>IF(COUNT(Feb[[#This Row],[Date]])&gt;0,IF(Feb[[#This Row],[Date]]&gt;14,"Yes","No"),"N/A")</f>
        <v>N/A</v>
      </c>
      <c r="P13" s="55"/>
      <c r="Q13" s="5">
        <f>Relay!A12</f>
        <v>0</v>
      </c>
      <c r="R13" s="5">
        <f>Relay!B12</f>
        <v>11</v>
      </c>
      <c r="S13" s="8">
        <f>IF(Feb[After the 14th?]="No",SUMIF(Feb[SysID],R13,Feb[Pay Amount]),0)+IF(Jan[After the 14th?]="Yes",SUMIF(Jan[SysID],R13,Jan[Pay Amount]),0)</f>
        <v>0</v>
      </c>
      <c r="T13" s="8"/>
      <c r="U13" s="5" t="str">
        <f t="shared" si="2"/>
        <v>N</v>
      </c>
      <c r="X13" s="56"/>
      <c r="Y13" s="56"/>
      <c r="Z13" s="56"/>
      <c r="AA13" s="56"/>
      <c r="AC13" s="56"/>
    </row>
    <row r="14" spans="1:30" x14ac:dyDescent="0.25">
      <c r="A14" s="35"/>
      <c r="B14" s="5" t="e">
        <f>VLOOKUP(A14,Relay!$A$1:$B$50,2,FALSE)</f>
        <v>#N/A</v>
      </c>
      <c r="C14" s="5" t="e">
        <f>VLOOKUP(A14,Relay!$A$2:$C$51,3,FALSE)</f>
        <v>#N/A</v>
      </c>
      <c r="D14" s="39"/>
      <c r="E14" s="35"/>
      <c r="F14" s="35" t="str">
        <f t="shared" si="0"/>
        <v>INS</v>
      </c>
      <c r="G14" s="5" t="e">
        <f>IF(OR(E14="Jeopardy",E14="APP Moonlighting",E14="Differential Pay"),"",Feb[[#This Row],[SysID]])</f>
        <v>#N/A</v>
      </c>
      <c r="H14" s="5" t="e">
        <f>IF(E14="Jeopardy",IF(C14="MD",Relay!$E$7,Relay!$E$8),IF(C14="MD",IF(COUNTIF(G:G,B14)&gt;1,Relay!$E$2,Relay!$E$1),IF(AND(COUNTIF(G:G,B14)&gt;1,COUNTA(A14)&gt;0),Relay!$E$5,Relay!$E$4)))</f>
        <v>#N/A</v>
      </c>
      <c r="I14" s="8">
        <f t="shared" si="1"/>
        <v>0</v>
      </c>
      <c r="J14" s="35"/>
      <c r="K14" s="35"/>
      <c r="L14" s="35"/>
      <c r="M14" s="35"/>
      <c r="N14" s="10" t="e">
        <f>IF(H14=Feb!$E$2,"N",IF(AND(COUNTIF(B:B,B14)=1,D14&gt;14),"Y","N"))</f>
        <v>#N/A</v>
      </c>
      <c r="O14" s="55" t="str">
        <f>IF(COUNT(Feb[[#This Row],[Date]])&gt;0,IF(Feb[[#This Row],[Date]]&gt;14,"Yes","No"),"N/A")</f>
        <v>N/A</v>
      </c>
      <c r="P14" s="55"/>
      <c r="Q14" s="5">
        <f>Relay!A13</f>
        <v>0</v>
      </c>
      <c r="R14" s="5">
        <f>Relay!B13</f>
        <v>12</v>
      </c>
      <c r="S14" s="8">
        <f>IF(Feb[After the 14th?]="No",SUMIF(Feb[SysID],R14,Feb[Pay Amount]),0)+IF(Jan[After the 14th?]="Yes",SUMIF(Jan[SysID],R14,Jan[Pay Amount]),0)</f>
        <v>0</v>
      </c>
      <c r="T14" s="8"/>
      <c r="U14" s="5" t="str">
        <f t="shared" si="2"/>
        <v>N</v>
      </c>
      <c r="X14" s="56"/>
      <c r="Y14" s="56"/>
      <c r="Z14" s="56"/>
      <c r="AA14" s="56"/>
      <c r="AC14" s="56"/>
    </row>
    <row r="15" spans="1:30" x14ac:dyDescent="0.25">
      <c r="A15" s="35"/>
      <c r="B15" s="5" t="e">
        <f>VLOOKUP(A15,Relay!$A$1:$B$50,2,FALSE)</f>
        <v>#N/A</v>
      </c>
      <c r="C15" s="5" t="e">
        <f>VLOOKUP(A15,Relay!$A$2:$C$51,3,FALSE)</f>
        <v>#N/A</v>
      </c>
      <c r="D15" s="39"/>
      <c r="E15" s="35"/>
      <c r="F15" s="35" t="str">
        <f t="shared" si="0"/>
        <v>INS</v>
      </c>
      <c r="G15" s="5" t="e">
        <f>IF(OR(E15="Jeopardy",E15="APP Moonlighting",E15="Differential Pay"),"",Feb[[#This Row],[SysID]])</f>
        <v>#N/A</v>
      </c>
      <c r="H15" s="5" t="e">
        <f>IF(E15="Jeopardy",IF(C15="MD",Relay!$E$7,Relay!$E$8),IF(C15="MD",IF(COUNTIF(G:G,B15)&gt;1,Relay!$E$2,Relay!$E$1),IF(AND(COUNTIF(G:G,B15)&gt;1,COUNTA(A15)&gt;0),Relay!$E$5,Relay!$E$4)))</f>
        <v>#N/A</v>
      </c>
      <c r="I15" s="8">
        <f t="shared" si="1"/>
        <v>0</v>
      </c>
      <c r="J15" s="35"/>
      <c r="K15" s="35"/>
      <c r="L15" s="35"/>
      <c r="M15" s="35"/>
      <c r="N15" s="10" t="e">
        <f>IF(H15=Feb!$E$2,"N",IF(AND(COUNTIF(B:B,B15)=1,D15&gt;14),"Y","N"))</f>
        <v>#N/A</v>
      </c>
      <c r="O15" s="55" t="str">
        <f>IF(COUNT(Feb[[#This Row],[Date]])&gt;0,IF(Feb[[#This Row],[Date]]&gt;14,"Yes","No"),"N/A")</f>
        <v>N/A</v>
      </c>
      <c r="P15" s="55"/>
      <c r="Q15" s="5">
        <f>Relay!A14</f>
        <v>0</v>
      </c>
      <c r="R15" s="5">
        <f>Relay!B14</f>
        <v>13</v>
      </c>
      <c r="S15" s="8">
        <f>IF(Feb[After the 14th?]="No",SUMIF(Feb[SysID],R15,Feb[Pay Amount]),0)+IF(Jan[After the 14th?]="Yes",SUMIF(Jan[SysID],R15,Jan[Pay Amount]),0)</f>
        <v>0</v>
      </c>
      <c r="T15" s="8"/>
      <c r="U15" s="5" t="str">
        <f t="shared" si="2"/>
        <v>N</v>
      </c>
      <c r="X15" s="56"/>
      <c r="Y15" s="56"/>
      <c r="Z15" s="56"/>
      <c r="AA15" s="56"/>
      <c r="AC15" s="56"/>
    </row>
    <row r="16" spans="1:30" x14ac:dyDescent="0.25">
      <c r="A16" s="35"/>
      <c r="B16" s="5" t="e">
        <f>VLOOKUP(A16,Relay!$A$1:$B$50,2,FALSE)</f>
        <v>#N/A</v>
      </c>
      <c r="C16" s="5" t="e">
        <f>VLOOKUP(A16,Relay!$A$2:$C$51,3,FALSE)</f>
        <v>#N/A</v>
      </c>
      <c r="D16" s="39"/>
      <c r="E16" s="35"/>
      <c r="F16" s="35" t="str">
        <f t="shared" si="0"/>
        <v>INS</v>
      </c>
      <c r="G16" s="5" t="e">
        <f>IF(OR(E16="Jeopardy",E16="APP Moonlighting",E16="Differential Pay"),"",Feb[[#This Row],[SysID]])</f>
        <v>#N/A</v>
      </c>
      <c r="H16" s="5" t="e">
        <f>IF(E16="Jeopardy",IF(C16="MD",Relay!$E$7,Relay!$E$8),IF(C16="MD",IF(COUNTIF(G:G,B16)&gt;1,Relay!$E$2,Relay!$E$1),IF(AND(COUNTIF(G:G,B16)&gt;1,COUNTA(A16)&gt;0),Relay!$E$5,Relay!$E$4)))</f>
        <v>#N/A</v>
      </c>
      <c r="I16" s="8">
        <f t="shared" si="1"/>
        <v>0</v>
      </c>
      <c r="J16" s="35"/>
      <c r="K16" s="35"/>
      <c r="L16" s="35"/>
      <c r="M16" s="35"/>
      <c r="N16" s="10" t="e">
        <f>IF(H16=Feb!$E$2,"N",IF(AND(COUNTIF(B:B,B16)=1,D16&gt;14),"Y","N"))</f>
        <v>#N/A</v>
      </c>
      <c r="O16" s="55" t="str">
        <f>IF(COUNT(Feb[[#This Row],[Date]])&gt;0,IF(Feb[[#This Row],[Date]]&gt;14,"Yes","No"),"N/A")</f>
        <v>N/A</v>
      </c>
      <c r="P16" s="55"/>
      <c r="Q16" s="5">
        <f>Relay!A15</f>
        <v>0</v>
      </c>
      <c r="R16" s="5">
        <f>Relay!B15</f>
        <v>14</v>
      </c>
      <c r="S16" s="8">
        <f>IF(Feb[After the 14th?]="No",SUMIF(Feb[SysID],R16,Feb[Pay Amount]),0)+IF(Jan[After the 14th?]="Yes",SUMIF(Jan[SysID],R16,Jan[Pay Amount]),0)</f>
        <v>0</v>
      </c>
      <c r="T16" s="8"/>
      <c r="U16" s="5" t="str">
        <f t="shared" si="2"/>
        <v>N</v>
      </c>
      <c r="X16" s="56"/>
      <c r="Y16" s="56"/>
      <c r="Z16" s="56"/>
      <c r="AA16" s="56"/>
      <c r="AC16" s="56"/>
    </row>
    <row r="17" spans="1:29" x14ac:dyDescent="0.25">
      <c r="A17" s="35"/>
      <c r="B17" s="5" t="e">
        <f>VLOOKUP(A17,Relay!$A$1:$B$50,2,FALSE)</f>
        <v>#N/A</v>
      </c>
      <c r="C17" s="5" t="e">
        <f>VLOOKUP(A17,Relay!$A$2:$C$51,3,FALSE)</f>
        <v>#N/A</v>
      </c>
      <c r="D17" s="39"/>
      <c r="E17" s="35"/>
      <c r="F17" s="35" t="str">
        <f t="shared" si="0"/>
        <v>INS</v>
      </c>
      <c r="G17" s="5" t="e">
        <f>IF(OR(E17="Jeopardy",E17="APP Moonlighting",E17="Differential Pay"),"",Feb[[#This Row],[SysID]])</f>
        <v>#N/A</v>
      </c>
      <c r="H17" s="5" t="e">
        <f>IF(E17="Jeopardy",IF(C17="MD",Relay!$E$7,Relay!$E$8),IF(C17="MD",IF(COUNTIF(G:G,B17)&gt;1,Relay!$E$2,Relay!$E$1),IF(AND(COUNTIF(G:G,B17)&gt;1,COUNTA(A17)&gt;0),Relay!$E$5,Relay!$E$4)))</f>
        <v>#N/A</v>
      </c>
      <c r="I17" s="8">
        <f t="shared" si="1"/>
        <v>0</v>
      </c>
      <c r="J17" s="35"/>
      <c r="K17" s="35"/>
      <c r="L17" s="35"/>
      <c r="M17" s="35"/>
      <c r="N17" s="10" t="e">
        <f>IF(H17=Feb!$E$2,"N",IF(AND(COUNTIF(B:B,B17)=1,D17&gt;14),"Y","N"))</f>
        <v>#N/A</v>
      </c>
      <c r="O17" s="55" t="str">
        <f>IF(COUNT(Feb[[#This Row],[Date]])&gt;0,IF(Feb[[#This Row],[Date]]&gt;14,"Yes","No"),"N/A")</f>
        <v>N/A</v>
      </c>
      <c r="P17" s="55"/>
      <c r="Q17" s="5">
        <f>Relay!A16</f>
        <v>0</v>
      </c>
      <c r="R17" s="5">
        <f>Relay!B16</f>
        <v>15</v>
      </c>
      <c r="S17" s="8">
        <f>IF(Feb[After the 14th?]="No",SUMIF(Feb[SysID],R17,Feb[Pay Amount]),0)+IF(Jan[After the 14th?]="Yes",SUMIF(Jan[SysID],R17,Jan[Pay Amount]),0)</f>
        <v>0</v>
      </c>
      <c r="T17" s="8"/>
      <c r="U17" s="5" t="str">
        <f t="shared" si="2"/>
        <v>N</v>
      </c>
      <c r="X17" s="56"/>
      <c r="Y17" s="56"/>
      <c r="Z17" s="56"/>
      <c r="AA17" s="56"/>
      <c r="AC17" s="56"/>
    </row>
    <row r="18" spans="1:29" x14ac:dyDescent="0.25">
      <c r="A18" s="35"/>
      <c r="B18" s="5" t="e">
        <f>VLOOKUP(A18,Relay!$A$1:$B$50,2,FALSE)</f>
        <v>#N/A</v>
      </c>
      <c r="C18" s="5" t="e">
        <f>VLOOKUP(A18,Relay!$A$2:$C$51,3,FALSE)</f>
        <v>#N/A</v>
      </c>
      <c r="D18" s="39"/>
      <c r="E18" s="35"/>
      <c r="F18" s="35" t="str">
        <f t="shared" si="0"/>
        <v>INS</v>
      </c>
      <c r="G18" s="5" t="e">
        <f>IF(OR(E18="Jeopardy",E18="APP Moonlighting",E18="Differential Pay"),"",Feb[[#This Row],[SysID]])</f>
        <v>#N/A</v>
      </c>
      <c r="H18" s="5" t="e">
        <f>IF(E18="Jeopardy",IF(C18="MD",Relay!$E$7,Relay!$E$8),IF(C18="MD",IF(COUNTIF(G:G,B18)&gt;1,Relay!$E$2,Relay!$E$1),IF(AND(COUNTIF(G:G,B18)&gt;1,COUNTA(A18)&gt;0),Relay!$E$5,Relay!$E$4)))</f>
        <v>#N/A</v>
      </c>
      <c r="I18" s="8">
        <f t="shared" si="1"/>
        <v>0</v>
      </c>
      <c r="J18" s="35"/>
      <c r="K18" s="35"/>
      <c r="L18" s="35"/>
      <c r="M18" s="35"/>
      <c r="N18" s="10" t="e">
        <f>IF(H18=Feb!$E$2,"N",IF(AND(COUNTIF(B:B,B18)=1,D18&gt;14),"Y","N"))</f>
        <v>#N/A</v>
      </c>
      <c r="O18" s="55" t="str">
        <f>IF(COUNT(Feb[[#This Row],[Date]])&gt;0,IF(Feb[[#This Row],[Date]]&gt;14,"Yes","No"),"N/A")</f>
        <v>N/A</v>
      </c>
      <c r="P18" s="55"/>
      <c r="Q18" s="5">
        <f>Relay!A17</f>
        <v>0</v>
      </c>
      <c r="R18" s="5">
        <f>Relay!B17</f>
        <v>16</v>
      </c>
      <c r="S18" s="8">
        <f>IF(Feb[After the 14th?]="No",SUMIF(Feb[SysID],R18,Feb[Pay Amount]),0)+IF(Jan[After the 14th?]="Yes",SUMIF(Jan[SysID],R18,Jan[Pay Amount]),0)</f>
        <v>0</v>
      </c>
      <c r="T18" s="8"/>
      <c r="U18" s="5" t="str">
        <f t="shared" si="2"/>
        <v>N</v>
      </c>
      <c r="X18" s="56"/>
      <c r="Y18" s="56"/>
      <c r="Z18" s="56"/>
      <c r="AA18" s="56"/>
      <c r="AC18" s="56"/>
    </row>
    <row r="19" spans="1:29" x14ac:dyDescent="0.25">
      <c r="A19" s="35"/>
      <c r="B19" s="5" t="e">
        <f>VLOOKUP(A19,Relay!$A$1:$B$50,2,FALSE)</f>
        <v>#N/A</v>
      </c>
      <c r="C19" s="5" t="e">
        <f>VLOOKUP(A19,Relay!$A$2:$C$51,3,FALSE)</f>
        <v>#N/A</v>
      </c>
      <c r="D19" s="39"/>
      <c r="E19" s="35"/>
      <c r="F19" s="35" t="str">
        <f t="shared" si="0"/>
        <v>INS</v>
      </c>
      <c r="G19" s="5" t="e">
        <f>IF(OR(E19="Jeopardy",E19="APP Moonlighting",E19="Differential Pay"),"",Feb[[#This Row],[SysID]])</f>
        <v>#N/A</v>
      </c>
      <c r="H19" s="5" t="e">
        <f>IF(E19="Jeopardy",IF(C19="MD",Relay!$E$7,Relay!$E$8),IF(C19="MD",IF(COUNTIF(G:G,B19)&gt;1,Relay!$E$2,Relay!$E$1),IF(AND(COUNTIF(G:G,B19)&gt;1,COUNTA(A19)&gt;0),Relay!$E$5,Relay!$E$4)))</f>
        <v>#N/A</v>
      </c>
      <c r="I19" s="8">
        <f t="shared" si="1"/>
        <v>0</v>
      </c>
      <c r="J19" s="35"/>
      <c r="K19" s="35"/>
      <c r="L19" s="35"/>
      <c r="M19" s="35"/>
      <c r="N19" s="10" t="e">
        <f>IF(H19=Feb!$E$2,"N",IF(AND(COUNTIF(B:B,B19)=1,D19&gt;14),"Y","N"))</f>
        <v>#N/A</v>
      </c>
      <c r="O19" s="55" t="str">
        <f>IF(COUNT(Feb[[#This Row],[Date]])&gt;0,IF(Feb[[#This Row],[Date]]&gt;14,"Yes","No"),"N/A")</f>
        <v>N/A</v>
      </c>
      <c r="P19" s="55"/>
      <c r="Q19" s="5">
        <f>Relay!A18</f>
        <v>0</v>
      </c>
      <c r="R19" s="5">
        <f>Relay!B18</f>
        <v>17</v>
      </c>
      <c r="S19" s="8">
        <f>IF(Feb[After the 14th?]="No",SUMIF(Feb[SysID],R19,Feb[Pay Amount]),0)+IF(Jan[After the 14th?]="Yes",SUMIF(Jan[SysID],R19,Jan[Pay Amount]),0)</f>
        <v>0</v>
      </c>
      <c r="T19" s="8"/>
      <c r="U19" s="5" t="str">
        <f t="shared" si="2"/>
        <v>N</v>
      </c>
      <c r="X19" s="56"/>
      <c r="Y19" s="56"/>
      <c r="Z19" s="56"/>
      <c r="AA19" s="56"/>
      <c r="AC19" s="56"/>
    </row>
    <row r="20" spans="1:29" x14ac:dyDescent="0.25">
      <c r="A20" s="35"/>
      <c r="B20" s="5" t="e">
        <f>VLOOKUP(A20,Relay!$A$1:$B$50,2,FALSE)</f>
        <v>#N/A</v>
      </c>
      <c r="C20" s="5" t="e">
        <f>VLOOKUP(A20,Relay!$A$2:$C$51,3,FALSE)</f>
        <v>#N/A</v>
      </c>
      <c r="D20" s="39"/>
      <c r="E20" s="35"/>
      <c r="F20" s="35" t="str">
        <f t="shared" si="0"/>
        <v>INS</v>
      </c>
      <c r="G20" s="5" t="e">
        <f>IF(OR(E20="Jeopardy",E20="APP Moonlighting",E20="Differential Pay"),"",Feb[[#This Row],[SysID]])</f>
        <v>#N/A</v>
      </c>
      <c r="H20" s="5" t="e">
        <f>IF(E20="Jeopardy",IF(C20="MD",Relay!$E$7,Relay!$E$8),IF(C20="MD",IF(COUNTIF(G:G,B20)&gt;1,Relay!$E$2,Relay!$E$1),IF(AND(COUNTIF(G:G,B20)&gt;1,COUNTA(A20)&gt;0),Relay!$E$5,Relay!$E$4)))</f>
        <v>#N/A</v>
      </c>
      <c r="I20" s="8">
        <f t="shared" si="1"/>
        <v>0</v>
      </c>
      <c r="J20" s="35"/>
      <c r="K20" s="35"/>
      <c r="L20" s="35"/>
      <c r="M20" s="35"/>
      <c r="N20" s="10" t="e">
        <f>IF(H20=Feb!$E$2,"N",IF(AND(COUNTIF(B:B,B20)=1,D20&gt;14),"Y","N"))</f>
        <v>#N/A</v>
      </c>
      <c r="O20" s="55" t="str">
        <f>IF(COUNT(Feb[[#This Row],[Date]])&gt;0,IF(Feb[[#This Row],[Date]]&gt;14,"Yes","No"),"N/A")</f>
        <v>N/A</v>
      </c>
      <c r="P20" s="55"/>
      <c r="Q20" s="5">
        <f>Relay!A19</f>
        <v>0</v>
      </c>
      <c r="R20" s="5">
        <f>Relay!B19</f>
        <v>18</v>
      </c>
      <c r="S20" s="8">
        <f>IF(Feb[After the 14th?]="No",SUMIF(Feb[SysID],R20,Feb[Pay Amount]),0)+IF(Jan[After the 14th?]="Yes",SUMIF(Jan[SysID],R20,Jan[Pay Amount]),0)</f>
        <v>0</v>
      </c>
      <c r="T20" s="8"/>
      <c r="U20" s="5" t="str">
        <f t="shared" si="2"/>
        <v>N</v>
      </c>
      <c r="X20" s="56"/>
      <c r="Y20" s="56"/>
      <c r="Z20" s="56"/>
      <c r="AA20" s="56"/>
      <c r="AC20" s="56"/>
    </row>
    <row r="21" spans="1:29" x14ac:dyDescent="0.25">
      <c r="A21" s="35"/>
      <c r="B21" s="5" t="e">
        <f>VLOOKUP(A21,Relay!$A$1:$B$50,2,FALSE)</f>
        <v>#N/A</v>
      </c>
      <c r="C21" s="5" t="e">
        <f>VLOOKUP(A21,Relay!$A$2:$C$51,3,FALSE)</f>
        <v>#N/A</v>
      </c>
      <c r="D21" s="39"/>
      <c r="E21" s="35"/>
      <c r="F21" s="35" t="str">
        <f t="shared" si="0"/>
        <v>INS</v>
      </c>
      <c r="G21" s="5" t="e">
        <f>IF(OR(E21="Jeopardy",E21="APP Moonlighting",E21="Differential Pay"),"",Feb[[#This Row],[SysID]])</f>
        <v>#N/A</v>
      </c>
      <c r="H21" s="5" t="e">
        <f>IF(E21="Jeopardy",IF(C21="MD",Relay!$E$7,Relay!$E$8),IF(C21="MD",IF(COUNTIF(G:G,B21)&gt;1,Relay!$E$2,Relay!$E$1),IF(AND(COUNTIF(G:G,B21)&gt;1,COUNTA(A21)&gt;0),Relay!$E$5,Relay!$E$4)))</f>
        <v>#N/A</v>
      </c>
      <c r="I21" s="8">
        <f t="shared" si="1"/>
        <v>0</v>
      </c>
      <c r="J21" s="35"/>
      <c r="K21" s="35"/>
      <c r="L21" s="35"/>
      <c r="M21" s="35"/>
      <c r="N21" s="10" t="e">
        <f>IF(H21=Feb!$E$2,"N",IF(AND(COUNTIF(B:B,B21)=1,D21&gt;14),"Y","N"))</f>
        <v>#N/A</v>
      </c>
      <c r="O21" s="55" t="str">
        <f>IF(COUNT(Feb[[#This Row],[Date]])&gt;0,IF(Feb[[#This Row],[Date]]&gt;14,"Yes","No"),"N/A")</f>
        <v>N/A</v>
      </c>
      <c r="P21" s="55"/>
      <c r="Q21" s="5">
        <f>Relay!A20</f>
        <v>0</v>
      </c>
      <c r="R21" s="5">
        <f>Relay!B20</f>
        <v>19</v>
      </c>
      <c r="S21" s="8">
        <f>IF(Feb[After the 14th?]="No",SUMIF(Feb[SysID],R21,Feb[Pay Amount]),0)+IF(Jan[After the 14th?]="Yes",SUMIF(Jan[SysID],R21,Jan[Pay Amount]),0)</f>
        <v>0</v>
      </c>
      <c r="T21" s="8"/>
      <c r="U21" s="5" t="str">
        <f t="shared" si="2"/>
        <v>N</v>
      </c>
      <c r="X21" s="56"/>
      <c r="Y21" s="56"/>
      <c r="Z21" s="56"/>
      <c r="AA21" s="56"/>
      <c r="AC21" s="56"/>
    </row>
    <row r="22" spans="1:29" x14ac:dyDescent="0.25">
      <c r="A22" s="35"/>
      <c r="B22" s="5" t="e">
        <f>VLOOKUP(A22,Relay!$A$1:$B$50,2,FALSE)</f>
        <v>#N/A</v>
      </c>
      <c r="C22" s="5" t="e">
        <f>VLOOKUP(A22,Relay!$A$2:$C$51,3,FALSE)</f>
        <v>#N/A</v>
      </c>
      <c r="D22" s="39"/>
      <c r="E22" s="35"/>
      <c r="F22" s="35" t="str">
        <f t="shared" si="0"/>
        <v>INS</v>
      </c>
      <c r="G22" s="5" t="e">
        <f>IF(OR(E22="Jeopardy",E22="APP Moonlighting",E22="Differential Pay"),"",Feb[[#This Row],[SysID]])</f>
        <v>#N/A</v>
      </c>
      <c r="H22" s="5" t="e">
        <f>IF(E22="Jeopardy",IF(C22="MD",Relay!$E$7,Relay!$E$8),IF(C22="MD",IF(COUNTIF(G:G,B22)&gt;1,Relay!$E$2,Relay!$E$1),IF(AND(COUNTIF(G:G,B22)&gt;1,COUNTA(A22)&gt;0),Relay!$E$5,Relay!$E$4)))</f>
        <v>#N/A</v>
      </c>
      <c r="I22" s="8">
        <f t="shared" si="1"/>
        <v>0</v>
      </c>
      <c r="J22" s="35"/>
      <c r="K22" s="35"/>
      <c r="L22" s="35"/>
      <c r="M22" s="35"/>
      <c r="N22" s="10" t="e">
        <f>IF(H22=Feb!$E$2,"N",IF(AND(COUNTIF(B:B,B22)=1,D22&gt;14),"Y","N"))</f>
        <v>#N/A</v>
      </c>
      <c r="O22" s="55" t="str">
        <f>IF(COUNT(Feb[[#This Row],[Date]])&gt;0,IF(Feb[[#This Row],[Date]]&gt;14,"Yes","No"),"N/A")</f>
        <v>N/A</v>
      </c>
      <c r="P22" s="55"/>
      <c r="Q22" s="5">
        <f>Relay!A21</f>
        <v>0</v>
      </c>
      <c r="R22" s="5">
        <f>Relay!B21</f>
        <v>20</v>
      </c>
      <c r="S22" s="8">
        <f>IF(Feb[After the 14th?]="No",SUMIF(Feb[SysID],R22,Feb[Pay Amount]),0)+IF(Jan[After the 14th?]="Yes",SUMIF(Jan[SysID],R22,Jan[Pay Amount]),0)</f>
        <v>0</v>
      </c>
      <c r="T22" s="8"/>
      <c r="U22" s="5" t="str">
        <f t="shared" si="2"/>
        <v>N</v>
      </c>
      <c r="X22" s="56"/>
      <c r="Y22" s="56"/>
      <c r="Z22" s="56"/>
      <c r="AA22" s="56"/>
      <c r="AC22" s="56"/>
    </row>
    <row r="23" spans="1:29" x14ac:dyDescent="0.25">
      <c r="A23" s="35"/>
      <c r="B23" s="5" t="e">
        <f>VLOOKUP(A23,Relay!$A$1:$B$50,2,FALSE)</f>
        <v>#N/A</v>
      </c>
      <c r="C23" s="5" t="e">
        <f>VLOOKUP(A23,Relay!$A$2:$C$51,3,FALSE)</f>
        <v>#N/A</v>
      </c>
      <c r="D23" s="39"/>
      <c r="E23" s="35"/>
      <c r="F23" s="35" t="str">
        <f t="shared" si="0"/>
        <v>INS</v>
      </c>
      <c r="G23" s="5" t="e">
        <f>IF(OR(E23="Jeopardy",E23="APP Moonlighting",E23="Differential Pay"),"",Feb[[#This Row],[SysID]])</f>
        <v>#N/A</v>
      </c>
      <c r="H23" s="5" t="e">
        <f>IF(E23="Jeopardy",IF(C23="MD",Relay!$E$7,Relay!$E$8),IF(C23="MD",IF(COUNTIF(G:G,B23)&gt;1,Relay!$E$2,Relay!$E$1),IF(AND(COUNTIF(G:G,B23)&gt;1,COUNTA(A23)&gt;0),Relay!$E$5,Relay!$E$4)))</f>
        <v>#N/A</v>
      </c>
      <c r="I23" s="8">
        <f t="shared" si="1"/>
        <v>0</v>
      </c>
      <c r="J23" s="35"/>
      <c r="K23" s="35"/>
      <c r="L23" s="35"/>
      <c r="M23" s="35"/>
      <c r="N23" s="10" t="e">
        <f>IF(H23=Feb!$E$2,"N",IF(AND(COUNTIF(B:B,B23)=1,D23&gt;14),"Y","N"))</f>
        <v>#N/A</v>
      </c>
      <c r="O23" s="55" t="str">
        <f>IF(COUNT(Feb[[#This Row],[Date]])&gt;0,IF(Feb[[#This Row],[Date]]&gt;14,"Yes","No"),"N/A")</f>
        <v>N/A</v>
      </c>
      <c r="P23" s="55"/>
      <c r="Q23" s="5">
        <f>Relay!A22</f>
        <v>0</v>
      </c>
      <c r="R23" s="5">
        <f>Relay!B22</f>
        <v>21</v>
      </c>
      <c r="S23" s="8">
        <f>IF(Feb[After the 14th?]="No",SUMIF(Feb[SysID],R23,Feb[Pay Amount]),0)+IF(Jan[After the 14th?]="Yes",SUMIF(Jan[SysID],R23,Jan[Pay Amount]),0)</f>
        <v>0</v>
      </c>
      <c r="T23" s="8"/>
      <c r="U23" s="5" t="str">
        <f t="shared" si="2"/>
        <v>N</v>
      </c>
      <c r="X23" s="56"/>
      <c r="Y23" s="56"/>
      <c r="Z23" s="56"/>
      <c r="AA23" s="56"/>
      <c r="AC23" s="56"/>
    </row>
    <row r="24" spans="1:29" x14ac:dyDescent="0.25">
      <c r="A24" s="35"/>
      <c r="B24" s="5" t="e">
        <f>VLOOKUP(A24,Relay!$A$1:$B$50,2,FALSE)</f>
        <v>#N/A</v>
      </c>
      <c r="C24" s="5" t="e">
        <f>VLOOKUP(A24,Relay!$A$2:$C$51,3,FALSE)</f>
        <v>#N/A</v>
      </c>
      <c r="D24" s="39"/>
      <c r="E24" s="35"/>
      <c r="F24" s="35" t="str">
        <f t="shared" si="0"/>
        <v>INS</v>
      </c>
      <c r="G24" s="5" t="e">
        <f>IF(OR(E24="Jeopardy",E24="APP Moonlighting",E24="Differential Pay"),"",Feb[[#This Row],[SysID]])</f>
        <v>#N/A</v>
      </c>
      <c r="H24" s="5" t="e">
        <f>IF(E24="Jeopardy",IF(C24="MD",Relay!$E$7,Relay!$E$8),IF(C24="MD",IF(COUNTIF(G:G,B24)&gt;1,Relay!$E$2,Relay!$E$1),IF(AND(COUNTIF(G:G,B24)&gt;1,COUNTA(A24)&gt;0),Relay!$E$5,Relay!$E$4)))</f>
        <v>#N/A</v>
      </c>
      <c r="I24" s="8">
        <f t="shared" si="1"/>
        <v>0</v>
      </c>
      <c r="J24" s="35"/>
      <c r="K24" s="35"/>
      <c r="L24" s="35"/>
      <c r="M24" s="35"/>
      <c r="N24" s="10" t="e">
        <f>IF(H24=Feb!$E$2,"N",IF(AND(COUNTIF(B:B,B24)=1,D24&gt;14),"Y","N"))</f>
        <v>#N/A</v>
      </c>
      <c r="O24" s="55" t="str">
        <f>IF(COUNT(Feb[[#This Row],[Date]])&gt;0,IF(Feb[[#This Row],[Date]]&gt;14,"Yes","No"),"N/A")</f>
        <v>N/A</v>
      </c>
      <c r="P24" s="55"/>
      <c r="Q24" s="5">
        <f>Relay!A23</f>
        <v>0</v>
      </c>
      <c r="R24" s="5">
        <f>Relay!B23</f>
        <v>22</v>
      </c>
      <c r="S24" s="8">
        <f>IF(Feb[After the 14th?]="No",SUMIF(Feb[SysID],R24,Feb[Pay Amount]),0)+IF(Jan[After the 14th?]="Yes",SUMIF(Jan[SysID],R24,Jan[Pay Amount]),0)</f>
        <v>0</v>
      </c>
      <c r="T24" s="8"/>
      <c r="U24" s="5" t="str">
        <f t="shared" si="2"/>
        <v>N</v>
      </c>
      <c r="X24" s="56"/>
      <c r="Y24" s="56"/>
      <c r="Z24" s="56"/>
      <c r="AA24" s="56"/>
      <c r="AC24" s="56"/>
    </row>
    <row r="25" spans="1:29" x14ac:dyDescent="0.25">
      <c r="A25" s="35"/>
      <c r="B25" s="5" t="e">
        <f>VLOOKUP(A25,Relay!$A$1:$B$50,2,FALSE)</f>
        <v>#N/A</v>
      </c>
      <c r="C25" s="5" t="e">
        <f>VLOOKUP(A25,Relay!$A$2:$C$51,3,FALSE)</f>
        <v>#N/A</v>
      </c>
      <c r="D25" s="39"/>
      <c r="E25" s="35"/>
      <c r="F25" s="35" t="str">
        <f t="shared" si="0"/>
        <v>INS</v>
      </c>
      <c r="G25" s="5" t="e">
        <f>IF(OR(E25="Jeopardy",E25="APP Moonlighting",E25="Differential Pay"),"",Feb[[#This Row],[SysID]])</f>
        <v>#N/A</v>
      </c>
      <c r="H25" s="5" t="e">
        <f>IF(E25="Jeopardy",IF(C25="MD",Relay!$E$7,Relay!$E$8),IF(C25="MD",IF(COUNTIF(G:G,B25)&gt;1,Relay!$E$2,Relay!$E$1),IF(AND(COUNTIF(G:G,B25)&gt;1,COUNTA(A25)&gt;0),Relay!$E$5,Relay!$E$4)))</f>
        <v>#N/A</v>
      </c>
      <c r="I25" s="8">
        <f t="shared" si="1"/>
        <v>0</v>
      </c>
      <c r="J25" s="35"/>
      <c r="K25" s="35"/>
      <c r="L25" s="35"/>
      <c r="M25" s="35"/>
      <c r="N25" s="10" t="e">
        <f>IF(H25=Feb!$E$2,"N",IF(AND(COUNTIF(B:B,B25)=1,D25&gt;14),"Y","N"))</f>
        <v>#N/A</v>
      </c>
      <c r="O25" s="55" t="str">
        <f>IF(COUNT(Feb[[#This Row],[Date]])&gt;0,IF(Feb[[#This Row],[Date]]&gt;14,"Yes","No"),"N/A")</f>
        <v>N/A</v>
      </c>
      <c r="P25" s="55"/>
      <c r="Q25" s="5">
        <f>Relay!A24</f>
        <v>0</v>
      </c>
      <c r="R25" s="5">
        <f>Relay!B24</f>
        <v>23</v>
      </c>
      <c r="S25" s="8">
        <f>IF(Feb[After the 14th?]="No",SUMIF(Feb[SysID],R25,Feb[Pay Amount]),0)+IF(Jan[After the 14th?]="Yes",SUMIF(Jan[SysID],R25,Jan[Pay Amount]),0)</f>
        <v>0</v>
      </c>
      <c r="T25" s="8"/>
      <c r="U25" s="5" t="str">
        <f t="shared" si="2"/>
        <v>N</v>
      </c>
      <c r="X25" s="56"/>
      <c r="Y25" s="56"/>
      <c r="Z25" s="56"/>
      <c r="AA25" s="56"/>
      <c r="AC25" s="56"/>
    </row>
    <row r="26" spans="1:29" x14ac:dyDescent="0.25">
      <c r="A26" s="35"/>
      <c r="B26" s="5" t="e">
        <f>VLOOKUP(A26,Relay!$A$1:$B$50,2,FALSE)</f>
        <v>#N/A</v>
      </c>
      <c r="C26" s="5" t="e">
        <f>VLOOKUP(A26,Relay!$A$2:$C$51,3,FALSE)</f>
        <v>#N/A</v>
      </c>
      <c r="D26" s="39"/>
      <c r="E26" s="35"/>
      <c r="F26" s="35" t="str">
        <f t="shared" si="0"/>
        <v>INS</v>
      </c>
      <c r="G26" s="5" t="e">
        <f>IF(OR(E26="Jeopardy",E26="APP Moonlighting",E26="Differential Pay"),"",Feb[[#This Row],[SysID]])</f>
        <v>#N/A</v>
      </c>
      <c r="H26" s="5" t="e">
        <f>IF(E26="Jeopardy",IF(C26="MD",Relay!$E$7,Relay!$E$8),IF(C26="MD",IF(COUNTIF(G:G,B26)&gt;1,Relay!$E$2,Relay!$E$1),IF(AND(COUNTIF(G:G,B26)&gt;1,COUNTA(A26)&gt;0),Relay!$E$5,Relay!$E$4)))</f>
        <v>#N/A</v>
      </c>
      <c r="I26" s="8">
        <f t="shared" si="1"/>
        <v>0</v>
      </c>
      <c r="J26" s="35"/>
      <c r="K26" s="35"/>
      <c r="L26" s="35"/>
      <c r="M26" s="35"/>
      <c r="N26" s="10" t="e">
        <f>IF(H26=Feb!$E$2,"N",IF(AND(COUNTIF(B:B,B26)=1,D26&gt;14),"Y","N"))</f>
        <v>#N/A</v>
      </c>
      <c r="O26" s="55" t="str">
        <f>IF(COUNT(Feb[[#This Row],[Date]])&gt;0,IF(Feb[[#This Row],[Date]]&gt;14,"Yes","No"),"N/A")</f>
        <v>N/A</v>
      </c>
      <c r="P26" s="55"/>
      <c r="Q26" s="5">
        <f>Relay!A25</f>
        <v>0</v>
      </c>
      <c r="R26" s="5">
        <f>Relay!B25</f>
        <v>24</v>
      </c>
      <c r="S26" s="8">
        <f>IF(Feb[After the 14th?]="No",SUMIF(Feb[SysID],R26,Feb[Pay Amount]),0)+IF(Jan[After the 14th?]="Yes",SUMIF(Jan[SysID],R26,Jan[Pay Amount]),0)</f>
        <v>0</v>
      </c>
      <c r="T26" s="8"/>
      <c r="U26" s="5" t="str">
        <f t="shared" si="2"/>
        <v>N</v>
      </c>
      <c r="X26" s="56"/>
      <c r="Y26" s="56"/>
      <c r="Z26" s="56"/>
      <c r="AA26" s="56"/>
      <c r="AC26" s="56"/>
    </row>
    <row r="27" spans="1:29" x14ac:dyDescent="0.25">
      <c r="A27" s="35"/>
      <c r="B27" s="5" t="e">
        <f>VLOOKUP(A27,Relay!$A$1:$B$50,2,FALSE)</f>
        <v>#N/A</v>
      </c>
      <c r="C27" s="5" t="e">
        <f>VLOOKUP(A27,Relay!$A$2:$C$51,3,FALSE)</f>
        <v>#N/A</v>
      </c>
      <c r="D27" s="39"/>
      <c r="E27" s="35"/>
      <c r="F27" s="35" t="str">
        <f t="shared" si="0"/>
        <v>INS</v>
      </c>
      <c r="G27" s="5" t="e">
        <f>IF(OR(E27="Jeopardy",E27="APP Moonlighting",E27="Differential Pay"),"",Feb[[#This Row],[SysID]])</f>
        <v>#N/A</v>
      </c>
      <c r="H27" s="5" t="e">
        <f>IF(E27="Jeopardy",IF(C27="MD",Relay!$E$7,Relay!$E$8),IF(C27="MD",IF(COUNTIF(G:G,B27)&gt;1,Relay!$E$2,Relay!$E$1),IF(AND(COUNTIF(G:G,B27)&gt;1,COUNTA(A27)&gt;0),Relay!$E$5,Relay!$E$4)))</f>
        <v>#N/A</v>
      </c>
      <c r="I27" s="8">
        <f t="shared" si="1"/>
        <v>0</v>
      </c>
      <c r="J27" s="35"/>
      <c r="K27" s="35"/>
      <c r="L27" s="35"/>
      <c r="M27" s="35"/>
      <c r="N27" s="10" t="e">
        <f>IF(H27=Feb!$E$2,"N",IF(AND(COUNTIF(B:B,B27)=1,D27&gt;14),"Y","N"))</f>
        <v>#N/A</v>
      </c>
      <c r="O27" s="55" t="str">
        <f>IF(COUNT(Feb[[#This Row],[Date]])&gt;0,IF(Feb[[#This Row],[Date]]&gt;14,"Yes","No"),"N/A")</f>
        <v>N/A</v>
      </c>
      <c r="P27" s="55"/>
      <c r="Q27" s="5">
        <f>Relay!A26</f>
        <v>0</v>
      </c>
      <c r="R27" s="5">
        <f>Relay!B26</f>
        <v>25</v>
      </c>
      <c r="S27" s="8">
        <f>IF(Feb[After the 14th?]="No",SUMIF(Feb[SysID],R27,Feb[Pay Amount]),0)+IF(Jan[After the 14th?]="Yes",SUMIF(Jan[SysID],R27,Jan[Pay Amount]),0)</f>
        <v>0</v>
      </c>
      <c r="T27" s="8"/>
      <c r="U27" s="5" t="str">
        <f t="shared" si="2"/>
        <v>N</v>
      </c>
      <c r="X27" s="56"/>
      <c r="Y27" s="56"/>
      <c r="Z27" s="56"/>
      <c r="AA27" s="56"/>
      <c r="AC27" s="56"/>
    </row>
    <row r="28" spans="1:29" x14ac:dyDescent="0.25">
      <c r="A28" s="35"/>
      <c r="B28" s="5" t="e">
        <f>VLOOKUP(A28,Relay!$A$1:$B$50,2,FALSE)</f>
        <v>#N/A</v>
      </c>
      <c r="C28" s="5" t="e">
        <f>VLOOKUP(A28,Relay!$A$2:$C$51,3,FALSE)</f>
        <v>#N/A</v>
      </c>
      <c r="D28" s="39"/>
      <c r="E28" s="35"/>
      <c r="F28" s="35" t="str">
        <f t="shared" si="0"/>
        <v>INS</v>
      </c>
      <c r="G28" s="5" t="e">
        <f>IF(OR(E28="Jeopardy",E28="APP Moonlighting",E28="Differential Pay"),"",Feb[[#This Row],[SysID]])</f>
        <v>#N/A</v>
      </c>
      <c r="H28" s="5" t="e">
        <f>IF(E28="Jeopardy",IF(C28="MD",Relay!$E$7,Relay!$E$8),IF(C28="MD",IF(COUNTIF(G:G,B28)&gt;1,Relay!$E$2,Relay!$E$1),IF(AND(COUNTIF(G:G,B28)&gt;1,COUNTA(A28)&gt;0),Relay!$E$5,Relay!$E$4)))</f>
        <v>#N/A</v>
      </c>
      <c r="I28" s="8">
        <f t="shared" si="1"/>
        <v>0</v>
      </c>
      <c r="J28" s="35"/>
      <c r="K28" s="35"/>
      <c r="L28" s="35"/>
      <c r="M28" s="35"/>
      <c r="N28" s="10" t="e">
        <f>IF(H28=Feb!$E$2,"N",IF(AND(COUNTIF(B:B,B28)=1,D28&gt;14),"Y","N"))</f>
        <v>#N/A</v>
      </c>
      <c r="O28" s="55" t="str">
        <f>IF(COUNT(Feb[[#This Row],[Date]])&gt;0,IF(Feb[[#This Row],[Date]]&gt;14,"Yes","No"),"N/A")</f>
        <v>N/A</v>
      </c>
      <c r="P28" s="55"/>
      <c r="Q28" s="5">
        <f>Relay!A27</f>
        <v>0</v>
      </c>
      <c r="R28" s="5">
        <f>Relay!B27</f>
        <v>26</v>
      </c>
      <c r="S28" s="8">
        <f>IF(Feb[After the 14th?]="No",SUMIF(Feb[SysID],R28,Feb[Pay Amount]),0)+IF(Jan[After the 14th?]="Yes",SUMIF(Jan[SysID],R28,Jan[Pay Amount]),0)</f>
        <v>0</v>
      </c>
      <c r="T28" s="8"/>
      <c r="U28" s="5" t="str">
        <f t="shared" si="2"/>
        <v>N</v>
      </c>
      <c r="X28" s="56"/>
      <c r="Y28" s="56"/>
      <c r="Z28" s="56"/>
      <c r="AA28" s="56"/>
      <c r="AC28" s="56"/>
    </row>
    <row r="29" spans="1:29" x14ac:dyDescent="0.25">
      <c r="A29" s="35"/>
      <c r="B29" s="5" t="e">
        <f>VLOOKUP(A29,Relay!$A$1:$B$50,2,FALSE)</f>
        <v>#N/A</v>
      </c>
      <c r="C29" s="5" t="e">
        <f>VLOOKUP(A29,Relay!$A$2:$C$51,3,FALSE)</f>
        <v>#N/A</v>
      </c>
      <c r="D29" s="39"/>
      <c r="E29" s="35"/>
      <c r="F29" s="35" t="str">
        <f t="shared" si="0"/>
        <v>INS</v>
      </c>
      <c r="G29" s="5" t="e">
        <f>IF(OR(E29="Jeopardy",E29="APP Moonlighting",E29="Differential Pay"),"",Feb[[#This Row],[SysID]])</f>
        <v>#N/A</v>
      </c>
      <c r="H29" s="5" t="e">
        <f>IF(E29="Jeopardy",IF(C29="MD",Relay!$E$7,Relay!$E$8),IF(C29="MD",IF(COUNTIF(G:G,B29)&gt;1,Relay!$E$2,Relay!$E$1),IF(AND(COUNTIF(G:G,B29)&gt;1,COUNTA(A29)&gt;0),Relay!$E$5,Relay!$E$4)))</f>
        <v>#N/A</v>
      </c>
      <c r="I29" s="8">
        <f t="shared" si="1"/>
        <v>0</v>
      </c>
      <c r="J29" s="35"/>
      <c r="K29" s="35"/>
      <c r="L29" s="35"/>
      <c r="M29" s="35"/>
      <c r="N29" s="10" t="e">
        <f>IF(H29=Feb!$E$2,"N",IF(AND(COUNTIF(B:B,B29)=1,D29&gt;14),"Y","N"))</f>
        <v>#N/A</v>
      </c>
      <c r="O29" s="55" t="str">
        <f>IF(COUNT(Feb[[#This Row],[Date]])&gt;0,IF(Feb[[#This Row],[Date]]&gt;14,"Yes","No"),"N/A")</f>
        <v>N/A</v>
      </c>
      <c r="P29" s="55"/>
      <c r="Q29" s="5">
        <f>Relay!A28</f>
        <v>0</v>
      </c>
      <c r="R29" s="5">
        <f>Relay!B28</f>
        <v>27</v>
      </c>
      <c r="S29" s="8">
        <f>IF(Feb[After the 14th?]="No",SUMIF(Feb[SysID],R29,Feb[Pay Amount]),0)+IF(Jan[After the 14th?]="Yes",SUMIF(Jan[SysID],R29,Jan[Pay Amount]),0)</f>
        <v>0</v>
      </c>
      <c r="T29" s="8"/>
      <c r="U29" s="5" t="str">
        <f t="shared" si="2"/>
        <v>N</v>
      </c>
      <c r="X29" s="56"/>
      <c r="Y29" s="56"/>
      <c r="Z29" s="56"/>
      <c r="AA29" s="56"/>
      <c r="AC29" s="56"/>
    </row>
    <row r="30" spans="1:29" x14ac:dyDescent="0.25">
      <c r="A30" s="35"/>
      <c r="B30" s="5" t="e">
        <f>VLOOKUP(A30,Relay!$A$1:$B$50,2,FALSE)</f>
        <v>#N/A</v>
      </c>
      <c r="C30" s="5" t="e">
        <f>VLOOKUP(A30,Relay!$A$2:$C$51,3,FALSE)</f>
        <v>#N/A</v>
      </c>
      <c r="D30" s="39"/>
      <c r="E30" s="35"/>
      <c r="F30" s="35" t="str">
        <f t="shared" si="0"/>
        <v>INS</v>
      </c>
      <c r="G30" s="5" t="e">
        <f>IF(OR(E30="Jeopardy",E30="APP Moonlighting",E30="Differential Pay"),"",Feb[[#This Row],[SysID]])</f>
        <v>#N/A</v>
      </c>
      <c r="H30" s="5" t="e">
        <f>IF(E30="Jeopardy",IF(C30="MD",Relay!$E$7,Relay!$E$8),IF(C30="MD",IF(COUNTIF(G:G,B30)&gt;1,Relay!$E$2,Relay!$E$1),IF(AND(COUNTIF(G:G,B30)&gt;1,COUNTA(A30)&gt;0),Relay!$E$5,Relay!$E$4)))</f>
        <v>#N/A</v>
      </c>
      <c r="I30" s="8">
        <f t="shared" si="1"/>
        <v>0</v>
      </c>
      <c r="J30" s="35"/>
      <c r="K30" s="35"/>
      <c r="L30" s="35"/>
      <c r="M30" s="35"/>
      <c r="N30" s="10" t="e">
        <f>IF(H30=Feb!$E$2,"N",IF(AND(COUNTIF(B:B,B30)=1,D30&gt;14),"Y","N"))</f>
        <v>#N/A</v>
      </c>
      <c r="O30" s="55" t="str">
        <f>IF(COUNT(Feb[[#This Row],[Date]])&gt;0,IF(Feb[[#This Row],[Date]]&gt;14,"Yes","No"),"N/A")</f>
        <v>N/A</v>
      </c>
      <c r="P30" s="55"/>
      <c r="Q30" s="5">
        <f>Relay!A29</f>
        <v>0</v>
      </c>
      <c r="R30" s="5">
        <f>Relay!B29</f>
        <v>28</v>
      </c>
      <c r="S30" s="8">
        <f>IF(Feb[After the 14th?]="No",SUMIF(Feb[SysID],R30,Feb[Pay Amount]),0)+IF(Jan[After the 14th?]="Yes",SUMIF(Jan[SysID],R30,Jan[Pay Amount]),0)</f>
        <v>0</v>
      </c>
      <c r="T30" s="8"/>
      <c r="U30" s="5" t="str">
        <f t="shared" si="2"/>
        <v>N</v>
      </c>
      <c r="X30" s="56"/>
      <c r="Y30" s="56"/>
      <c r="Z30" s="56"/>
      <c r="AA30" s="56"/>
      <c r="AC30" s="56"/>
    </row>
    <row r="31" spans="1:29" x14ac:dyDescent="0.25">
      <c r="A31" s="35"/>
      <c r="B31" s="5" t="e">
        <f>VLOOKUP(A31,Relay!$A$1:$B$50,2,FALSE)</f>
        <v>#N/A</v>
      </c>
      <c r="C31" s="5" t="e">
        <f>VLOOKUP(A31,Relay!$A$2:$C$51,3,FALSE)</f>
        <v>#N/A</v>
      </c>
      <c r="D31" s="39"/>
      <c r="E31" s="35"/>
      <c r="F31" s="35" t="str">
        <f t="shared" si="0"/>
        <v>INS</v>
      </c>
      <c r="G31" s="5" t="e">
        <f>IF(OR(E31="Jeopardy",E31="APP Moonlighting",E31="Differential Pay"),"",Feb[[#This Row],[SysID]])</f>
        <v>#N/A</v>
      </c>
      <c r="H31" s="5" t="e">
        <f>IF(E31="Jeopardy",IF(C31="MD",Relay!$E$7,Relay!$E$8),IF(C31="MD",IF(COUNTIF(G:G,B31)&gt;1,Relay!$E$2,Relay!$E$1),IF(AND(COUNTIF(G:G,B31)&gt;1,COUNTA(A31)&gt;0),Relay!$E$5,Relay!$E$4)))</f>
        <v>#N/A</v>
      </c>
      <c r="I31" s="8">
        <f t="shared" si="1"/>
        <v>0</v>
      </c>
      <c r="J31" s="35"/>
      <c r="K31" s="35"/>
      <c r="L31" s="35"/>
      <c r="M31" s="35"/>
      <c r="N31" s="10" t="e">
        <f>IF(H31=Feb!$E$2,"N",IF(AND(COUNTIF(B:B,B31)=1,D31&gt;14),"Y","N"))</f>
        <v>#N/A</v>
      </c>
      <c r="O31" s="55" t="str">
        <f>IF(COUNT(Feb[[#This Row],[Date]])&gt;0,IF(Feb[[#This Row],[Date]]&gt;14,"Yes","No"),"N/A")</f>
        <v>N/A</v>
      </c>
      <c r="P31" s="55"/>
      <c r="Q31" s="5">
        <f>Relay!A30</f>
        <v>0</v>
      </c>
      <c r="R31" s="5">
        <f>Relay!B30</f>
        <v>29</v>
      </c>
      <c r="S31" s="8">
        <f>IF(Feb[After the 14th?]="No",SUMIF(Feb[SysID],R31,Feb[Pay Amount]),0)+IF(Jan[After the 14th?]="Yes",SUMIF(Jan[SysID],R31,Jan[Pay Amount]),0)</f>
        <v>0</v>
      </c>
      <c r="T31" s="8"/>
      <c r="U31" s="5" t="str">
        <f t="shared" si="2"/>
        <v>N</v>
      </c>
      <c r="X31" s="56"/>
      <c r="Y31" s="56"/>
      <c r="Z31" s="56"/>
      <c r="AA31" s="56"/>
      <c r="AC31" s="56"/>
    </row>
    <row r="32" spans="1:29" x14ac:dyDescent="0.25">
      <c r="A32" s="35"/>
      <c r="B32" s="5" t="e">
        <f>VLOOKUP(A32,Relay!$A$1:$B$50,2,FALSE)</f>
        <v>#N/A</v>
      </c>
      <c r="C32" s="5" t="e">
        <f>VLOOKUP(A32,Relay!$A$2:$C$51,3,FALSE)</f>
        <v>#N/A</v>
      </c>
      <c r="D32" s="39"/>
      <c r="E32" s="35"/>
      <c r="F32" s="35" t="str">
        <f t="shared" si="0"/>
        <v>INS</v>
      </c>
      <c r="G32" s="5" t="e">
        <f>IF(OR(E32="Jeopardy",E32="APP Moonlighting",E32="Differential Pay"),"",Feb[[#This Row],[SysID]])</f>
        <v>#N/A</v>
      </c>
      <c r="H32" s="5" t="e">
        <f>IF(E32="Jeopardy",IF(C32="MD",Relay!$E$7,Relay!$E$8),IF(C32="MD",IF(COUNTIF(G:G,B32)&gt;1,Relay!$E$2,Relay!$E$1),IF(AND(COUNTIF(G:G,B32)&gt;1,COUNTA(A32)&gt;0),Relay!$E$5,Relay!$E$4)))</f>
        <v>#N/A</v>
      </c>
      <c r="I32" s="8">
        <f t="shared" si="1"/>
        <v>0</v>
      </c>
      <c r="J32" s="35"/>
      <c r="K32" s="35"/>
      <c r="L32" s="35"/>
      <c r="M32" s="35"/>
      <c r="N32" s="10" t="e">
        <f>IF(H32=Feb!$E$2,"N",IF(AND(COUNTIF(B:B,B32)=1,D32&gt;14),"Y","N"))</f>
        <v>#N/A</v>
      </c>
      <c r="O32" s="55" t="str">
        <f>IF(COUNT(Feb[[#This Row],[Date]])&gt;0,IF(Feb[[#This Row],[Date]]&gt;14,"Yes","No"),"N/A")</f>
        <v>N/A</v>
      </c>
      <c r="P32" s="55"/>
      <c r="Q32" s="5">
        <f>Relay!A31</f>
        <v>0</v>
      </c>
      <c r="R32" s="5">
        <f>Relay!B31</f>
        <v>30</v>
      </c>
      <c r="S32" s="8">
        <f>IF(Feb[After the 14th?]="No",SUMIF(Feb[SysID],R32,Feb[Pay Amount]),0)+IF(Jan[After the 14th?]="Yes",SUMIF(Jan[SysID],R32,Jan[Pay Amount]),0)</f>
        <v>0</v>
      </c>
      <c r="T32" s="8"/>
      <c r="U32" s="5" t="str">
        <f t="shared" si="2"/>
        <v>N</v>
      </c>
      <c r="X32" s="56"/>
      <c r="Y32" s="56"/>
      <c r="Z32" s="56"/>
      <c r="AA32" s="56"/>
      <c r="AC32" s="56"/>
    </row>
    <row r="33" spans="1:29" x14ac:dyDescent="0.25">
      <c r="A33" s="35"/>
      <c r="B33" s="5" t="e">
        <f>VLOOKUP(A33,Relay!$A$1:$B$50,2,FALSE)</f>
        <v>#N/A</v>
      </c>
      <c r="C33" s="5" t="e">
        <f>VLOOKUP(A33,Relay!$A$2:$C$51,3,FALSE)</f>
        <v>#N/A</v>
      </c>
      <c r="D33" s="39"/>
      <c r="E33" s="35"/>
      <c r="F33" s="35" t="str">
        <f t="shared" si="0"/>
        <v>INS</v>
      </c>
      <c r="G33" s="5" t="e">
        <f>IF(OR(E33="Jeopardy",E33="APP Moonlighting",E33="Differential Pay"),"",Feb[[#This Row],[SysID]])</f>
        <v>#N/A</v>
      </c>
      <c r="H33" s="5" t="e">
        <f>IF(E33="Jeopardy",IF(C33="MD",Relay!$E$7,Relay!$E$8),IF(C33="MD",IF(COUNTIF(G:G,B33)&gt;1,Relay!$E$2,Relay!$E$1),IF(AND(COUNTIF(G:G,B33)&gt;1,COUNTA(A33)&gt;0),Relay!$E$5,Relay!$E$4)))</f>
        <v>#N/A</v>
      </c>
      <c r="I33" s="8">
        <f t="shared" si="1"/>
        <v>0</v>
      </c>
      <c r="J33" s="35"/>
      <c r="K33" s="35"/>
      <c r="L33" s="35"/>
      <c r="M33" s="35"/>
      <c r="N33" s="10" t="e">
        <f>IF(H33=Feb!$E$2,"N",IF(AND(COUNTIF(B:B,B33)=1,D33&gt;14),"Y","N"))</f>
        <v>#N/A</v>
      </c>
      <c r="O33" s="55" t="str">
        <f>IF(COUNT(Feb[[#This Row],[Date]])&gt;0,IF(Feb[[#This Row],[Date]]&gt;14,"Yes","No"),"N/A")</f>
        <v>N/A</v>
      </c>
      <c r="P33" s="55"/>
      <c r="Q33" s="5">
        <f>Relay!A32</f>
        <v>0</v>
      </c>
      <c r="R33" s="5">
        <f>Relay!B32</f>
        <v>31</v>
      </c>
      <c r="S33" s="8">
        <f>IF(Feb[After the 14th?]="No",SUMIF(Feb[SysID],R33,Feb[Pay Amount]),0)+IF(Jan[After the 14th?]="Yes",SUMIF(Jan[SysID],R33,Jan[Pay Amount]),0)</f>
        <v>0</v>
      </c>
      <c r="T33" s="8"/>
      <c r="U33" s="5" t="str">
        <f t="shared" si="2"/>
        <v>N</v>
      </c>
      <c r="X33" s="56"/>
      <c r="Y33" s="56"/>
      <c r="Z33" s="56"/>
      <c r="AA33" s="56"/>
      <c r="AC33" s="56"/>
    </row>
    <row r="34" spans="1:29" x14ac:dyDescent="0.25">
      <c r="A34" s="35"/>
      <c r="B34" s="5" t="e">
        <f>VLOOKUP(A34,Relay!$A$1:$B$50,2,FALSE)</f>
        <v>#N/A</v>
      </c>
      <c r="C34" s="5" t="e">
        <f>VLOOKUP(A34,Relay!$A$2:$C$51,3,FALSE)</f>
        <v>#N/A</v>
      </c>
      <c r="D34" s="39"/>
      <c r="E34" s="35"/>
      <c r="F34" s="35" t="str">
        <f t="shared" si="0"/>
        <v>INS</v>
      </c>
      <c r="G34" s="5" t="e">
        <f>IF(OR(E34="Jeopardy",E34="APP Moonlighting",E34="Differential Pay"),"",Feb[[#This Row],[SysID]])</f>
        <v>#N/A</v>
      </c>
      <c r="H34" s="5" t="e">
        <f>IF(E34="Jeopardy",IF(C34="MD",Relay!$E$7,Relay!$E$8),IF(C34="MD",IF(COUNTIF(G:G,B34)&gt;1,Relay!$E$2,Relay!$E$1),IF(AND(COUNTIF(G:G,B34)&gt;1,COUNTA(A34)&gt;0),Relay!$E$5,Relay!$E$4)))</f>
        <v>#N/A</v>
      </c>
      <c r="I34" s="8">
        <f t="shared" si="1"/>
        <v>0</v>
      </c>
      <c r="J34" s="35"/>
      <c r="K34" s="35"/>
      <c r="L34" s="35"/>
      <c r="M34" s="35"/>
      <c r="N34" s="10" t="e">
        <f>IF(H34=Feb!$E$2,"N",IF(AND(COUNTIF(B:B,B34)=1,D34&gt;14),"Y","N"))</f>
        <v>#N/A</v>
      </c>
      <c r="O34" s="55" t="str">
        <f>IF(COUNT(Feb[[#This Row],[Date]])&gt;0,IF(Feb[[#This Row],[Date]]&gt;14,"Yes","No"),"N/A")</f>
        <v>N/A</v>
      </c>
      <c r="P34" s="55"/>
      <c r="Q34" s="5">
        <f>Relay!A33</f>
        <v>0</v>
      </c>
      <c r="R34" s="5">
        <f>Relay!B33</f>
        <v>32</v>
      </c>
      <c r="S34" s="8">
        <f>IF(Feb[After the 14th?]="No",SUMIF(Feb[SysID],R34,Feb[Pay Amount]),0)+IF(Jan[After the 14th?]="Yes",SUMIF(Jan[SysID],R34,Jan[Pay Amount]),0)</f>
        <v>0</v>
      </c>
      <c r="T34" s="8"/>
      <c r="U34" s="5" t="str">
        <f t="shared" si="2"/>
        <v>N</v>
      </c>
      <c r="X34" s="56"/>
      <c r="Y34" s="56"/>
      <c r="Z34" s="56"/>
      <c r="AA34" s="56"/>
      <c r="AC34" s="56"/>
    </row>
    <row r="35" spans="1:29" x14ac:dyDescent="0.25">
      <c r="A35" s="35"/>
      <c r="B35" s="5" t="e">
        <f>VLOOKUP(A35,Relay!$A$1:$B$50,2,FALSE)</f>
        <v>#N/A</v>
      </c>
      <c r="C35" s="5" t="e">
        <f>VLOOKUP(A35,Relay!$A$2:$C$51,3,FALSE)</f>
        <v>#N/A</v>
      </c>
      <c r="D35" s="39"/>
      <c r="E35" s="35"/>
      <c r="F35" s="35" t="str">
        <f t="shared" si="0"/>
        <v>INS</v>
      </c>
      <c r="G35" s="5" t="e">
        <f>IF(OR(E35="Jeopardy",E35="APP Moonlighting",E35="Differential Pay"),"",Feb[[#This Row],[SysID]])</f>
        <v>#N/A</v>
      </c>
      <c r="H35" s="5" t="e">
        <f>IF(E35="Jeopardy",IF(C35="MD",Relay!$E$7,Relay!$E$8),IF(C35="MD",IF(COUNTIF(G:G,B35)&gt;1,Relay!$E$2,Relay!$E$1),IF(AND(COUNTIF(G:G,B35)&gt;1,COUNTA(A35)&gt;0),Relay!$E$5,Relay!$E$4)))</f>
        <v>#N/A</v>
      </c>
      <c r="I35" s="8">
        <f t="shared" si="1"/>
        <v>0</v>
      </c>
      <c r="J35" s="35"/>
      <c r="K35" s="35"/>
      <c r="L35" s="35"/>
      <c r="M35" s="35"/>
      <c r="N35" s="10" t="e">
        <f>IF(H35=Feb!$E$2,"N",IF(AND(COUNTIF(B:B,B35)=1,D35&gt;14),"Y","N"))</f>
        <v>#N/A</v>
      </c>
      <c r="O35" s="55" t="str">
        <f>IF(COUNT(Feb[[#This Row],[Date]])&gt;0,IF(Feb[[#This Row],[Date]]&gt;14,"Yes","No"),"N/A")</f>
        <v>N/A</v>
      </c>
      <c r="P35" s="55"/>
      <c r="Q35" s="5">
        <f>Relay!A34</f>
        <v>0</v>
      </c>
      <c r="R35" s="5">
        <f>Relay!B34</f>
        <v>33</v>
      </c>
      <c r="S35" s="8">
        <f>IF(Feb[After the 14th?]="No",SUMIF(Feb[SysID],R35,Feb[Pay Amount]),0)+IF(Jan[After the 14th?]="Yes",SUMIF(Jan[SysID],R35,Jan[Pay Amount]),0)</f>
        <v>0</v>
      </c>
      <c r="T35" s="8"/>
      <c r="U35" s="5" t="str">
        <f t="shared" si="2"/>
        <v>N</v>
      </c>
      <c r="X35" s="56"/>
      <c r="Y35" s="56"/>
      <c r="Z35" s="56"/>
      <c r="AA35" s="56"/>
      <c r="AC35" s="56"/>
    </row>
    <row r="36" spans="1:29" x14ac:dyDescent="0.25">
      <c r="A36" s="35"/>
      <c r="B36" s="5" t="e">
        <f>VLOOKUP(A36,Relay!$A$1:$B$50,2,FALSE)</f>
        <v>#N/A</v>
      </c>
      <c r="C36" s="5" t="e">
        <f>VLOOKUP(A36,Relay!$A$2:$C$51,3,FALSE)</f>
        <v>#N/A</v>
      </c>
      <c r="D36" s="39"/>
      <c r="E36" s="35"/>
      <c r="F36" s="35" t="str">
        <f t="shared" si="0"/>
        <v>INS</v>
      </c>
      <c r="G36" s="5" t="e">
        <f>IF(OR(E36="Jeopardy",E36="APP Moonlighting",E36="Differential Pay"),"",Feb[[#This Row],[SysID]])</f>
        <v>#N/A</v>
      </c>
      <c r="H36" s="5" t="e">
        <f>IF(E36="Jeopardy",IF(C36="MD",Relay!$E$7,Relay!$E$8),IF(C36="MD",IF(COUNTIF(G:G,B36)&gt;1,Relay!$E$2,Relay!$E$1),IF(AND(COUNTIF(G:G,B36)&gt;1,COUNTA(A36)&gt;0),Relay!$E$5,Relay!$E$4)))</f>
        <v>#N/A</v>
      </c>
      <c r="I36" s="8">
        <f t="shared" si="1"/>
        <v>0</v>
      </c>
      <c r="J36" s="35"/>
      <c r="K36" s="35"/>
      <c r="L36" s="35"/>
      <c r="M36" s="35"/>
      <c r="N36" s="10" t="e">
        <f>IF(H36=Feb!$E$2,"N",IF(AND(COUNTIF(B:B,B36)=1,D36&gt;14),"Y","N"))</f>
        <v>#N/A</v>
      </c>
      <c r="O36" s="55" t="str">
        <f>IF(COUNT(Feb[[#This Row],[Date]])&gt;0,IF(Feb[[#This Row],[Date]]&gt;14,"Yes","No"),"N/A")</f>
        <v>N/A</v>
      </c>
      <c r="P36" s="55"/>
      <c r="Q36" s="5">
        <f>Relay!A35</f>
        <v>0</v>
      </c>
      <c r="R36" s="5">
        <f>Relay!B35</f>
        <v>34</v>
      </c>
      <c r="S36" s="8">
        <f>IF(Feb[After the 14th?]="No",SUMIF(Feb[SysID],R36,Feb[Pay Amount]),0)+IF(Jan[After the 14th?]="Yes",SUMIF(Jan[SysID],R36,Jan[Pay Amount]),0)</f>
        <v>0</v>
      </c>
      <c r="T36" s="8"/>
      <c r="U36" s="5" t="str">
        <f t="shared" si="2"/>
        <v>N</v>
      </c>
      <c r="X36" s="56"/>
      <c r="Y36" s="56"/>
      <c r="Z36" s="56"/>
      <c r="AA36" s="56"/>
      <c r="AC36" s="56"/>
    </row>
    <row r="37" spans="1:29" x14ac:dyDescent="0.25">
      <c r="A37" s="35"/>
      <c r="B37" s="5" t="e">
        <f>VLOOKUP(A37,Relay!$A$1:$B$50,2,FALSE)</f>
        <v>#N/A</v>
      </c>
      <c r="C37" s="5" t="e">
        <f>VLOOKUP(A37,Relay!$A$2:$C$51,3,FALSE)</f>
        <v>#N/A</v>
      </c>
      <c r="D37" s="39"/>
      <c r="E37" s="35"/>
      <c r="F37" s="35" t="str">
        <f t="shared" si="0"/>
        <v>INS</v>
      </c>
      <c r="G37" s="5" t="e">
        <f>IF(OR(E37="Jeopardy",E37="APP Moonlighting",E37="Differential Pay"),"",Feb[[#This Row],[SysID]])</f>
        <v>#N/A</v>
      </c>
      <c r="H37" s="5" t="e">
        <f>IF(E37="Jeopardy",IF(C37="MD",Relay!$E$7,Relay!$E$8),IF(C37="MD",IF(COUNTIF(G:G,B37)&gt;1,Relay!$E$2,Relay!$E$1),IF(AND(COUNTIF(G:G,B37)&gt;1,COUNTA(A37)&gt;0),Relay!$E$5,Relay!$E$4)))</f>
        <v>#N/A</v>
      </c>
      <c r="I37" s="8">
        <f t="shared" si="1"/>
        <v>0</v>
      </c>
      <c r="J37" s="35"/>
      <c r="K37" s="35"/>
      <c r="L37" s="35"/>
      <c r="M37" s="35"/>
      <c r="N37" s="10" t="e">
        <f>IF(H37=Feb!$E$2,"N",IF(AND(COUNTIF(B:B,B37)=1,D37&gt;14),"Y","N"))</f>
        <v>#N/A</v>
      </c>
      <c r="O37" s="55" t="str">
        <f>IF(COUNT(Feb[[#This Row],[Date]])&gt;0,IF(Feb[[#This Row],[Date]]&gt;14,"Yes","No"),"N/A")</f>
        <v>N/A</v>
      </c>
      <c r="P37" s="55"/>
      <c r="Q37" s="5">
        <f>Relay!A36</f>
        <v>0</v>
      </c>
      <c r="R37" s="5">
        <f>Relay!B36</f>
        <v>35</v>
      </c>
      <c r="S37" s="8">
        <f>IF(Feb[After the 14th?]="No",SUMIF(Feb[SysID],R37,Feb[Pay Amount]),0)+IF(Jan[After the 14th?]="Yes",SUMIF(Jan[SysID],R37,Jan[Pay Amount]),0)</f>
        <v>0</v>
      </c>
      <c r="T37" s="8"/>
      <c r="U37" s="5" t="str">
        <f t="shared" si="2"/>
        <v>N</v>
      </c>
      <c r="X37" s="56"/>
      <c r="Y37" s="56"/>
      <c r="Z37" s="56"/>
      <c r="AA37" s="56"/>
      <c r="AC37" s="56"/>
    </row>
    <row r="38" spans="1:29" x14ac:dyDescent="0.25">
      <c r="A38" s="35"/>
      <c r="B38" s="5" t="e">
        <f>VLOOKUP(A38,Relay!$A$1:$B$50,2,FALSE)</f>
        <v>#N/A</v>
      </c>
      <c r="C38" s="5" t="e">
        <f>VLOOKUP(A38,Relay!$A$2:$C$51,3,FALSE)</f>
        <v>#N/A</v>
      </c>
      <c r="D38" s="39"/>
      <c r="E38" s="35"/>
      <c r="F38" s="35" t="str">
        <f t="shared" si="0"/>
        <v>INS</v>
      </c>
      <c r="G38" s="5" t="e">
        <f>IF(OR(E38="Jeopardy",E38="APP Moonlighting",E38="Differential Pay"),"",Feb[[#This Row],[SysID]])</f>
        <v>#N/A</v>
      </c>
      <c r="H38" s="5" t="e">
        <f>IF(E38="Jeopardy",IF(C38="MD",Relay!$E$7,Relay!$E$8),IF(C38="MD",IF(COUNTIF(G:G,B38)&gt;1,Relay!$E$2,Relay!$E$1),IF(AND(COUNTIF(G:G,B38)&gt;1,COUNTA(A38)&gt;0),Relay!$E$5,Relay!$E$4)))</f>
        <v>#N/A</v>
      </c>
      <c r="I38" s="8">
        <f t="shared" si="1"/>
        <v>0</v>
      </c>
      <c r="J38" s="35"/>
      <c r="K38" s="35"/>
      <c r="L38" s="35"/>
      <c r="M38" s="35"/>
      <c r="N38" s="10" t="e">
        <f>IF(H38=Feb!$E$2,"N",IF(AND(COUNTIF(B:B,B38)=1,D38&gt;14),"Y","N"))</f>
        <v>#N/A</v>
      </c>
      <c r="O38" s="55" t="str">
        <f>IF(COUNT(Feb[[#This Row],[Date]])&gt;0,IF(Feb[[#This Row],[Date]]&gt;14,"Yes","No"),"N/A")</f>
        <v>N/A</v>
      </c>
      <c r="P38" s="55"/>
      <c r="Q38" s="5">
        <f>Relay!A37</f>
        <v>0</v>
      </c>
      <c r="R38" s="5">
        <f>Relay!B37</f>
        <v>36</v>
      </c>
      <c r="S38" s="8">
        <f>IF(Feb[After the 14th?]="No",SUMIF(Feb[SysID],R38,Feb[Pay Amount]),0)+IF(Jan[After the 14th?]="Yes",SUMIF(Jan[SysID],R38,Jan[Pay Amount]),0)</f>
        <v>0</v>
      </c>
      <c r="T38" s="8"/>
      <c r="U38" s="5" t="str">
        <f t="shared" si="2"/>
        <v>N</v>
      </c>
      <c r="X38" s="56"/>
      <c r="Y38" s="56"/>
      <c r="Z38" s="56"/>
      <c r="AA38" s="56"/>
      <c r="AC38" s="56"/>
    </row>
    <row r="39" spans="1:29" x14ac:dyDescent="0.25">
      <c r="A39" s="35"/>
      <c r="B39" s="5" t="e">
        <f>VLOOKUP(A39,Relay!$A$1:$B$50,2,FALSE)</f>
        <v>#N/A</v>
      </c>
      <c r="C39" s="5" t="e">
        <f>VLOOKUP(A39,Relay!$A$2:$C$51,3,FALSE)</f>
        <v>#N/A</v>
      </c>
      <c r="D39" s="39"/>
      <c r="E39" s="35"/>
      <c r="F39" s="35" t="str">
        <f t="shared" si="0"/>
        <v>INS</v>
      </c>
      <c r="G39" s="5" t="e">
        <f>IF(OR(E39="Jeopardy",E39="APP Moonlighting",E39="Differential Pay"),"",Feb[[#This Row],[SysID]])</f>
        <v>#N/A</v>
      </c>
      <c r="H39" s="5" t="e">
        <f>IF(E39="Jeopardy",IF(C39="MD",Relay!$E$7,Relay!$E$8),IF(C39="MD",IF(COUNTIF(G:G,B39)&gt;1,Relay!$E$2,Relay!$E$1),IF(AND(COUNTIF(G:G,B39)&gt;1,COUNTA(A39)&gt;0),Relay!$E$5,Relay!$E$4)))</f>
        <v>#N/A</v>
      </c>
      <c r="I39" s="8">
        <f t="shared" si="1"/>
        <v>0</v>
      </c>
      <c r="J39" s="35"/>
      <c r="K39" s="35"/>
      <c r="L39" s="35"/>
      <c r="M39" s="35"/>
      <c r="N39" s="10" t="e">
        <f>IF(H39=Feb!$E$2,"N",IF(AND(COUNTIF(B:B,B39)=1,D39&gt;14),"Y","N"))</f>
        <v>#N/A</v>
      </c>
      <c r="O39" s="55" t="str">
        <f>IF(COUNT(Feb[[#This Row],[Date]])&gt;0,IF(Feb[[#This Row],[Date]]&gt;14,"Yes","No"),"N/A")</f>
        <v>N/A</v>
      </c>
      <c r="P39" s="55"/>
      <c r="Q39" s="5">
        <f>Relay!A38</f>
        <v>0</v>
      </c>
      <c r="R39" s="5">
        <f>Relay!B38</f>
        <v>37</v>
      </c>
      <c r="S39" s="8">
        <f>IF(Feb[After the 14th?]="No",SUMIF(Feb[SysID],R39,Feb[Pay Amount]),0)+IF(Jan[After the 14th?]="Yes",SUMIF(Jan[SysID],R39,Jan[Pay Amount]),0)</f>
        <v>0</v>
      </c>
      <c r="T39" s="8"/>
      <c r="U39" s="5" t="str">
        <f t="shared" si="2"/>
        <v>N</v>
      </c>
      <c r="X39" s="56"/>
      <c r="Y39" s="56"/>
      <c r="Z39" s="56"/>
      <c r="AA39" s="56"/>
      <c r="AC39" s="56"/>
    </row>
    <row r="40" spans="1:29" x14ac:dyDescent="0.25">
      <c r="A40" s="35"/>
      <c r="B40" s="5" t="e">
        <f>VLOOKUP(A40,Relay!$A$1:$B$50,2,FALSE)</f>
        <v>#N/A</v>
      </c>
      <c r="C40" s="5" t="e">
        <f>VLOOKUP(A40,Relay!$A$2:$C$51,3,FALSE)</f>
        <v>#N/A</v>
      </c>
      <c r="D40" s="39"/>
      <c r="E40" s="35"/>
      <c r="F40" s="35" t="str">
        <f t="shared" si="0"/>
        <v>INS</v>
      </c>
      <c r="G40" s="5" t="e">
        <f>IF(OR(E40="Jeopardy",E40="APP Moonlighting",E40="Differential Pay"),"",Feb[[#This Row],[SysID]])</f>
        <v>#N/A</v>
      </c>
      <c r="H40" s="5" t="e">
        <f>IF(E40="Jeopardy",IF(C40="MD",Relay!$E$7,Relay!$E$8),IF(C40="MD",IF(COUNTIF(G:G,B40)&gt;1,Relay!$E$2,Relay!$E$1),IF(AND(COUNTIF(G:G,B40)&gt;1,COUNTA(A40)&gt;0),Relay!$E$5,Relay!$E$4)))</f>
        <v>#N/A</v>
      </c>
      <c r="I40" s="8">
        <f t="shared" si="1"/>
        <v>0</v>
      </c>
      <c r="J40" s="35"/>
      <c r="K40" s="35"/>
      <c r="L40" s="35"/>
      <c r="M40" s="35"/>
      <c r="N40" s="10" t="e">
        <f>IF(H40=Feb!$E$2,"N",IF(AND(COUNTIF(B:B,B40)=1,D40&gt;14),"Y","N"))</f>
        <v>#N/A</v>
      </c>
      <c r="O40" s="55" t="str">
        <f>IF(COUNT(Feb[[#This Row],[Date]])&gt;0,IF(Feb[[#This Row],[Date]]&gt;14,"Yes","No"),"N/A")</f>
        <v>N/A</v>
      </c>
      <c r="P40" s="55"/>
      <c r="Q40" s="5">
        <f>Relay!A39</f>
        <v>0</v>
      </c>
      <c r="R40" s="5">
        <f>Relay!B39</f>
        <v>38</v>
      </c>
      <c r="S40" s="8">
        <f>IF(Feb[After the 14th?]="No",SUMIF(Feb[SysID],R40,Feb[Pay Amount]),0)+IF(Jan[After the 14th?]="Yes",SUMIF(Jan[SysID],R40,Jan[Pay Amount]),0)</f>
        <v>0</v>
      </c>
      <c r="T40" s="8"/>
      <c r="U40" s="5" t="str">
        <f t="shared" si="2"/>
        <v>N</v>
      </c>
      <c r="X40" s="56"/>
      <c r="Y40" s="56"/>
      <c r="Z40" s="56"/>
      <c r="AA40" s="56"/>
      <c r="AC40" s="56"/>
    </row>
    <row r="41" spans="1:29" x14ac:dyDescent="0.25">
      <c r="A41" s="35"/>
      <c r="B41" s="5" t="e">
        <f>VLOOKUP(A41,Relay!$A$1:$B$50,2,FALSE)</f>
        <v>#N/A</v>
      </c>
      <c r="C41" s="5" t="e">
        <f>VLOOKUP(A41,Relay!$A$2:$C$51,3,FALSE)</f>
        <v>#N/A</v>
      </c>
      <c r="D41" s="39"/>
      <c r="E41" s="35"/>
      <c r="F41" s="35" t="str">
        <f t="shared" si="0"/>
        <v>INS</v>
      </c>
      <c r="G41" s="5" t="e">
        <f>IF(OR(E41="Jeopardy",E41="APP Moonlighting",E41="Differential Pay"),"",Feb[[#This Row],[SysID]])</f>
        <v>#N/A</v>
      </c>
      <c r="H41" s="5" t="e">
        <f>IF(E41="Jeopardy",IF(C41="MD",Relay!$E$7,Relay!$E$8),IF(C41="MD",IF(COUNTIF(G:G,B41)&gt;1,Relay!$E$2,Relay!$E$1),IF(AND(COUNTIF(G:G,B41)&gt;1,COUNTA(A41)&gt;0),Relay!$E$5,Relay!$E$4)))</f>
        <v>#N/A</v>
      </c>
      <c r="I41" s="8">
        <f t="shared" si="1"/>
        <v>0</v>
      </c>
      <c r="J41" s="35"/>
      <c r="K41" s="35"/>
      <c r="L41" s="35"/>
      <c r="M41" s="35"/>
      <c r="N41" s="10" t="e">
        <f>IF(H41=Feb!$E$2,"N",IF(AND(COUNTIF(B:B,B41)=1,D41&gt;14),"Y","N"))</f>
        <v>#N/A</v>
      </c>
      <c r="O41" s="55" t="str">
        <f>IF(COUNT(Feb[[#This Row],[Date]])&gt;0,IF(Feb[[#This Row],[Date]]&gt;14,"Yes","No"),"N/A")</f>
        <v>N/A</v>
      </c>
      <c r="P41" s="55"/>
      <c r="Q41" s="5">
        <f>Relay!A40</f>
        <v>0</v>
      </c>
      <c r="R41" s="5">
        <f>Relay!B40</f>
        <v>39</v>
      </c>
      <c r="S41" s="8">
        <f>IF(Feb[After the 14th?]="No",SUMIF(Feb[SysID],R41,Feb[Pay Amount]),0)+IF(Jan[After the 14th?]="Yes",SUMIF(Jan[SysID],R41,Jan[Pay Amount]),0)</f>
        <v>0</v>
      </c>
      <c r="T41" s="8"/>
      <c r="U41" s="5" t="str">
        <f t="shared" si="2"/>
        <v>N</v>
      </c>
      <c r="X41" s="56"/>
      <c r="Y41" s="56"/>
      <c r="Z41" s="56"/>
      <c r="AA41" s="56"/>
      <c r="AC41" s="56"/>
    </row>
    <row r="42" spans="1:29" x14ac:dyDescent="0.25">
      <c r="A42" s="35"/>
      <c r="B42" s="5" t="e">
        <f>VLOOKUP(A42,Relay!$A$1:$B$50,2,FALSE)</f>
        <v>#N/A</v>
      </c>
      <c r="C42" s="5" t="e">
        <f>VLOOKUP(A42,Relay!$A$2:$C$51,3,FALSE)</f>
        <v>#N/A</v>
      </c>
      <c r="D42" s="39"/>
      <c r="E42" s="35"/>
      <c r="F42" s="35" t="str">
        <f t="shared" si="0"/>
        <v>INS</v>
      </c>
      <c r="G42" s="5" t="e">
        <f>IF(OR(E42="Jeopardy",E42="APP Moonlighting",E42="Differential Pay"),"",Feb[[#This Row],[SysID]])</f>
        <v>#N/A</v>
      </c>
      <c r="H42" s="5" t="e">
        <f>IF(E42="Jeopardy",IF(C42="MD",Relay!$E$7,Relay!$E$8),IF(C42="MD",IF(COUNTIF(G:G,B42)&gt;1,Relay!$E$2,Relay!$E$1),IF(AND(COUNTIF(G:G,B42)&gt;1,COUNTA(A42)&gt;0),Relay!$E$5,Relay!$E$4)))</f>
        <v>#N/A</v>
      </c>
      <c r="I42" s="8">
        <f t="shared" si="1"/>
        <v>0</v>
      </c>
      <c r="J42" s="35"/>
      <c r="K42" s="35"/>
      <c r="L42" s="35"/>
      <c r="M42" s="35"/>
      <c r="N42" s="10" t="e">
        <f>IF(H42=Feb!$E$2,"N",IF(AND(COUNTIF(B:B,B42)=1,D42&gt;14),"Y","N"))</f>
        <v>#N/A</v>
      </c>
      <c r="O42" s="55" t="str">
        <f>IF(COUNT(Feb[[#This Row],[Date]])&gt;0,IF(Feb[[#This Row],[Date]]&gt;14,"Yes","No"),"N/A")</f>
        <v>N/A</v>
      </c>
      <c r="P42" s="55"/>
      <c r="Q42" s="5">
        <f>Relay!A41</f>
        <v>0</v>
      </c>
      <c r="R42" s="5">
        <f>Relay!B41</f>
        <v>40</v>
      </c>
      <c r="S42" s="8">
        <f>IF(Feb[After the 14th?]="No",SUMIF(Feb[SysID],R42,Feb[Pay Amount]),0)+IF(Jan[After the 14th?]="Yes",SUMIF(Jan[SysID],R42,Jan[Pay Amount]),0)</f>
        <v>0</v>
      </c>
      <c r="T42" s="8"/>
      <c r="U42" s="5" t="str">
        <f t="shared" si="2"/>
        <v>N</v>
      </c>
      <c r="X42" s="56"/>
      <c r="Y42" s="56"/>
      <c r="Z42" s="56"/>
      <c r="AA42" s="56"/>
      <c r="AC42" s="56"/>
    </row>
    <row r="43" spans="1:29" x14ac:dyDescent="0.25">
      <c r="A43" s="35"/>
      <c r="B43" s="5" t="e">
        <f>VLOOKUP(A43,Relay!$A$1:$B$50,2,FALSE)</f>
        <v>#N/A</v>
      </c>
      <c r="C43" s="5" t="e">
        <f>VLOOKUP(A43,Relay!$A$2:$C$51,3,FALSE)</f>
        <v>#N/A</v>
      </c>
      <c r="D43" s="39"/>
      <c r="E43" s="35"/>
      <c r="F43" s="35" t="str">
        <f t="shared" si="0"/>
        <v>INS</v>
      </c>
      <c r="G43" s="5" t="e">
        <f>IF(OR(E43="Jeopardy",E43="APP Moonlighting",E43="Differential Pay"),"",Feb[[#This Row],[SysID]])</f>
        <v>#N/A</v>
      </c>
      <c r="H43" s="5" t="e">
        <f>IF(E43="Jeopardy",IF(C43="MD",Relay!$E$7,Relay!$E$8),IF(C43="MD",IF(COUNTIF(G:G,B43)&gt;1,Relay!$E$2,Relay!$E$1),IF(AND(COUNTIF(G:G,B43)&gt;1,COUNTA(A43)&gt;0),Relay!$E$5,Relay!$E$4)))</f>
        <v>#N/A</v>
      </c>
      <c r="I43" s="8">
        <f t="shared" si="1"/>
        <v>0</v>
      </c>
      <c r="J43" s="35"/>
      <c r="K43" s="35"/>
      <c r="L43" s="35"/>
      <c r="M43" s="35"/>
      <c r="N43" s="10" t="e">
        <f>IF(H43=Feb!$E$2,"N",IF(AND(COUNTIF(B:B,B43)=1,D43&gt;14),"Y","N"))</f>
        <v>#N/A</v>
      </c>
      <c r="O43" s="55" t="str">
        <f>IF(COUNT(Feb[[#This Row],[Date]])&gt;0,IF(Feb[[#This Row],[Date]]&gt;14,"Yes","No"),"N/A")</f>
        <v>N/A</v>
      </c>
      <c r="P43" s="55"/>
      <c r="Q43" s="5">
        <f>Relay!A42</f>
        <v>0</v>
      </c>
      <c r="R43" s="5">
        <f>Relay!B42</f>
        <v>41</v>
      </c>
      <c r="S43" s="8">
        <f>IF(Feb[After the 14th?]="No",SUMIF(Feb[SysID],R43,Feb[Pay Amount]),0)+IF(Jan[After the 14th?]="Yes",SUMIF(Jan[SysID],R43,Jan[Pay Amount]),0)</f>
        <v>0</v>
      </c>
      <c r="T43" s="8"/>
      <c r="U43" s="5" t="str">
        <f t="shared" si="2"/>
        <v>N</v>
      </c>
      <c r="X43" s="56"/>
      <c r="Y43" s="56"/>
      <c r="Z43" s="56"/>
      <c r="AA43" s="56"/>
      <c r="AC43" s="56"/>
    </row>
    <row r="44" spans="1:29" x14ac:dyDescent="0.25">
      <c r="A44" s="35"/>
      <c r="B44" s="5" t="e">
        <f>VLOOKUP(A44,Relay!$A$1:$B$50,2,FALSE)</f>
        <v>#N/A</v>
      </c>
      <c r="C44" s="5" t="e">
        <f>VLOOKUP(A44,Relay!$A$2:$C$51,3,FALSE)</f>
        <v>#N/A</v>
      </c>
      <c r="D44" s="39"/>
      <c r="E44" s="35"/>
      <c r="F44" s="35" t="str">
        <f t="shared" si="0"/>
        <v>INS</v>
      </c>
      <c r="G44" s="5" t="e">
        <f>IF(OR(E44="Jeopardy",E44="APP Moonlighting",E44="Differential Pay"),"",Feb[[#This Row],[SysID]])</f>
        <v>#N/A</v>
      </c>
      <c r="H44" s="5" t="e">
        <f>IF(E44="Jeopardy",IF(C44="MD",Relay!$E$7,Relay!$E$8),IF(C44="MD",IF(COUNTIF(G:G,B44)&gt;1,Relay!$E$2,Relay!$E$1),IF(AND(COUNTIF(G:G,B44)&gt;1,COUNTA(A44)&gt;0),Relay!$E$5,Relay!$E$4)))</f>
        <v>#N/A</v>
      </c>
      <c r="I44" s="8">
        <f t="shared" si="1"/>
        <v>0</v>
      </c>
      <c r="J44" s="35"/>
      <c r="K44" s="35"/>
      <c r="L44" s="35"/>
      <c r="M44" s="35"/>
      <c r="N44" s="10" t="e">
        <f>IF(H44=Feb!$E$2,"N",IF(AND(COUNTIF(B:B,B44)=1,D44&gt;14),"Y","N"))</f>
        <v>#N/A</v>
      </c>
      <c r="O44" s="55" t="str">
        <f>IF(COUNT(Feb[[#This Row],[Date]])&gt;0,IF(Feb[[#This Row],[Date]]&gt;14,"Yes","No"),"N/A")</f>
        <v>N/A</v>
      </c>
      <c r="P44" s="55"/>
      <c r="Q44" s="5">
        <f>Relay!A43</f>
        <v>0</v>
      </c>
      <c r="R44" s="5">
        <f>Relay!B43</f>
        <v>42</v>
      </c>
      <c r="S44" s="8">
        <f>IF(Feb[After the 14th?]="No",SUMIF(Feb[SysID],R44,Feb[Pay Amount]),0)+IF(Jan[After the 14th?]="Yes",SUMIF(Jan[SysID],R44,Jan[Pay Amount]),0)</f>
        <v>0</v>
      </c>
      <c r="T44" s="8"/>
      <c r="U44" s="5" t="str">
        <f t="shared" si="2"/>
        <v>N</v>
      </c>
      <c r="X44" s="56"/>
      <c r="Y44" s="56"/>
      <c r="Z44" s="56"/>
      <c r="AA44" s="56"/>
      <c r="AC44" s="56"/>
    </row>
    <row r="45" spans="1:29" x14ac:dyDescent="0.25">
      <c r="A45" s="35"/>
      <c r="B45" s="5" t="e">
        <f>VLOOKUP(A45,Relay!$A$1:$B$50,2,FALSE)</f>
        <v>#N/A</v>
      </c>
      <c r="C45" s="5" t="e">
        <f>VLOOKUP(A45,Relay!$A$2:$C$51,3,FALSE)</f>
        <v>#N/A</v>
      </c>
      <c r="D45" s="39"/>
      <c r="E45" s="35"/>
      <c r="F45" s="35" t="str">
        <f t="shared" si="0"/>
        <v>INS</v>
      </c>
      <c r="G45" s="5" t="e">
        <f>IF(OR(E45="Jeopardy",E45="APP Moonlighting",E45="Differential Pay"),"",Feb[[#This Row],[SysID]])</f>
        <v>#N/A</v>
      </c>
      <c r="H45" s="5" t="e">
        <f>IF(E45="Jeopardy",IF(C45="MD",Relay!$E$7,Relay!$E$8),IF(C45="MD",IF(COUNTIF(G:G,B45)&gt;1,Relay!$E$2,Relay!$E$1),IF(AND(COUNTIF(G:G,B45)&gt;1,COUNTA(A45)&gt;0),Relay!$E$5,Relay!$E$4)))</f>
        <v>#N/A</v>
      </c>
      <c r="I45" s="8">
        <f t="shared" si="1"/>
        <v>0</v>
      </c>
      <c r="J45" s="35"/>
      <c r="K45" s="35"/>
      <c r="L45" s="35"/>
      <c r="M45" s="35"/>
      <c r="N45" s="10" t="e">
        <f>IF(H45=Feb!$E$2,"N",IF(AND(COUNTIF(B:B,B45)=1,D45&gt;14),"Y","N"))</f>
        <v>#N/A</v>
      </c>
      <c r="O45" s="55" t="str">
        <f>IF(COUNT(Feb[[#This Row],[Date]])&gt;0,IF(Feb[[#This Row],[Date]]&gt;14,"Yes","No"),"N/A")</f>
        <v>N/A</v>
      </c>
      <c r="P45" s="55"/>
      <c r="Q45" s="5">
        <f>Relay!A44</f>
        <v>0</v>
      </c>
      <c r="R45" s="5">
        <f>Relay!B44</f>
        <v>43</v>
      </c>
      <c r="S45" s="8">
        <f>IF(Feb[After the 14th?]="No",SUMIF(Feb[SysID],R45,Feb[Pay Amount]),0)+IF(Jan[After the 14th?]="Yes",SUMIF(Jan[SysID],R45,Jan[Pay Amount]),0)</f>
        <v>0</v>
      </c>
      <c r="T45" s="8"/>
      <c r="U45" s="5" t="str">
        <f t="shared" si="2"/>
        <v>N</v>
      </c>
      <c r="X45" s="56"/>
      <c r="Y45" s="56"/>
      <c r="Z45" s="56"/>
      <c r="AA45" s="56"/>
      <c r="AC45" s="56"/>
    </row>
    <row r="46" spans="1:29" x14ac:dyDescent="0.25">
      <c r="A46" s="35"/>
      <c r="B46" s="5" t="e">
        <f>VLOOKUP(A46,Relay!$A$1:$B$50,2,FALSE)</f>
        <v>#N/A</v>
      </c>
      <c r="C46" s="5" t="e">
        <f>VLOOKUP(A46,Relay!$A$2:$C$51,3,FALSE)</f>
        <v>#N/A</v>
      </c>
      <c r="D46" s="39"/>
      <c r="E46" s="35"/>
      <c r="F46" s="35" t="str">
        <f t="shared" si="0"/>
        <v>INS</v>
      </c>
      <c r="G46" s="5" t="e">
        <f>IF(OR(E46="Jeopardy",E46="APP Moonlighting",E46="Differential Pay"),"",Feb[[#This Row],[SysID]])</f>
        <v>#N/A</v>
      </c>
      <c r="H46" s="5" t="e">
        <f>IF(E46="Jeopardy",IF(C46="MD",Relay!$E$7,Relay!$E$8),IF(C46="MD",IF(COUNTIF(G:G,B46)&gt;1,Relay!$E$2,Relay!$E$1),IF(AND(COUNTIF(G:G,B46)&gt;1,COUNTA(A46)&gt;0),Relay!$E$5,Relay!$E$4)))</f>
        <v>#N/A</v>
      </c>
      <c r="I46" s="8">
        <f t="shared" si="1"/>
        <v>0</v>
      </c>
      <c r="J46" s="35"/>
      <c r="K46" s="35"/>
      <c r="L46" s="35"/>
      <c r="M46" s="35"/>
      <c r="N46" s="10" t="e">
        <f>IF(H46=Feb!$E$2,"N",IF(AND(COUNTIF(B:B,B46)=1,D46&gt;14),"Y","N"))</f>
        <v>#N/A</v>
      </c>
      <c r="O46" s="55" t="str">
        <f>IF(COUNT(Feb[[#This Row],[Date]])&gt;0,IF(Feb[[#This Row],[Date]]&gt;14,"Yes","No"),"N/A")</f>
        <v>N/A</v>
      </c>
      <c r="P46" s="55"/>
      <c r="Q46" s="5">
        <f>Relay!A45</f>
        <v>0</v>
      </c>
      <c r="R46" s="5">
        <f>Relay!B45</f>
        <v>44</v>
      </c>
      <c r="S46" s="8">
        <f>IF(Feb[After the 14th?]="No",SUMIF(Feb[SysID],R46,Feb[Pay Amount]),0)+IF(Jan[After the 14th?]="Yes",SUMIF(Jan[SysID],R46,Jan[Pay Amount]),0)</f>
        <v>0</v>
      </c>
      <c r="T46" s="8"/>
      <c r="U46" s="5" t="str">
        <f t="shared" si="2"/>
        <v>N</v>
      </c>
      <c r="X46" s="56"/>
      <c r="Y46" s="56"/>
      <c r="Z46" s="56"/>
      <c r="AA46" s="56"/>
      <c r="AC46" s="56"/>
    </row>
    <row r="47" spans="1:29" x14ac:dyDescent="0.25">
      <c r="A47" s="35"/>
      <c r="B47" s="5" t="e">
        <f>VLOOKUP(A47,Relay!$A$1:$B$50,2,FALSE)</f>
        <v>#N/A</v>
      </c>
      <c r="C47" s="5" t="e">
        <f>VLOOKUP(A47,Relay!$A$2:$C$51,3,FALSE)</f>
        <v>#N/A</v>
      </c>
      <c r="D47" s="39"/>
      <c r="E47" s="35"/>
      <c r="F47" s="35" t="str">
        <f t="shared" si="0"/>
        <v>INS</v>
      </c>
      <c r="G47" s="5" t="e">
        <f>IF(OR(E47="Jeopardy",E47="APP Moonlighting",E47="Differential Pay"),"",Feb[[#This Row],[SysID]])</f>
        <v>#N/A</v>
      </c>
      <c r="H47" s="5" t="e">
        <f>IF(E47="Jeopardy",IF(C47="MD",Relay!$E$7,Relay!$E$8),IF(C47="MD",IF(COUNTIF(G:G,B47)&gt;1,Relay!$E$2,Relay!$E$1),IF(AND(COUNTIF(G:G,B47)&gt;1,COUNTA(A47)&gt;0),Relay!$E$5,Relay!$E$4)))</f>
        <v>#N/A</v>
      </c>
      <c r="I47" s="8">
        <f t="shared" si="1"/>
        <v>0</v>
      </c>
      <c r="J47" s="35"/>
      <c r="K47" s="35"/>
      <c r="L47" s="35"/>
      <c r="M47" s="35"/>
      <c r="N47" s="10" t="e">
        <f>IF(H47=Feb!$E$2,"N",IF(AND(COUNTIF(B:B,B47)=1,D47&gt;14),"Y","N"))</f>
        <v>#N/A</v>
      </c>
      <c r="O47" s="55" t="str">
        <f>IF(COUNT(Feb[[#This Row],[Date]])&gt;0,IF(Feb[[#This Row],[Date]]&gt;14,"Yes","No"),"N/A")</f>
        <v>N/A</v>
      </c>
      <c r="P47" s="55"/>
      <c r="Q47" s="5">
        <f>Relay!A46</f>
        <v>0</v>
      </c>
      <c r="R47" s="5">
        <f>Relay!B46</f>
        <v>45</v>
      </c>
      <c r="S47" s="8">
        <f>IF(Feb[After the 14th?]="No",SUMIF(Feb[SysID],R47,Feb[Pay Amount]),0)+IF(Jan[After the 14th?]="Yes",SUMIF(Jan[SysID],R47,Jan[Pay Amount]),0)</f>
        <v>0</v>
      </c>
      <c r="T47" s="8"/>
      <c r="U47" s="5" t="str">
        <f t="shared" si="2"/>
        <v>N</v>
      </c>
      <c r="X47" s="56"/>
      <c r="Y47" s="56"/>
      <c r="Z47" s="56"/>
      <c r="AA47" s="56"/>
      <c r="AC47" s="56"/>
    </row>
    <row r="48" spans="1:29" x14ac:dyDescent="0.25">
      <c r="A48" s="35"/>
      <c r="B48" s="5" t="e">
        <f>VLOOKUP(A48,Relay!$A$1:$B$50,2,FALSE)</f>
        <v>#N/A</v>
      </c>
      <c r="C48" s="5" t="e">
        <f>VLOOKUP(A48,Relay!$A$2:$C$51,3,FALSE)</f>
        <v>#N/A</v>
      </c>
      <c r="D48" s="39"/>
      <c r="E48" s="35"/>
      <c r="F48" s="35" t="str">
        <f t="shared" si="0"/>
        <v>INS</v>
      </c>
      <c r="G48" s="5" t="e">
        <f>IF(OR(E48="Jeopardy",E48="APP Moonlighting",E48="Differential Pay"),"",Feb[[#This Row],[SysID]])</f>
        <v>#N/A</v>
      </c>
      <c r="H48" s="5" t="e">
        <f>IF(E48="Jeopardy",IF(C48="MD",Relay!$E$7,Relay!$E$8),IF(C48="MD",IF(COUNTIF(G:G,B48)&gt;1,Relay!$E$2,Relay!$E$1),IF(AND(COUNTIF(G:G,B48)&gt;1,COUNTA(A48)&gt;0),Relay!$E$5,Relay!$E$4)))</f>
        <v>#N/A</v>
      </c>
      <c r="I48" s="8">
        <f t="shared" si="1"/>
        <v>0</v>
      </c>
      <c r="J48" s="35"/>
      <c r="K48" s="35"/>
      <c r="L48" s="35"/>
      <c r="M48" s="35"/>
      <c r="N48" s="10" t="e">
        <f>IF(H48=Feb!$E$2,"N",IF(AND(COUNTIF(B:B,B48)=1,D48&gt;14),"Y","N"))</f>
        <v>#N/A</v>
      </c>
      <c r="O48" s="55" t="str">
        <f>IF(COUNT(Feb[[#This Row],[Date]])&gt;0,IF(Feb[[#This Row],[Date]]&gt;14,"Yes","No"),"N/A")</f>
        <v>N/A</v>
      </c>
      <c r="P48" s="55"/>
      <c r="Q48" s="5">
        <f>Relay!A47</f>
        <v>0</v>
      </c>
      <c r="R48" s="5">
        <f>Relay!B47</f>
        <v>46</v>
      </c>
      <c r="S48" s="8">
        <f>IF(Feb[After the 14th?]="No",SUMIF(Feb[SysID],R48,Feb[Pay Amount]),0)+IF(Jan[After the 14th?]="Yes",SUMIF(Jan[SysID],R48,Jan[Pay Amount]),0)</f>
        <v>0</v>
      </c>
      <c r="T48" s="8"/>
      <c r="U48" s="5" t="str">
        <f t="shared" si="2"/>
        <v>N</v>
      </c>
      <c r="X48" s="56"/>
      <c r="Y48" s="56"/>
      <c r="Z48" s="56"/>
      <c r="AA48" s="56"/>
      <c r="AC48" s="56"/>
    </row>
    <row r="49" spans="1:29" x14ac:dyDescent="0.25">
      <c r="A49" s="35"/>
      <c r="B49" s="5" t="e">
        <f>VLOOKUP(A49,Relay!$A$1:$B$50,2,FALSE)</f>
        <v>#N/A</v>
      </c>
      <c r="C49" s="5" t="e">
        <f>VLOOKUP(A49,Relay!$A$2:$C$51,3,FALSE)</f>
        <v>#N/A</v>
      </c>
      <c r="D49" s="39"/>
      <c r="E49" s="35"/>
      <c r="F49" s="35" t="str">
        <f t="shared" si="0"/>
        <v>INS</v>
      </c>
      <c r="G49" s="5" t="e">
        <f>IF(OR(E49="Jeopardy",E49="APP Moonlighting",E49="Differential Pay"),"",Feb[[#This Row],[SysID]])</f>
        <v>#N/A</v>
      </c>
      <c r="H49" s="5" t="e">
        <f>IF(E49="Jeopardy",IF(C49="MD",Relay!$E$7,Relay!$E$8),IF(C49="MD",IF(COUNTIF(G:G,B49)&gt;1,Relay!$E$2,Relay!$E$1),IF(AND(COUNTIF(G:G,B49)&gt;1,COUNTA(A49)&gt;0),Relay!$E$5,Relay!$E$4)))</f>
        <v>#N/A</v>
      </c>
      <c r="I49" s="8">
        <f t="shared" si="1"/>
        <v>0</v>
      </c>
      <c r="J49" s="35"/>
      <c r="K49" s="35"/>
      <c r="L49" s="35"/>
      <c r="M49" s="35"/>
      <c r="N49" s="10" t="e">
        <f>IF(H49=Feb!$E$2,"N",IF(AND(COUNTIF(B:B,B49)=1,D49&gt;14),"Y","N"))</f>
        <v>#N/A</v>
      </c>
      <c r="O49" s="55" t="str">
        <f>IF(COUNT(Feb[[#This Row],[Date]])&gt;0,IF(Feb[[#This Row],[Date]]&gt;14,"Yes","No"),"N/A")</f>
        <v>N/A</v>
      </c>
      <c r="P49" s="55"/>
      <c r="Q49" s="5">
        <f>Relay!A48</f>
        <v>0</v>
      </c>
      <c r="R49" s="5">
        <f>Relay!B48</f>
        <v>47</v>
      </c>
      <c r="S49" s="8">
        <f>IF(Feb[After the 14th?]="No",SUMIF(Feb[SysID],R49,Feb[Pay Amount]),0)+IF(Jan[After the 14th?]="Yes",SUMIF(Jan[SysID],R49,Jan[Pay Amount]),0)</f>
        <v>0</v>
      </c>
      <c r="T49" s="8"/>
      <c r="U49" s="5" t="str">
        <f t="shared" si="2"/>
        <v>N</v>
      </c>
      <c r="X49" s="56"/>
      <c r="Y49" s="56"/>
      <c r="Z49" s="56"/>
      <c r="AA49" s="56"/>
      <c r="AC49" s="56"/>
    </row>
    <row r="50" spans="1:29" x14ac:dyDescent="0.25">
      <c r="A50" s="35"/>
      <c r="B50" s="5" t="e">
        <f>VLOOKUP(A50,Relay!$A$1:$B$50,2,FALSE)</f>
        <v>#N/A</v>
      </c>
      <c r="C50" s="5" t="e">
        <f>VLOOKUP(A50,Relay!$A$2:$C$51,3,FALSE)</f>
        <v>#N/A</v>
      </c>
      <c r="D50" s="39"/>
      <c r="E50" s="35"/>
      <c r="F50" s="35" t="str">
        <f t="shared" si="0"/>
        <v>INS</v>
      </c>
      <c r="G50" s="5" t="e">
        <f>IF(OR(E50="Jeopardy",E50="APP Moonlighting",E50="Differential Pay"),"",Feb[[#This Row],[SysID]])</f>
        <v>#N/A</v>
      </c>
      <c r="H50" s="5" t="e">
        <f>IF(E50="Jeopardy",IF(C50="MD",Relay!$E$7,Relay!$E$8),IF(C50="MD",IF(COUNTIF(G:G,B50)&gt;1,Relay!$E$2,Relay!$E$1),IF(AND(COUNTIF(G:G,B50)&gt;1,COUNTA(A50)&gt;0),Relay!$E$5,Relay!$E$4)))</f>
        <v>#N/A</v>
      </c>
      <c r="I50" s="8">
        <f t="shared" si="1"/>
        <v>0</v>
      </c>
      <c r="J50" s="35"/>
      <c r="K50" s="35"/>
      <c r="L50" s="35"/>
      <c r="M50" s="35"/>
      <c r="N50" s="10" t="e">
        <f>IF(H50=Feb!$E$2,"N",IF(AND(COUNTIF(B:B,B50)=1,D50&gt;14),"Y","N"))</f>
        <v>#N/A</v>
      </c>
      <c r="O50" s="55" t="str">
        <f>IF(COUNT(Feb[[#This Row],[Date]])&gt;0,IF(Feb[[#This Row],[Date]]&gt;14,"Yes","No"),"N/A")</f>
        <v>N/A</v>
      </c>
      <c r="P50" s="55"/>
      <c r="Q50" s="5">
        <f>Relay!A49</f>
        <v>0</v>
      </c>
      <c r="R50" s="5">
        <f>Relay!B49</f>
        <v>48</v>
      </c>
      <c r="S50" s="8">
        <f>IF(Feb[After the 14th?]="No",SUMIF(Feb[SysID],R50,Feb[Pay Amount]),0)+IF(Jan[After the 14th?]="Yes",SUMIF(Jan[SysID],R50,Jan[Pay Amount]),0)</f>
        <v>0</v>
      </c>
      <c r="T50" s="8"/>
      <c r="U50" s="5" t="str">
        <f t="shared" si="2"/>
        <v>N</v>
      </c>
      <c r="X50" s="56"/>
      <c r="Y50" s="56"/>
      <c r="Z50" s="56"/>
      <c r="AA50" s="56"/>
      <c r="AC50" s="56"/>
    </row>
    <row r="51" spans="1:29" x14ac:dyDescent="0.25">
      <c r="A51" s="35"/>
      <c r="B51" s="32" t="e">
        <f>VLOOKUP(A51,Relay!$A$1:$B$50,2,FALSE)</f>
        <v>#N/A</v>
      </c>
      <c r="C51" s="32" t="e">
        <f>VLOOKUP(A51,Relay!$A$2:$C$101,3,FALSE)</f>
        <v>#N/A</v>
      </c>
      <c r="D51" s="39"/>
      <c r="E51" s="35"/>
      <c r="F51" s="58" t="str">
        <f t="shared" si="0"/>
        <v>INS</v>
      </c>
      <c r="G51" s="32" t="e">
        <f>IF(OR(E51="Jeopardy",E51="APP Moonlighting",E51="Differential Pay"),"",Feb[[#This Row],[SysID]])</f>
        <v>#N/A</v>
      </c>
      <c r="H51" s="32" t="e">
        <f>IF(E51="Jeopardy",IF(C51="MD",Relay!$E$7,Relay!$E$8),IF(C51="MD",IF(COUNTIF(G:G,B51)&gt;1,Relay!$E$2,Relay!$E$1),IF(AND(COUNTIF(G:G,B51)&gt;1,COUNTA(A51)&gt;0),Relay!$E$5,Relay!$E$4)))</f>
        <v>#N/A</v>
      </c>
      <c r="I51" s="8">
        <f t="shared" si="1"/>
        <v>0</v>
      </c>
      <c r="J51" s="35"/>
      <c r="K51" s="35"/>
      <c r="L51" s="35"/>
      <c r="M51" s="35"/>
      <c r="N51" s="32" t="e">
        <f>IF(H51=Feb!$E$2,"N",IF(AND(COUNTIF(B:B,B51)=1,D51&gt;14),"Y","N"))</f>
        <v>#N/A</v>
      </c>
      <c r="O51" s="55" t="str">
        <f>IF(COUNT(Feb[[#This Row],[Date]])&gt;0,IF(Feb[[#This Row],[Date]]&gt;14,"Yes","No"),"N/A")</f>
        <v>N/A</v>
      </c>
      <c r="P51" s="55"/>
      <c r="Q51" s="5">
        <f>Relay!A50</f>
        <v>0</v>
      </c>
      <c r="R51" s="5">
        <f>Relay!B50</f>
        <v>49</v>
      </c>
      <c r="S51" s="8">
        <f>IF(Feb[After the 14th?]="No",SUMIF(Feb[SysID],R51,Feb[Pay Amount]),0)+IF(Jan[After the 14th?]="Yes",SUMIF(Jan[SysID],R51,Jan[Pay Amount]),0)</f>
        <v>0</v>
      </c>
      <c r="T51" s="8"/>
      <c r="U51" s="5" t="str">
        <f t="shared" si="2"/>
        <v>N</v>
      </c>
      <c r="X51" s="56"/>
      <c r="Y51" s="56"/>
      <c r="Z51" s="56"/>
      <c r="AA51" s="56"/>
      <c r="AC51" s="56"/>
    </row>
    <row r="52" spans="1:29" x14ac:dyDescent="0.25">
      <c r="A52" s="35"/>
      <c r="B52" s="32" t="e">
        <f>VLOOKUP(A52,Relay!$A$1:$B$50,2,FALSE)</f>
        <v>#N/A</v>
      </c>
      <c r="C52" s="32" t="e">
        <f>VLOOKUP(A52,Relay!$A$2:$C$101,3,FALSE)</f>
        <v>#N/A</v>
      </c>
      <c r="D52" s="39"/>
      <c r="E52" s="35"/>
      <c r="F52" s="58" t="str">
        <f t="shared" si="0"/>
        <v>INS</v>
      </c>
      <c r="G52" s="32" t="e">
        <f>IF(OR(E52="Jeopardy",E52="APP Moonlighting",E52="Differential Pay"),"",Feb[[#This Row],[SysID]])</f>
        <v>#N/A</v>
      </c>
      <c r="H52" s="32" t="e">
        <f>IF(E52="Jeopardy",IF(C52="MD",Relay!$E$7,Relay!$E$8),IF(C52="MD",IF(COUNTIF(G:G,B52)&gt;1,Relay!$E$2,Relay!$E$1),IF(AND(COUNTIF(G:G,B52)&gt;1,COUNTA(A52)&gt;0),Relay!$E$5,Relay!$E$4)))</f>
        <v>#N/A</v>
      </c>
      <c r="I52" s="8">
        <f t="shared" si="1"/>
        <v>0</v>
      </c>
      <c r="J52" s="35"/>
      <c r="K52" s="35"/>
      <c r="L52" s="35"/>
      <c r="M52" s="35"/>
      <c r="N52" s="32" t="e">
        <f>IF(H52=Feb!$E$2,"N",IF(AND(COUNTIF(B:B,B52)=1,D52&gt;14),"Y","N"))</f>
        <v>#N/A</v>
      </c>
      <c r="O52" s="55" t="str">
        <f>IF(COUNT(Feb[[#This Row],[Date]])&gt;0,IF(Feb[[#This Row],[Date]]&gt;14,"Yes","No"),"N/A")</f>
        <v>N/A</v>
      </c>
      <c r="P52" s="55"/>
      <c r="Q52" s="5">
        <f>Relay!A51</f>
        <v>0</v>
      </c>
      <c r="R52" s="5">
        <f>Relay!B51</f>
        <v>50</v>
      </c>
      <c r="S52" s="8">
        <f>IF(Feb[After the 14th?]="No",SUMIF(Feb[SysID],R52,Feb[Pay Amount]),0)+IF(Jan[After the 14th?]="Yes",SUMIF(Jan[SysID],R52,Jan[Pay Amount]),0)</f>
        <v>0</v>
      </c>
      <c r="T52" s="8"/>
      <c r="U52" s="5" t="str">
        <f t="shared" si="2"/>
        <v>N</v>
      </c>
      <c r="X52" s="56"/>
      <c r="Y52" s="56"/>
      <c r="Z52" s="56"/>
      <c r="AA52" s="56"/>
      <c r="AC52" s="56"/>
    </row>
    <row r="53" spans="1:29" x14ac:dyDescent="0.25">
      <c r="A53" s="35"/>
      <c r="B53" s="32" t="e">
        <f>VLOOKUP(A53,Relay!$A$1:$B$50,2,FALSE)</f>
        <v>#N/A</v>
      </c>
      <c r="C53" s="32" t="e">
        <f>VLOOKUP(A53,Relay!$A$2:$C$101,3,FALSE)</f>
        <v>#N/A</v>
      </c>
      <c r="D53" s="39"/>
      <c r="E53" s="35"/>
      <c r="F53" s="58" t="str">
        <f t="shared" si="0"/>
        <v>INS</v>
      </c>
      <c r="G53" s="32" t="e">
        <f>IF(OR(E53="Jeopardy",E53="APP Moonlighting",E53="Differential Pay"),"",Feb[[#This Row],[SysID]])</f>
        <v>#N/A</v>
      </c>
      <c r="H53" s="32" t="e">
        <f>IF(E53="Jeopardy",IF(C53="MD",Relay!$E$7,Relay!$E$8),IF(C53="MD",IF(COUNTIF(G:G,B53)&gt;1,Relay!$E$2,Relay!$E$1),IF(AND(COUNTIF(G:G,B53)&gt;1,COUNTA(A53)&gt;0),Relay!$E$5,Relay!$E$4)))</f>
        <v>#N/A</v>
      </c>
      <c r="I53" s="8">
        <f t="shared" si="1"/>
        <v>0</v>
      </c>
      <c r="J53" s="35"/>
      <c r="K53" s="35"/>
      <c r="L53" s="35"/>
      <c r="M53" s="35"/>
      <c r="N53" s="32" t="e">
        <f>IF(H53=Feb!$E$2,"N",IF(AND(COUNTIF(B:B,B53)=1,D53&gt;14),"Y","N"))</f>
        <v>#N/A</v>
      </c>
      <c r="O53" s="55" t="str">
        <f>IF(COUNT(Feb[[#This Row],[Date]])&gt;0,IF(Feb[[#This Row],[Date]]&gt;14,"Yes","No"),"N/A")</f>
        <v>N/A</v>
      </c>
      <c r="P53" s="55"/>
      <c r="Q53" s="5">
        <f>Relay!A52</f>
        <v>0</v>
      </c>
      <c r="R53" s="5">
        <f>Relay!B52</f>
        <v>51</v>
      </c>
      <c r="S53" s="8">
        <f>IF(Feb[After the 14th?]="No",SUMIF(Feb[SysID],R53,Feb[Pay Amount]),0)+IF(Jan[After the 14th?]="Yes",SUMIF(Jan[SysID],R53,Jan[Pay Amount]),0)</f>
        <v>0</v>
      </c>
      <c r="T53" s="8"/>
      <c r="U53" s="5" t="str">
        <f t="shared" si="2"/>
        <v>N</v>
      </c>
      <c r="X53" s="56"/>
      <c r="Y53" s="56"/>
      <c r="Z53" s="56"/>
      <c r="AA53" s="56"/>
      <c r="AC53" s="56"/>
    </row>
    <row r="54" spans="1:29" x14ac:dyDescent="0.25">
      <c r="A54" s="35"/>
      <c r="B54" s="32" t="e">
        <f>VLOOKUP(A54,Relay!$A$1:$B$50,2,FALSE)</f>
        <v>#N/A</v>
      </c>
      <c r="C54" s="32" t="e">
        <f>VLOOKUP(A54,Relay!$A$2:$C$101,3,FALSE)</f>
        <v>#N/A</v>
      </c>
      <c r="D54" s="39"/>
      <c r="E54" s="35"/>
      <c r="F54" s="58" t="str">
        <f t="shared" si="0"/>
        <v>INS</v>
      </c>
      <c r="G54" s="32" t="e">
        <f>IF(OR(E54="Jeopardy",E54="APP Moonlighting",E54="Differential Pay"),"",Feb[[#This Row],[SysID]])</f>
        <v>#N/A</v>
      </c>
      <c r="H54" s="32" t="e">
        <f>IF(E54="Jeopardy",IF(C54="MD",Relay!$E$7,Relay!$E$8),IF(C54="MD",IF(COUNTIF(G:G,B54)&gt;1,Relay!$E$2,Relay!$E$1),IF(AND(COUNTIF(G:G,B54)&gt;1,COUNTA(A54)&gt;0),Relay!$E$5,Relay!$E$4)))</f>
        <v>#N/A</v>
      </c>
      <c r="I54" s="8">
        <f t="shared" si="1"/>
        <v>0</v>
      </c>
      <c r="J54" s="35"/>
      <c r="K54" s="35"/>
      <c r="L54" s="35"/>
      <c r="M54" s="35"/>
      <c r="N54" s="32" t="e">
        <f>IF(H54=Feb!$E$2,"N",IF(AND(COUNTIF(B:B,B54)=1,D54&gt;14),"Y","N"))</f>
        <v>#N/A</v>
      </c>
      <c r="O54" s="55" t="str">
        <f>IF(COUNT(Feb[[#This Row],[Date]])&gt;0,IF(Feb[[#This Row],[Date]]&gt;14,"Yes","No"),"N/A")</f>
        <v>N/A</v>
      </c>
      <c r="P54" s="55"/>
      <c r="Q54" s="5">
        <f>Relay!A53</f>
        <v>0</v>
      </c>
      <c r="R54" s="5">
        <f>Relay!B53</f>
        <v>52</v>
      </c>
      <c r="S54" s="8">
        <f>IF(Feb[After the 14th?]="No",SUMIF(Feb[SysID],R54,Feb[Pay Amount]),0)+IF(Jan[After the 14th?]="Yes",SUMIF(Jan[SysID],R54,Jan[Pay Amount]),0)</f>
        <v>0</v>
      </c>
      <c r="T54" s="8"/>
      <c r="U54" s="5" t="str">
        <f t="shared" si="2"/>
        <v>N</v>
      </c>
      <c r="X54" s="56"/>
      <c r="Y54" s="56"/>
      <c r="Z54" s="56"/>
      <c r="AA54" s="56"/>
      <c r="AC54" s="56"/>
    </row>
    <row r="55" spans="1:29" x14ac:dyDescent="0.25">
      <c r="A55" s="35"/>
      <c r="B55" s="32" t="e">
        <f>VLOOKUP(A55,Relay!$A$1:$B$50,2,FALSE)</f>
        <v>#N/A</v>
      </c>
      <c r="C55" s="32" t="e">
        <f>VLOOKUP(A55,Relay!$A$2:$C$101,3,FALSE)</f>
        <v>#N/A</v>
      </c>
      <c r="D55" s="39"/>
      <c r="E55" s="35"/>
      <c r="F55" s="58" t="str">
        <f t="shared" si="0"/>
        <v>INS</v>
      </c>
      <c r="G55" s="32" t="e">
        <f>IF(OR(E55="Jeopardy",E55="APP Moonlighting",E55="Differential Pay"),"",Feb[[#This Row],[SysID]])</f>
        <v>#N/A</v>
      </c>
      <c r="H55" s="32" t="e">
        <f>IF(E55="Jeopardy",IF(C55="MD",Relay!$E$7,Relay!$E$8),IF(C55="MD",IF(COUNTIF(G:G,B55)&gt;1,Relay!$E$2,Relay!$E$1),IF(AND(COUNTIF(G:G,B55)&gt;1,COUNTA(A55)&gt;0),Relay!$E$5,Relay!$E$4)))</f>
        <v>#N/A</v>
      </c>
      <c r="I55" s="8">
        <f t="shared" si="1"/>
        <v>0</v>
      </c>
      <c r="J55" s="35"/>
      <c r="K55" s="35"/>
      <c r="L55" s="35"/>
      <c r="M55" s="35"/>
      <c r="N55" s="32" t="e">
        <f>IF(H55=Feb!$E$2,"N",IF(AND(COUNTIF(B:B,B55)=1,D55&gt;14),"Y","N"))</f>
        <v>#N/A</v>
      </c>
      <c r="O55" s="55" t="str">
        <f>IF(COUNT(Feb[[#This Row],[Date]])&gt;0,IF(Feb[[#This Row],[Date]]&gt;14,"Yes","No"),"N/A")</f>
        <v>N/A</v>
      </c>
      <c r="P55" s="55"/>
      <c r="Q55" s="5">
        <f>Relay!A54</f>
        <v>0</v>
      </c>
      <c r="R55" s="5">
        <f>Relay!B54</f>
        <v>53</v>
      </c>
      <c r="S55" s="8">
        <f>IF(Feb[After the 14th?]="No",SUMIF(Feb[SysID],R55,Feb[Pay Amount]),0)+IF(Jan[After the 14th?]="Yes",SUMIF(Jan[SysID],R55,Jan[Pay Amount]),0)</f>
        <v>0</v>
      </c>
      <c r="T55" s="8"/>
      <c r="U55" s="5" t="str">
        <f t="shared" si="2"/>
        <v>N</v>
      </c>
      <c r="X55" s="56"/>
      <c r="Y55" s="56"/>
      <c r="Z55" s="56"/>
      <c r="AA55" s="56"/>
      <c r="AC55" s="56"/>
    </row>
    <row r="56" spans="1:29" x14ac:dyDescent="0.25">
      <c r="A56" s="35"/>
      <c r="B56" s="32" t="e">
        <f>VLOOKUP(A56,Relay!$A$1:$B$50,2,FALSE)</f>
        <v>#N/A</v>
      </c>
      <c r="C56" s="32" t="e">
        <f>VLOOKUP(A56,Relay!$A$2:$C$101,3,FALSE)</f>
        <v>#N/A</v>
      </c>
      <c r="D56" s="39"/>
      <c r="E56" s="35"/>
      <c r="F56" s="58" t="str">
        <f t="shared" si="0"/>
        <v>INS</v>
      </c>
      <c r="G56" s="32" t="e">
        <f>IF(OR(E56="Jeopardy",E56="APP Moonlighting",E56="Differential Pay"),"",Feb[[#This Row],[SysID]])</f>
        <v>#N/A</v>
      </c>
      <c r="H56" s="32" t="e">
        <f>IF(E56="Jeopardy",IF(C56="MD",Relay!$E$7,Relay!$E$8),IF(C56="MD",IF(COUNTIF(G:G,B56)&gt;1,Relay!$E$2,Relay!$E$1),IF(AND(COUNTIF(G:G,B56)&gt;1,COUNTA(A56)&gt;0),Relay!$E$5,Relay!$E$4)))</f>
        <v>#N/A</v>
      </c>
      <c r="I56" s="8">
        <f t="shared" si="1"/>
        <v>0</v>
      </c>
      <c r="J56" s="35"/>
      <c r="K56" s="35"/>
      <c r="L56" s="35"/>
      <c r="M56" s="35"/>
      <c r="N56" s="32" t="e">
        <f>IF(H56=Feb!$E$2,"N",IF(AND(COUNTIF(B:B,B56)=1,D56&gt;14),"Y","N"))</f>
        <v>#N/A</v>
      </c>
      <c r="O56" s="55" t="str">
        <f>IF(COUNT(Feb[[#This Row],[Date]])&gt;0,IF(Feb[[#This Row],[Date]]&gt;14,"Yes","No"),"N/A")</f>
        <v>N/A</v>
      </c>
      <c r="P56" s="55"/>
      <c r="Q56" s="5">
        <f>Relay!A55</f>
        <v>0</v>
      </c>
      <c r="R56" s="5">
        <f>Relay!B55</f>
        <v>54</v>
      </c>
      <c r="S56" s="8">
        <f>IF(Feb[After the 14th?]="No",SUMIF(Feb[SysID],R56,Feb[Pay Amount]),0)+IF(Jan[After the 14th?]="Yes",SUMIF(Jan[SysID],R56,Jan[Pay Amount]),0)</f>
        <v>0</v>
      </c>
      <c r="T56" s="8"/>
      <c r="U56" s="5" t="str">
        <f t="shared" si="2"/>
        <v>N</v>
      </c>
      <c r="X56" s="56"/>
      <c r="Y56" s="56"/>
      <c r="Z56" s="56"/>
      <c r="AA56" s="56"/>
      <c r="AC56" s="56"/>
    </row>
    <row r="57" spans="1:29" x14ac:dyDescent="0.25">
      <c r="A57" s="35"/>
      <c r="B57" s="32" t="e">
        <f>VLOOKUP(A57,Relay!$A$1:$B$50,2,FALSE)</f>
        <v>#N/A</v>
      </c>
      <c r="C57" s="32" t="e">
        <f>VLOOKUP(A57,Relay!$A$2:$C$101,3,FALSE)</f>
        <v>#N/A</v>
      </c>
      <c r="D57" s="39"/>
      <c r="E57" s="35"/>
      <c r="F57" s="58" t="str">
        <f t="shared" si="0"/>
        <v>INS</v>
      </c>
      <c r="G57" s="32" t="e">
        <f>IF(OR(E57="Jeopardy",E57="APP Moonlighting",E57="Differential Pay"),"",Feb[[#This Row],[SysID]])</f>
        <v>#N/A</v>
      </c>
      <c r="H57" s="32" t="e">
        <f>IF(E57="Jeopardy",IF(C57="MD",Relay!$E$7,Relay!$E$8),IF(C57="MD",IF(COUNTIF(G:G,B57)&gt;1,Relay!$E$2,Relay!$E$1),IF(AND(COUNTIF(G:G,B57)&gt;1,COUNTA(A57)&gt;0),Relay!$E$5,Relay!$E$4)))</f>
        <v>#N/A</v>
      </c>
      <c r="I57" s="8">
        <f t="shared" si="1"/>
        <v>0</v>
      </c>
      <c r="J57" s="35"/>
      <c r="K57" s="35"/>
      <c r="L57" s="35"/>
      <c r="M57" s="35"/>
      <c r="N57" s="32" t="e">
        <f>IF(H57=Feb!$E$2,"N",IF(AND(COUNTIF(B:B,B57)=1,D57&gt;14),"Y","N"))</f>
        <v>#N/A</v>
      </c>
      <c r="O57" s="55" t="str">
        <f>IF(COUNT(Feb[[#This Row],[Date]])&gt;0,IF(Feb[[#This Row],[Date]]&gt;14,"Yes","No"),"N/A")</f>
        <v>N/A</v>
      </c>
      <c r="P57" s="55"/>
      <c r="Q57" s="5">
        <f>Relay!A56</f>
        <v>0</v>
      </c>
      <c r="R57" s="5">
        <f>Relay!B56</f>
        <v>55</v>
      </c>
      <c r="S57" s="8">
        <f>IF(Feb[After the 14th?]="No",SUMIF(Feb[SysID],R57,Feb[Pay Amount]),0)+IF(Jan[After the 14th?]="Yes",SUMIF(Jan[SysID],R57,Jan[Pay Amount]),0)</f>
        <v>0</v>
      </c>
      <c r="T57" s="8"/>
      <c r="U57" s="5" t="str">
        <f t="shared" si="2"/>
        <v>N</v>
      </c>
      <c r="X57" s="56"/>
      <c r="Y57" s="56"/>
      <c r="Z57" s="56"/>
      <c r="AA57" s="56"/>
      <c r="AC57" s="56"/>
    </row>
    <row r="58" spans="1:29" x14ac:dyDescent="0.25">
      <c r="A58" s="35"/>
      <c r="B58" s="32" t="e">
        <f>VLOOKUP(A58,Relay!$A$1:$B$50,2,FALSE)</f>
        <v>#N/A</v>
      </c>
      <c r="C58" s="32" t="e">
        <f>VLOOKUP(A58,Relay!$A$2:$C$101,3,FALSE)</f>
        <v>#N/A</v>
      </c>
      <c r="D58" s="39"/>
      <c r="E58" s="35"/>
      <c r="F58" s="58" t="str">
        <f t="shared" si="0"/>
        <v>INS</v>
      </c>
      <c r="G58" s="32" t="e">
        <f>IF(OR(E58="Jeopardy",E58="APP Moonlighting",E58="Differential Pay"),"",Feb[[#This Row],[SysID]])</f>
        <v>#N/A</v>
      </c>
      <c r="H58" s="32" t="e">
        <f>IF(E58="Jeopardy",IF(C58="MD",Relay!$E$7,Relay!$E$8),IF(C58="MD",IF(COUNTIF(G:G,B58)&gt;1,Relay!$E$2,Relay!$E$1),IF(AND(COUNTIF(G:G,B58)&gt;1,COUNTA(A58)&gt;0),Relay!$E$5,Relay!$E$4)))</f>
        <v>#N/A</v>
      </c>
      <c r="I58" s="8">
        <f t="shared" si="1"/>
        <v>0</v>
      </c>
      <c r="J58" s="35"/>
      <c r="K58" s="35"/>
      <c r="L58" s="35"/>
      <c r="M58" s="35"/>
      <c r="N58" s="32" t="e">
        <f>IF(H58=Feb!$E$2,"N",IF(AND(COUNTIF(B:B,B58)=1,D58&gt;14),"Y","N"))</f>
        <v>#N/A</v>
      </c>
      <c r="O58" s="55" t="str">
        <f>IF(COUNT(Feb[[#This Row],[Date]])&gt;0,IF(Feb[[#This Row],[Date]]&gt;14,"Yes","No"),"N/A")</f>
        <v>N/A</v>
      </c>
      <c r="P58" s="55"/>
      <c r="Q58" s="5">
        <f>Relay!A57</f>
        <v>0</v>
      </c>
      <c r="R58" s="5">
        <f>Relay!B57</f>
        <v>56</v>
      </c>
      <c r="S58" s="8">
        <f>IF(Feb[After the 14th?]="No",SUMIF(Feb[SysID],R58,Feb[Pay Amount]),0)+IF(Jan[After the 14th?]="Yes",SUMIF(Jan[SysID],R58,Jan[Pay Amount]),0)</f>
        <v>0</v>
      </c>
      <c r="T58" s="8"/>
      <c r="U58" s="5" t="str">
        <f t="shared" si="2"/>
        <v>N</v>
      </c>
      <c r="X58" s="56"/>
      <c r="Y58" s="56"/>
      <c r="Z58" s="56"/>
      <c r="AA58" s="56"/>
      <c r="AC58" s="56"/>
    </row>
    <row r="59" spans="1:29" x14ac:dyDescent="0.25">
      <c r="A59" s="35"/>
      <c r="B59" s="32" t="e">
        <f>VLOOKUP(A59,Relay!$A$1:$B$50,2,FALSE)</f>
        <v>#N/A</v>
      </c>
      <c r="C59" s="32" t="e">
        <f>VLOOKUP(A59,Relay!$A$2:$C$101,3,FALSE)</f>
        <v>#N/A</v>
      </c>
      <c r="D59" s="39"/>
      <c r="E59" s="35"/>
      <c r="F59" s="58" t="str">
        <f t="shared" si="0"/>
        <v>INS</v>
      </c>
      <c r="G59" s="32" t="e">
        <f>IF(OR(E59="Jeopardy",E59="APP Moonlighting",E59="Differential Pay"),"",Feb[[#This Row],[SysID]])</f>
        <v>#N/A</v>
      </c>
      <c r="H59" s="32" t="e">
        <f>IF(E59="Jeopardy",IF(C59="MD",Relay!$E$7,Relay!$E$8),IF(C59="MD",IF(COUNTIF(G:G,B59)&gt;1,Relay!$E$2,Relay!$E$1),IF(AND(COUNTIF(G:G,B59)&gt;1,COUNTA(A59)&gt;0),Relay!$E$5,Relay!$E$4)))</f>
        <v>#N/A</v>
      </c>
      <c r="I59" s="8">
        <f t="shared" si="1"/>
        <v>0</v>
      </c>
      <c r="J59" s="35"/>
      <c r="K59" s="35"/>
      <c r="L59" s="35"/>
      <c r="M59" s="35"/>
      <c r="N59" s="32" t="e">
        <f>IF(H59=Feb!$E$2,"N",IF(AND(COUNTIF(B:B,B59)=1,D59&gt;14),"Y","N"))</f>
        <v>#N/A</v>
      </c>
      <c r="O59" s="55" t="str">
        <f>IF(COUNT(Feb[[#This Row],[Date]])&gt;0,IF(Feb[[#This Row],[Date]]&gt;14,"Yes","No"),"N/A")</f>
        <v>N/A</v>
      </c>
      <c r="P59" s="55"/>
      <c r="Q59" s="5">
        <f>Relay!A58</f>
        <v>0</v>
      </c>
      <c r="R59" s="5">
        <f>Relay!B58</f>
        <v>57</v>
      </c>
      <c r="S59" s="8">
        <f>IF(Feb[After the 14th?]="No",SUMIF(Feb[SysID],R59,Feb[Pay Amount]),0)+IF(Jan[After the 14th?]="Yes",SUMIF(Jan[SysID],R59,Jan[Pay Amount]),0)</f>
        <v>0</v>
      </c>
      <c r="T59" s="8"/>
      <c r="U59" s="5" t="str">
        <f t="shared" si="2"/>
        <v>N</v>
      </c>
      <c r="X59" s="56"/>
      <c r="Y59" s="56"/>
      <c r="Z59" s="56"/>
      <c r="AA59" s="56"/>
      <c r="AC59" s="56"/>
    </row>
    <row r="60" spans="1:29" x14ac:dyDescent="0.25">
      <c r="A60" s="35"/>
      <c r="B60" s="32" t="e">
        <f>VLOOKUP(A60,Relay!$A$1:$B$50,2,FALSE)</f>
        <v>#N/A</v>
      </c>
      <c r="C60" s="32" t="e">
        <f>VLOOKUP(A60,Relay!$A$2:$C$101,3,FALSE)</f>
        <v>#N/A</v>
      </c>
      <c r="D60" s="39"/>
      <c r="E60" s="35"/>
      <c r="F60" s="58" t="str">
        <f t="shared" si="0"/>
        <v>INS</v>
      </c>
      <c r="G60" s="32" t="e">
        <f>IF(OR(E60="Jeopardy",E60="APP Moonlighting",E60="Differential Pay"),"",Feb[[#This Row],[SysID]])</f>
        <v>#N/A</v>
      </c>
      <c r="H60" s="32" t="e">
        <f>IF(E60="Jeopardy",IF(C60="MD",Relay!$E$7,Relay!$E$8),IF(C60="MD",IF(COUNTIF(G:G,B60)&gt;1,Relay!$E$2,Relay!$E$1),IF(AND(COUNTIF(G:G,B60)&gt;1,COUNTA(A60)&gt;0),Relay!$E$5,Relay!$E$4)))</f>
        <v>#N/A</v>
      </c>
      <c r="I60" s="8">
        <f t="shared" si="1"/>
        <v>0</v>
      </c>
      <c r="J60" s="35"/>
      <c r="K60" s="35"/>
      <c r="L60" s="35"/>
      <c r="M60" s="35"/>
      <c r="N60" s="32" t="e">
        <f>IF(H60=Feb!$E$2,"N",IF(AND(COUNTIF(B:B,B60)=1,D60&gt;14),"Y","N"))</f>
        <v>#N/A</v>
      </c>
      <c r="O60" s="55" t="str">
        <f>IF(COUNT(Feb[[#This Row],[Date]])&gt;0,IF(Feb[[#This Row],[Date]]&gt;14,"Yes","No"),"N/A")</f>
        <v>N/A</v>
      </c>
      <c r="P60" s="55"/>
      <c r="Q60" s="5">
        <f>Relay!A59</f>
        <v>0</v>
      </c>
      <c r="R60" s="5">
        <f>Relay!B59</f>
        <v>58</v>
      </c>
      <c r="S60" s="8">
        <f>IF(Feb[After the 14th?]="No",SUMIF(Feb[SysID],R60,Feb[Pay Amount]),0)+IF(Jan[After the 14th?]="Yes",SUMIF(Jan[SysID],R60,Jan[Pay Amount]),0)</f>
        <v>0</v>
      </c>
      <c r="T60" s="8"/>
      <c r="U60" s="5" t="str">
        <f t="shared" si="2"/>
        <v>N</v>
      </c>
      <c r="X60" s="56"/>
      <c r="Y60" s="56"/>
      <c r="Z60" s="56"/>
      <c r="AA60" s="56"/>
      <c r="AC60" s="56"/>
    </row>
    <row r="61" spans="1:29" x14ac:dyDescent="0.25">
      <c r="A61" s="35"/>
      <c r="B61" s="32" t="e">
        <f>VLOOKUP(A61,Relay!$A$1:$B$50,2,FALSE)</f>
        <v>#N/A</v>
      </c>
      <c r="C61" s="32" t="e">
        <f>VLOOKUP(A61,Relay!$A$2:$C$101,3,FALSE)</f>
        <v>#N/A</v>
      </c>
      <c r="D61" s="39"/>
      <c r="E61" s="35"/>
      <c r="F61" s="58" t="str">
        <f t="shared" si="0"/>
        <v>INS</v>
      </c>
      <c r="G61" s="32" t="e">
        <f>IF(OR(E61="Jeopardy",E61="APP Moonlighting",E61="Differential Pay"),"",Feb[[#This Row],[SysID]])</f>
        <v>#N/A</v>
      </c>
      <c r="H61" s="32" t="e">
        <f>IF(E61="Jeopardy",IF(C61="MD",Relay!$E$7,Relay!$E$8),IF(C61="MD",IF(COUNTIF(G:G,B61)&gt;1,Relay!$E$2,Relay!$E$1),IF(AND(COUNTIF(G:G,B61)&gt;1,COUNTA(A61)&gt;0),Relay!$E$5,Relay!$E$4)))</f>
        <v>#N/A</v>
      </c>
      <c r="I61" s="8">
        <f t="shared" si="1"/>
        <v>0</v>
      </c>
      <c r="J61" s="35"/>
      <c r="K61" s="35"/>
      <c r="L61" s="35"/>
      <c r="M61" s="35"/>
      <c r="N61" s="32" t="e">
        <f>IF(H61=Feb!$E$2,"N",IF(AND(COUNTIF(B:B,B61)=1,D61&gt;14),"Y","N"))</f>
        <v>#N/A</v>
      </c>
      <c r="O61" s="55" t="str">
        <f>IF(COUNT(Feb[[#This Row],[Date]])&gt;0,IF(Feb[[#This Row],[Date]]&gt;14,"Yes","No"),"N/A")</f>
        <v>N/A</v>
      </c>
      <c r="P61" s="55"/>
      <c r="Q61" s="5">
        <f>Relay!A60</f>
        <v>0</v>
      </c>
      <c r="R61" s="5">
        <f>Relay!B60</f>
        <v>59</v>
      </c>
      <c r="S61" s="8">
        <f>IF(Feb[After the 14th?]="No",SUMIF(Feb[SysID],R61,Feb[Pay Amount]),0)+IF(Jan[After the 14th?]="Yes",SUMIF(Jan[SysID],R61,Jan[Pay Amount]),0)</f>
        <v>0</v>
      </c>
      <c r="T61" s="8"/>
      <c r="U61" s="5" t="str">
        <f t="shared" si="2"/>
        <v>N</v>
      </c>
      <c r="X61" s="56"/>
      <c r="Y61" s="56"/>
      <c r="Z61" s="56"/>
      <c r="AA61" s="56"/>
      <c r="AC61" s="56"/>
    </row>
    <row r="62" spans="1:29" x14ac:dyDescent="0.25">
      <c r="A62" s="35"/>
      <c r="B62" s="32" t="e">
        <f>VLOOKUP(A62,Relay!$A$1:$B$50,2,FALSE)</f>
        <v>#N/A</v>
      </c>
      <c r="C62" s="32" t="e">
        <f>VLOOKUP(A62,Relay!$A$2:$C$101,3,FALSE)</f>
        <v>#N/A</v>
      </c>
      <c r="D62" s="39"/>
      <c r="E62" s="35"/>
      <c r="F62" s="58" t="str">
        <f t="shared" si="0"/>
        <v>INS</v>
      </c>
      <c r="G62" s="32" t="e">
        <f>IF(OR(E62="Jeopardy",E62="APP Moonlighting",E62="Differential Pay"),"",Feb[[#This Row],[SysID]])</f>
        <v>#N/A</v>
      </c>
      <c r="H62" s="32" t="e">
        <f>IF(E62="Jeopardy",IF(C62="MD",Relay!$E$7,Relay!$E$8),IF(C62="MD",IF(COUNTIF(G:G,B62)&gt;1,Relay!$E$2,Relay!$E$1),IF(AND(COUNTIF(G:G,B62)&gt;1,COUNTA(A62)&gt;0),Relay!$E$5,Relay!$E$4)))</f>
        <v>#N/A</v>
      </c>
      <c r="I62" s="8">
        <f t="shared" si="1"/>
        <v>0</v>
      </c>
      <c r="J62" s="35"/>
      <c r="K62" s="35"/>
      <c r="L62" s="35"/>
      <c r="M62" s="35"/>
      <c r="N62" s="32" t="e">
        <f>IF(H62=Feb!$E$2,"N",IF(AND(COUNTIF(B:B,B62)=1,D62&gt;14),"Y","N"))</f>
        <v>#N/A</v>
      </c>
      <c r="O62" s="55" t="str">
        <f>IF(COUNT(Feb[[#This Row],[Date]])&gt;0,IF(Feb[[#This Row],[Date]]&gt;14,"Yes","No"),"N/A")</f>
        <v>N/A</v>
      </c>
      <c r="P62" s="55"/>
      <c r="Q62" s="5">
        <f>Relay!A61</f>
        <v>0</v>
      </c>
      <c r="R62" s="5">
        <f>Relay!B61</f>
        <v>60</v>
      </c>
      <c r="S62" s="8">
        <f>IF(Feb[After the 14th?]="No",SUMIF(Feb[SysID],R62,Feb[Pay Amount]),0)+IF(Jan[After the 14th?]="Yes",SUMIF(Jan[SysID],R62,Jan[Pay Amount]),0)</f>
        <v>0</v>
      </c>
      <c r="T62" s="8"/>
      <c r="U62" s="5" t="str">
        <f t="shared" si="2"/>
        <v>N</v>
      </c>
      <c r="X62" s="56"/>
      <c r="Y62" s="56"/>
      <c r="Z62" s="56"/>
      <c r="AA62" s="56"/>
      <c r="AC62" s="56"/>
    </row>
    <row r="63" spans="1:29" x14ac:dyDescent="0.25">
      <c r="A63" s="35"/>
      <c r="B63" s="32" t="e">
        <f>VLOOKUP(A63,Relay!$A$1:$B$50,2,FALSE)</f>
        <v>#N/A</v>
      </c>
      <c r="C63" s="32" t="e">
        <f>VLOOKUP(A63,Relay!$A$2:$C$101,3,FALSE)</f>
        <v>#N/A</v>
      </c>
      <c r="D63" s="39"/>
      <c r="E63" s="35"/>
      <c r="F63" s="58" t="str">
        <f t="shared" si="0"/>
        <v>INS</v>
      </c>
      <c r="G63" s="32" t="e">
        <f>IF(OR(E63="Jeopardy",E63="APP Moonlighting",E63="Differential Pay"),"",Feb[[#This Row],[SysID]])</f>
        <v>#N/A</v>
      </c>
      <c r="H63" s="32" t="e">
        <f>IF(E63="Jeopardy",IF(C63="MD",Relay!$E$7,Relay!$E$8),IF(C63="MD",IF(COUNTIF(G:G,B63)&gt;1,Relay!$E$2,Relay!$E$1),IF(AND(COUNTIF(G:G,B63)&gt;1,COUNTA(A63)&gt;0),Relay!$E$5,Relay!$E$4)))</f>
        <v>#N/A</v>
      </c>
      <c r="I63" s="8">
        <f t="shared" si="1"/>
        <v>0</v>
      </c>
      <c r="J63" s="35"/>
      <c r="K63" s="35"/>
      <c r="L63" s="35"/>
      <c r="M63" s="35"/>
      <c r="N63" s="32" t="e">
        <f>IF(H63=Feb!$E$2,"N",IF(AND(COUNTIF(B:B,B63)=1,D63&gt;14),"Y","N"))</f>
        <v>#N/A</v>
      </c>
      <c r="O63" s="55" t="str">
        <f>IF(COUNT(Feb[[#This Row],[Date]])&gt;0,IF(Feb[[#This Row],[Date]]&gt;14,"Yes","No"),"N/A")</f>
        <v>N/A</v>
      </c>
      <c r="P63" s="55"/>
      <c r="Q63" s="5">
        <f>Relay!A62</f>
        <v>0</v>
      </c>
      <c r="R63" s="5">
        <f>Relay!B62</f>
        <v>61</v>
      </c>
      <c r="S63" s="8">
        <f>IF(Feb[After the 14th?]="No",SUMIF(Feb[SysID],R63,Feb[Pay Amount]),0)+IF(Jan[After the 14th?]="Yes",SUMIF(Jan[SysID],R63,Jan[Pay Amount]),0)</f>
        <v>0</v>
      </c>
      <c r="T63" s="8"/>
      <c r="U63" s="5" t="str">
        <f t="shared" si="2"/>
        <v>N</v>
      </c>
      <c r="X63" s="56"/>
      <c r="Y63" s="56"/>
      <c r="Z63" s="56"/>
      <c r="AA63" s="56"/>
      <c r="AC63" s="56"/>
    </row>
    <row r="64" spans="1:29" x14ac:dyDescent="0.25">
      <c r="A64" s="35"/>
      <c r="B64" s="32" t="e">
        <f>VLOOKUP(A64,Relay!$A$1:$B$50,2,FALSE)</f>
        <v>#N/A</v>
      </c>
      <c r="C64" s="32" t="e">
        <f>VLOOKUP(A64,Relay!$A$2:$C$101,3,FALSE)</f>
        <v>#N/A</v>
      </c>
      <c r="D64" s="39"/>
      <c r="E64" s="35"/>
      <c r="F64" s="58" t="str">
        <f t="shared" si="0"/>
        <v>INS</v>
      </c>
      <c r="G64" s="32" t="e">
        <f>IF(OR(E64="Jeopardy",E64="APP Moonlighting",E64="Differential Pay"),"",Feb[[#This Row],[SysID]])</f>
        <v>#N/A</v>
      </c>
      <c r="H64" s="32" t="e">
        <f>IF(E64="Jeopardy",IF(C64="MD",Relay!$E$7,Relay!$E$8),IF(C64="MD",IF(COUNTIF(G:G,B64)&gt;1,Relay!$E$2,Relay!$E$1),IF(AND(COUNTIF(G:G,B64)&gt;1,COUNTA(A64)&gt;0),Relay!$E$5,Relay!$E$4)))</f>
        <v>#N/A</v>
      </c>
      <c r="I64" s="8">
        <f t="shared" si="1"/>
        <v>0</v>
      </c>
      <c r="J64" s="35"/>
      <c r="K64" s="35"/>
      <c r="L64" s="35"/>
      <c r="M64" s="35"/>
      <c r="N64" s="32" t="e">
        <f>IF(H64=Feb!$E$2,"N",IF(AND(COUNTIF(B:B,B64)=1,D64&gt;14),"Y","N"))</f>
        <v>#N/A</v>
      </c>
      <c r="O64" s="55" t="str">
        <f>IF(COUNT(Feb[[#This Row],[Date]])&gt;0,IF(Feb[[#This Row],[Date]]&gt;14,"Yes","No"),"N/A")</f>
        <v>N/A</v>
      </c>
      <c r="P64" s="55"/>
      <c r="Q64" s="5">
        <f>Relay!A63</f>
        <v>0</v>
      </c>
      <c r="R64" s="5">
        <f>Relay!B63</f>
        <v>62</v>
      </c>
      <c r="S64" s="8">
        <f>IF(Feb[After the 14th?]="No",SUMIF(Feb[SysID],R64,Feb[Pay Amount]),0)+IF(Jan[After the 14th?]="Yes",SUMIF(Jan[SysID],R64,Jan[Pay Amount]),0)</f>
        <v>0</v>
      </c>
      <c r="T64" s="8"/>
      <c r="U64" s="5" t="str">
        <f t="shared" si="2"/>
        <v>N</v>
      </c>
      <c r="X64" s="56"/>
      <c r="Y64" s="56"/>
      <c r="Z64" s="56"/>
      <c r="AA64" s="56"/>
      <c r="AC64" s="56"/>
    </row>
    <row r="65" spans="1:29" x14ac:dyDescent="0.25">
      <c r="A65" s="35"/>
      <c r="B65" s="32" t="e">
        <f>VLOOKUP(A65,Relay!$A$1:$B$50,2,FALSE)</f>
        <v>#N/A</v>
      </c>
      <c r="C65" s="32" t="e">
        <f>VLOOKUP(A65,Relay!$A$2:$C$101,3,FALSE)</f>
        <v>#N/A</v>
      </c>
      <c r="D65" s="39"/>
      <c r="E65" s="35"/>
      <c r="F65" s="58" t="str">
        <f t="shared" si="0"/>
        <v>INS</v>
      </c>
      <c r="G65" s="32" t="e">
        <f>IF(OR(E65="Jeopardy",E65="APP Moonlighting",E65="Differential Pay"),"",Feb[[#This Row],[SysID]])</f>
        <v>#N/A</v>
      </c>
      <c r="H65" s="32" t="e">
        <f>IF(E65="Jeopardy",IF(C65="MD",Relay!$E$7,Relay!$E$8),IF(C65="MD",IF(COUNTIF(G:G,B65)&gt;1,Relay!$E$2,Relay!$E$1),IF(AND(COUNTIF(G:G,B65)&gt;1,COUNTA(A65)&gt;0),Relay!$E$5,Relay!$E$4)))</f>
        <v>#N/A</v>
      </c>
      <c r="I65" s="8">
        <f t="shared" si="1"/>
        <v>0</v>
      </c>
      <c r="J65" s="35"/>
      <c r="K65" s="35"/>
      <c r="L65" s="35"/>
      <c r="M65" s="35"/>
      <c r="N65" s="32" t="e">
        <f>IF(H65=Feb!$E$2,"N",IF(AND(COUNTIF(B:B,B65)=1,D65&gt;14),"Y","N"))</f>
        <v>#N/A</v>
      </c>
      <c r="O65" s="55" t="str">
        <f>IF(COUNT(Feb[[#This Row],[Date]])&gt;0,IF(Feb[[#This Row],[Date]]&gt;14,"Yes","No"),"N/A")</f>
        <v>N/A</v>
      </c>
      <c r="P65" s="55"/>
      <c r="Q65" s="5">
        <f>Relay!A64</f>
        <v>0</v>
      </c>
      <c r="R65" s="5">
        <f>Relay!B64</f>
        <v>63</v>
      </c>
      <c r="S65" s="8">
        <f>IF(Feb[After the 14th?]="No",SUMIF(Feb[SysID],R65,Feb[Pay Amount]),0)+IF(Jan[After the 14th?]="Yes",SUMIF(Jan[SysID],R65,Jan[Pay Amount]),0)</f>
        <v>0</v>
      </c>
      <c r="T65" s="8"/>
      <c r="U65" s="5" t="str">
        <f t="shared" si="2"/>
        <v>N</v>
      </c>
      <c r="X65" s="56"/>
      <c r="Y65" s="56"/>
      <c r="Z65" s="56"/>
      <c r="AA65" s="56"/>
      <c r="AC65" s="56"/>
    </row>
    <row r="66" spans="1:29" x14ac:dyDescent="0.25">
      <c r="A66" s="35"/>
      <c r="B66" s="32" t="e">
        <f>VLOOKUP(A66,Relay!$A$1:$B$50,2,FALSE)</f>
        <v>#N/A</v>
      </c>
      <c r="C66" s="32" t="e">
        <f>VLOOKUP(A66,Relay!$A$2:$C$101,3,FALSE)</f>
        <v>#N/A</v>
      </c>
      <c r="D66" s="39"/>
      <c r="E66" s="35"/>
      <c r="F66" s="58" t="str">
        <f t="shared" si="0"/>
        <v>INS</v>
      </c>
      <c r="G66" s="32" t="e">
        <f>IF(OR(E66="Jeopardy",E66="APP Moonlighting",E66="Differential Pay"),"",Feb[[#This Row],[SysID]])</f>
        <v>#N/A</v>
      </c>
      <c r="H66" s="32" t="e">
        <f>IF(E66="Jeopardy",IF(C66="MD",Relay!$E$7,Relay!$E$8),IF(C66="MD",IF(COUNTIF(G:G,B66)&gt;1,Relay!$E$2,Relay!$E$1),IF(AND(COUNTIF(G:G,B66)&gt;1,COUNTA(A66)&gt;0),Relay!$E$5,Relay!$E$4)))</f>
        <v>#N/A</v>
      </c>
      <c r="I66" s="8">
        <f t="shared" si="1"/>
        <v>0</v>
      </c>
      <c r="J66" s="35"/>
      <c r="K66" s="35"/>
      <c r="L66" s="35"/>
      <c r="M66" s="35"/>
      <c r="N66" s="32" t="e">
        <f>IF(H66=Feb!$E$2,"N",IF(AND(COUNTIF(B:B,B66)=1,D66&gt;14),"Y","N"))</f>
        <v>#N/A</v>
      </c>
      <c r="O66" s="55" t="str">
        <f>IF(COUNT(Feb[[#This Row],[Date]])&gt;0,IF(Feb[[#This Row],[Date]]&gt;14,"Yes","No"),"N/A")</f>
        <v>N/A</v>
      </c>
      <c r="P66" s="55"/>
      <c r="Q66" s="5">
        <f>Relay!A65</f>
        <v>0</v>
      </c>
      <c r="R66" s="5">
        <f>Relay!B65</f>
        <v>64</v>
      </c>
      <c r="S66" s="8">
        <f>IF(Feb[After the 14th?]="No",SUMIF(Feb[SysID],R66,Feb[Pay Amount]),0)+IF(Jan[After the 14th?]="Yes",SUMIF(Jan[SysID],R66,Jan[Pay Amount]),0)</f>
        <v>0</v>
      </c>
      <c r="T66" s="8"/>
      <c r="U66" s="5" t="str">
        <f t="shared" si="2"/>
        <v>N</v>
      </c>
      <c r="X66" s="56"/>
      <c r="Y66" s="56"/>
      <c r="Z66" s="56"/>
      <c r="AA66" s="56"/>
      <c r="AC66" s="56"/>
    </row>
    <row r="67" spans="1:29" x14ac:dyDescent="0.25">
      <c r="A67" s="35"/>
      <c r="B67" s="32" t="e">
        <f>VLOOKUP(A67,Relay!$A$1:$B$50,2,FALSE)</f>
        <v>#N/A</v>
      </c>
      <c r="C67" s="32" t="e">
        <f>VLOOKUP(A67,Relay!$A$2:$C$101,3,FALSE)</f>
        <v>#N/A</v>
      </c>
      <c r="D67" s="39"/>
      <c r="E67" s="35"/>
      <c r="F67" s="58" t="str">
        <f t="shared" ref="F67:F103" si="3">IF(E67="Moonlighting", 12, "INS")</f>
        <v>INS</v>
      </c>
      <c r="G67" s="32" t="e">
        <f>IF(OR(E67="Jeopardy",E67="APP Moonlighting",E67="Differential Pay"),"",Feb[[#This Row],[SysID]])</f>
        <v>#N/A</v>
      </c>
      <c r="H67" s="32" t="e">
        <f>IF(E67="Jeopardy",IF(C67="MD",Relay!$E$7,Relay!$E$8),IF(C67="MD",IF(COUNTIF(G:G,B67)&gt;1,Relay!$E$2,Relay!$E$1),IF(AND(COUNTIF(G:G,B67)&gt;1,COUNTA(A67)&gt;0),Relay!$E$5,Relay!$E$4)))</f>
        <v>#N/A</v>
      </c>
      <c r="I67" s="8">
        <f t="shared" ref="I67:I103" si="4">IF(COUNTA(A67)&gt;0,H67*F67,0)</f>
        <v>0</v>
      </c>
      <c r="J67" s="35"/>
      <c r="K67" s="35"/>
      <c r="L67" s="35"/>
      <c r="M67" s="35"/>
      <c r="N67" s="32" t="e">
        <f>IF(H67=Feb!$E$2,"N",IF(AND(COUNTIF(B:B,B67)=1,D67&gt;14),"Y","N"))</f>
        <v>#N/A</v>
      </c>
      <c r="O67" s="55" t="str">
        <f>IF(COUNT(Feb[[#This Row],[Date]])&gt;0,IF(Feb[[#This Row],[Date]]&gt;14,"Yes","No"),"N/A")</f>
        <v>N/A</v>
      </c>
      <c r="P67" s="55"/>
      <c r="Q67" s="5">
        <f>Relay!A66</f>
        <v>0</v>
      </c>
      <c r="R67" s="5">
        <f>Relay!B66</f>
        <v>65</v>
      </c>
      <c r="S67" s="8">
        <f>IF(Feb[After the 14th?]="No",SUMIF(Feb[SysID],R67,Feb[Pay Amount]),0)+IF(Jan[After the 14th?]="Yes",SUMIF(Jan[SysID],R67,Jan[Pay Amount]),0)</f>
        <v>0</v>
      </c>
      <c r="T67" s="8"/>
      <c r="U67" s="5" t="str">
        <f t="shared" ref="U67:U103" si="5">IF(S67=T67,"N","Y")</f>
        <v>N</v>
      </c>
      <c r="X67" s="56"/>
      <c r="Y67" s="56"/>
      <c r="Z67" s="56"/>
      <c r="AA67" s="56"/>
      <c r="AC67" s="56"/>
    </row>
    <row r="68" spans="1:29" x14ac:dyDescent="0.25">
      <c r="A68" s="35"/>
      <c r="B68" s="32" t="e">
        <f>VLOOKUP(A68,Relay!$A$1:$B$50,2,FALSE)</f>
        <v>#N/A</v>
      </c>
      <c r="C68" s="32" t="e">
        <f>VLOOKUP(A68,Relay!$A$2:$C$101,3,FALSE)</f>
        <v>#N/A</v>
      </c>
      <c r="D68" s="39"/>
      <c r="E68" s="35"/>
      <c r="F68" s="58" t="str">
        <f t="shared" si="3"/>
        <v>INS</v>
      </c>
      <c r="G68" s="32" t="e">
        <f>IF(OR(E68="Jeopardy",E68="APP Moonlighting",E68="Differential Pay"),"",Feb[[#This Row],[SysID]])</f>
        <v>#N/A</v>
      </c>
      <c r="H68" s="32" t="e">
        <f>IF(E68="Jeopardy",IF(C68="MD",Relay!$E$7,Relay!$E$8),IF(C68="MD",IF(COUNTIF(G:G,B68)&gt;1,Relay!$E$2,Relay!$E$1),IF(AND(COUNTIF(G:G,B68)&gt;1,COUNTA(A68)&gt;0),Relay!$E$5,Relay!$E$4)))</f>
        <v>#N/A</v>
      </c>
      <c r="I68" s="8">
        <f t="shared" si="4"/>
        <v>0</v>
      </c>
      <c r="J68" s="35"/>
      <c r="K68" s="35"/>
      <c r="L68" s="35"/>
      <c r="M68" s="35"/>
      <c r="N68" s="32" t="e">
        <f>IF(H68=Feb!$E$2,"N",IF(AND(COUNTIF(B:B,B68)=1,D68&gt;14),"Y","N"))</f>
        <v>#N/A</v>
      </c>
      <c r="O68" s="55" t="str">
        <f>IF(COUNT(Feb[[#This Row],[Date]])&gt;0,IF(Feb[[#This Row],[Date]]&gt;14,"Yes","No"),"N/A")</f>
        <v>N/A</v>
      </c>
      <c r="P68" s="55"/>
      <c r="Q68" s="5">
        <f>Relay!A67</f>
        <v>0</v>
      </c>
      <c r="R68" s="5">
        <f>Relay!B67</f>
        <v>66</v>
      </c>
      <c r="S68" s="8">
        <f>IF(Feb[After the 14th?]="No",SUMIF(Feb[SysID],R68,Feb[Pay Amount]),0)+IF(Jan[After the 14th?]="Yes",SUMIF(Jan[SysID],R68,Jan[Pay Amount]),0)</f>
        <v>0</v>
      </c>
      <c r="T68" s="8"/>
      <c r="U68" s="5" t="str">
        <f t="shared" si="5"/>
        <v>N</v>
      </c>
      <c r="X68" s="56"/>
      <c r="Y68" s="56"/>
      <c r="Z68" s="56"/>
      <c r="AA68" s="56"/>
      <c r="AC68" s="56"/>
    </row>
    <row r="69" spans="1:29" x14ac:dyDescent="0.25">
      <c r="A69" s="35"/>
      <c r="B69" s="32" t="e">
        <f>VLOOKUP(A69,Relay!$A$1:$B$50,2,FALSE)</f>
        <v>#N/A</v>
      </c>
      <c r="C69" s="32" t="e">
        <f>VLOOKUP(A69,Relay!$A$2:$C$101,3,FALSE)</f>
        <v>#N/A</v>
      </c>
      <c r="D69" s="39"/>
      <c r="E69" s="35"/>
      <c r="F69" s="58" t="str">
        <f t="shared" si="3"/>
        <v>INS</v>
      </c>
      <c r="G69" s="32" t="e">
        <f>IF(OR(E69="Jeopardy",E69="APP Moonlighting",E69="Differential Pay"),"",Feb[[#This Row],[SysID]])</f>
        <v>#N/A</v>
      </c>
      <c r="H69" s="32" t="e">
        <f>IF(E69="Jeopardy",IF(C69="MD",Relay!$E$7,Relay!$E$8),IF(C69="MD",IF(COUNTIF(G:G,B69)&gt;1,Relay!$E$2,Relay!$E$1),IF(AND(COUNTIF(G:G,B69)&gt;1,COUNTA(A69)&gt;0),Relay!$E$5,Relay!$E$4)))</f>
        <v>#N/A</v>
      </c>
      <c r="I69" s="8">
        <f t="shared" si="4"/>
        <v>0</v>
      </c>
      <c r="J69" s="35"/>
      <c r="K69" s="35"/>
      <c r="L69" s="35"/>
      <c r="M69" s="35"/>
      <c r="N69" s="32" t="e">
        <f>IF(H69=Feb!$E$2,"N",IF(AND(COUNTIF(B:B,B69)=1,D69&gt;14),"Y","N"))</f>
        <v>#N/A</v>
      </c>
      <c r="O69" s="55" t="str">
        <f>IF(COUNT(Feb[[#This Row],[Date]])&gt;0,IF(Feb[[#This Row],[Date]]&gt;14,"Yes","No"),"N/A")</f>
        <v>N/A</v>
      </c>
      <c r="P69" s="55"/>
      <c r="Q69" s="5">
        <f>Relay!A68</f>
        <v>0</v>
      </c>
      <c r="R69" s="5">
        <f>Relay!B68</f>
        <v>67</v>
      </c>
      <c r="S69" s="8">
        <f>IF(Feb[After the 14th?]="No",SUMIF(Feb[SysID],R69,Feb[Pay Amount]),0)+IF(Jan[After the 14th?]="Yes",SUMIF(Jan[SysID],R69,Jan[Pay Amount]),0)</f>
        <v>0</v>
      </c>
      <c r="T69" s="8"/>
      <c r="U69" s="5" t="str">
        <f t="shared" si="5"/>
        <v>N</v>
      </c>
      <c r="X69" s="56"/>
      <c r="Y69" s="56"/>
      <c r="Z69" s="56"/>
      <c r="AA69" s="56"/>
      <c r="AC69" s="56"/>
    </row>
    <row r="70" spans="1:29" x14ac:dyDescent="0.25">
      <c r="A70" s="35"/>
      <c r="B70" s="32" t="e">
        <f>VLOOKUP(A70,Relay!$A$1:$B$50,2,FALSE)</f>
        <v>#N/A</v>
      </c>
      <c r="C70" s="32" t="e">
        <f>VLOOKUP(A70,Relay!$A$2:$C$101,3,FALSE)</f>
        <v>#N/A</v>
      </c>
      <c r="D70" s="39"/>
      <c r="E70" s="35"/>
      <c r="F70" s="58" t="str">
        <f t="shared" si="3"/>
        <v>INS</v>
      </c>
      <c r="G70" s="32" t="e">
        <f>IF(OR(E70="Jeopardy",E70="APP Moonlighting",E70="Differential Pay"),"",Feb[[#This Row],[SysID]])</f>
        <v>#N/A</v>
      </c>
      <c r="H70" s="32" t="e">
        <f>IF(E70="Jeopardy",IF(C70="MD",Relay!$E$7,Relay!$E$8),IF(C70="MD",IF(COUNTIF(G:G,B70)&gt;1,Relay!$E$2,Relay!$E$1),IF(AND(COUNTIF(G:G,B70)&gt;1,COUNTA(A70)&gt;0),Relay!$E$5,Relay!$E$4)))</f>
        <v>#N/A</v>
      </c>
      <c r="I70" s="8">
        <f t="shared" si="4"/>
        <v>0</v>
      </c>
      <c r="J70" s="35"/>
      <c r="K70" s="35"/>
      <c r="L70" s="35"/>
      <c r="M70" s="35"/>
      <c r="N70" s="32" t="e">
        <f>IF(H70=Feb!$E$2,"N",IF(AND(COUNTIF(B:B,B70)=1,D70&gt;14),"Y","N"))</f>
        <v>#N/A</v>
      </c>
      <c r="O70" s="55" t="str">
        <f>IF(COUNT(Feb[[#This Row],[Date]])&gt;0,IF(Feb[[#This Row],[Date]]&gt;14,"Yes","No"),"N/A")</f>
        <v>N/A</v>
      </c>
      <c r="P70" s="55"/>
      <c r="Q70" s="5">
        <f>Relay!A69</f>
        <v>0</v>
      </c>
      <c r="R70" s="5">
        <f>Relay!B69</f>
        <v>68</v>
      </c>
      <c r="S70" s="8">
        <f>IF(Feb[After the 14th?]="No",SUMIF(Feb[SysID],R70,Feb[Pay Amount]),0)+IF(Jan[After the 14th?]="Yes",SUMIF(Jan[SysID],R70,Jan[Pay Amount]),0)</f>
        <v>0</v>
      </c>
      <c r="T70" s="8"/>
      <c r="U70" s="5" t="str">
        <f t="shared" si="5"/>
        <v>N</v>
      </c>
      <c r="X70" s="56"/>
      <c r="Y70" s="56"/>
      <c r="Z70" s="56"/>
      <c r="AA70" s="56"/>
      <c r="AC70" s="56"/>
    </row>
    <row r="71" spans="1:29" x14ac:dyDescent="0.25">
      <c r="A71" s="35"/>
      <c r="B71" s="32" t="e">
        <f>VLOOKUP(A71,Relay!$A$1:$B$50,2,FALSE)</f>
        <v>#N/A</v>
      </c>
      <c r="C71" s="32" t="e">
        <f>VLOOKUP(A71,Relay!$A$2:$C$101,3,FALSE)</f>
        <v>#N/A</v>
      </c>
      <c r="D71" s="39"/>
      <c r="E71" s="35"/>
      <c r="F71" s="58" t="str">
        <f t="shared" si="3"/>
        <v>INS</v>
      </c>
      <c r="G71" s="32" t="e">
        <f>IF(OR(E71="Jeopardy",E71="APP Moonlighting",E71="Differential Pay"),"",Feb[[#This Row],[SysID]])</f>
        <v>#N/A</v>
      </c>
      <c r="H71" s="32" t="e">
        <f>IF(E71="Jeopardy",IF(C71="MD",Relay!$E$7,Relay!$E$8),IF(C71="MD",IF(COUNTIF(G:G,B71)&gt;1,Relay!$E$2,Relay!$E$1),IF(AND(COUNTIF(G:G,B71)&gt;1,COUNTA(A71)&gt;0),Relay!$E$5,Relay!$E$4)))</f>
        <v>#N/A</v>
      </c>
      <c r="I71" s="8">
        <f t="shared" si="4"/>
        <v>0</v>
      </c>
      <c r="J71" s="35"/>
      <c r="K71" s="35"/>
      <c r="L71" s="35"/>
      <c r="M71" s="35"/>
      <c r="N71" s="32" t="e">
        <f>IF(H71=Feb!$E$2,"N",IF(AND(COUNTIF(B:B,B71)=1,D71&gt;14),"Y","N"))</f>
        <v>#N/A</v>
      </c>
      <c r="O71" s="55" t="str">
        <f>IF(COUNT(Feb[[#This Row],[Date]])&gt;0,IF(Feb[[#This Row],[Date]]&gt;14,"Yes","No"),"N/A")</f>
        <v>N/A</v>
      </c>
      <c r="P71" s="55"/>
      <c r="Q71" s="5">
        <f>Relay!A70</f>
        <v>0</v>
      </c>
      <c r="R71" s="5">
        <f>Relay!B70</f>
        <v>69</v>
      </c>
      <c r="S71" s="8">
        <f>IF(Feb[After the 14th?]="No",SUMIF(Feb[SysID],R71,Feb[Pay Amount]),0)+IF(Jan[After the 14th?]="Yes",SUMIF(Jan[SysID],R71,Jan[Pay Amount]),0)</f>
        <v>0</v>
      </c>
      <c r="T71" s="8"/>
      <c r="U71" s="5" t="str">
        <f t="shared" si="5"/>
        <v>N</v>
      </c>
      <c r="X71" s="56"/>
      <c r="Y71" s="56"/>
      <c r="Z71" s="56"/>
      <c r="AA71" s="56"/>
      <c r="AC71" s="56"/>
    </row>
    <row r="72" spans="1:29" x14ac:dyDescent="0.25">
      <c r="A72" s="35"/>
      <c r="B72" s="32" t="e">
        <f>VLOOKUP(A72,Relay!$A$1:$B$50,2,FALSE)</f>
        <v>#N/A</v>
      </c>
      <c r="C72" s="32" t="e">
        <f>VLOOKUP(A72,Relay!$A$2:$C$101,3,FALSE)</f>
        <v>#N/A</v>
      </c>
      <c r="D72" s="39"/>
      <c r="E72" s="35"/>
      <c r="F72" s="58" t="str">
        <f t="shared" si="3"/>
        <v>INS</v>
      </c>
      <c r="G72" s="32" t="e">
        <f>IF(OR(E72="Jeopardy",E72="APP Moonlighting",E72="Differential Pay"),"",Feb[[#This Row],[SysID]])</f>
        <v>#N/A</v>
      </c>
      <c r="H72" s="32" t="e">
        <f>IF(E72="Jeopardy",IF(C72="MD",Relay!$E$7,Relay!$E$8),IF(C72="MD",IF(COUNTIF(G:G,B72)&gt;1,Relay!$E$2,Relay!$E$1),IF(AND(COUNTIF(G:G,B72)&gt;1,COUNTA(A72)&gt;0),Relay!$E$5,Relay!$E$4)))</f>
        <v>#N/A</v>
      </c>
      <c r="I72" s="8">
        <f t="shared" si="4"/>
        <v>0</v>
      </c>
      <c r="J72" s="35"/>
      <c r="K72" s="35"/>
      <c r="L72" s="35"/>
      <c r="M72" s="35"/>
      <c r="N72" s="32" t="e">
        <f>IF(H72=Feb!$E$2,"N",IF(AND(COUNTIF(B:B,B72)=1,D72&gt;14),"Y","N"))</f>
        <v>#N/A</v>
      </c>
      <c r="O72" s="55" t="str">
        <f>IF(COUNT(Feb[[#This Row],[Date]])&gt;0,IF(Feb[[#This Row],[Date]]&gt;14,"Yes","No"),"N/A")</f>
        <v>N/A</v>
      </c>
      <c r="P72" s="55"/>
      <c r="Q72" s="5">
        <f>Relay!A71</f>
        <v>0</v>
      </c>
      <c r="R72" s="5">
        <f>Relay!B71</f>
        <v>70</v>
      </c>
      <c r="S72" s="8">
        <f>IF(Feb[After the 14th?]="No",SUMIF(Feb[SysID],R72,Feb[Pay Amount]),0)+IF(Jan[After the 14th?]="Yes",SUMIF(Jan[SysID],R72,Jan[Pay Amount]),0)</f>
        <v>0</v>
      </c>
      <c r="T72" s="8"/>
      <c r="U72" s="5" t="str">
        <f t="shared" si="5"/>
        <v>N</v>
      </c>
      <c r="X72" s="56"/>
      <c r="Y72" s="56"/>
      <c r="Z72" s="56"/>
      <c r="AA72" s="56"/>
      <c r="AC72" s="56"/>
    </row>
    <row r="73" spans="1:29" x14ac:dyDescent="0.25">
      <c r="A73" s="35"/>
      <c r="B73" s="32" t="e">
        <f>VLOOKUP(A73,Relay!$A$1:$B$50,2,FALSE)</f>
        <v>#N/A</v>
      </c>
      <c r="C73" s="32" t="e">
        <f>VLOOKUP(A73,Relay!$A$2:$C$101,3,FALSE)</f>
        <v>#N/A</v>
      </c>
      <c r="D73" s="39"/>
      <c r="E73" s="35"/>
      <c r="F73" s="58" t="str">
        <f t="shared" si="3"/>
        <v>INS</v>
      </c>
      <c r="G73" s="32" t="e">
        <f>IF(OR(E73="Jeopardy",E73="APP Moonlighting",E73="Differential Pay"),"",Feb[[#This Row],[SysID]])</f>
        <v>#N/A</v>
      </c>
      <c r="H73" s="32" t="e">
        <f>IF(E73="Jeopardy",IF(C73="MD",Relay!$E$7,Relay!$E$8),IF(C73="MD",IF(COUNTIF(G:G,B73)&gt;1,Relay!$E$2,Relay!$E$1),IF(AND(COUNTIF(G:G,B73)&gt;1,COUNTA(A73)&gt;0),Relay!$E$5,Relay!$E$4)))</f>
        <v>#N/A</v>
      </c>
      <c r="I73" s="8">
        <f t="shared" si="4"/>
        <v>0</v>
      </c>
      <c r="J73" s="35"/>
      <c r="K73" s="35"/>
      <c r="L73" s="35"/>
      <c r="M73" s="35"/>
      <c r="N73" s="32" t="e">
        <f>IF(H73=Feb!$E$2,"N",IF(AND(COUNTIF(B:B,B73)=1,D73&gt;14),"Y","N"))</f>
        <v>#N/A</v>
      </c>
      <c r="O73" s="55" t="str">
        <f>IF(COUNT(Feb[[#This Row],[Date]])&gt;0,IF(Feb[[#This Row],[Date]]&gt;14,"Yes","No"),"N/A")</f>
        <v>N/A</v>
      </c>
      <c r="P73" s="55"/>
      <c r="Q73" s="5">
        <f>Relay!A72</f>
        <v>0</v>
      </c>
      <c r="R73" s="5">
        <f>Relay!B72</f>
        <v>71</v>
      </c>
      <c r="S73" s="8">
        <f>IF(Feb[After the 14th?]="No",SUMIF(Feb[SysID],R73,Feb[Pay Amount]),0)+IF(Jan[After the 14th?]="Yes",SUMIF(Jan[SysID],R73,Jan[Pay Amount]),0)</f>
        <v>0</v>
      </c>
      <c r="T73" s="8"/>
      <c r="U73" s="5" t="str">
        <f t="shared" si="5"/>
        <v>N</v>
      </c>
      <c r="X73" s="56"/>
      <c r="Y73" s="56"/>
      <c r="Z73" s="56"/>
      <c r="AA73" s="56"/>
      <c r="AC73" s="56"/>
    </row>
    <row r="74" spans="1:29" x14ac:dyDescent="0.25">
      <c r="A74" s="35"/>
      <c r="B74" s="32" t="e">
        <f>VLOOKUP(A74,Relay!$A$1:$B$50,2,FALSE)</f>
        <v>#N/A</v>
      </c>
      <c r="C74" s="32" t="e">
        <f>VLOOKUP(A74,Relay!$A$2:$C$101,3,FALSE)</f>
        <v>#N/A</v>
      </c>
      <c r="D74" s="39"/>
      <c r="E74" s="35"/>
      <c r="F74" s="58" t="str">
        <f t="shared" si="3"/>
        <v>INS</v>
      </c>
      <c r="G74" s="32" t="e">
        <f>IF(OR(E74="Jeopardy",E74="APP Moonlighting",E74="Differential Pay"),"",Feb[[#This Row],[SysID]])</f>
        <v>#N/A</v>
      </c>
      <c r="H74" s="32" t="e">
        <f>IF(E74="Jeopardy",IF(C74="MD",Relay!$E$7,Relay!$E$8),IF(C74="MD",IF(COUNTIF(G:G,B74)&gt;1,Relay!$E$2,Relay!$E$1),IF(AND(COUNTIF(G:G,B74)&gt;1,COUNTA(A74)&gt;0),Relay!$E$5,Relay!$E$4)))</f>
        <v>#N/A</v>
      </c>
      <c r="I74" s="8">
        <f t="shared" si="4"/>
        <v>0</v>
      </c>
      <c r="J74" s="35"/>
      <c r="K74" s="35"/>
      <c r="L74" s="35"/>
      <c r="M74" s="35"/>
      <c r="N74" s="32" t="e">
        <f>IF(H74=Feb!$E$2,"N",IF(AND(COUNTIF(B:B,B74)=1,D74&gt;14),"Y","N"))</f>
        <v>#N/A</v>
      </c>
      <c r="O74" s="55" t="str">
        <f>IF(COUNT(Feb[[#This Row],[Date]])&gt;0,IF(Feb[[#This Row],[Date]]&gt;14,"Yes","No"),"N/A")</f>
        <v>N/A</v>
      </c>
      <c r="P74" s="55"/>
      <c r="Q74" s="5">
        <f>Relay!A73</f>
        <v>0</v>
      </c>
      <c r="R74" s="5">
        <f>Relay!B73</f>
        <v>72</v>
      </c>
      <c r="S74" s="8">
        <f>IF(Feb[After the 14th?]="No",SUMIF(Feb[SysID],R74,Feb[Pay Amount]),0)+IF(Jan[After the 14th?]="Yes",SUMIF(Jan[SysID],R74,Jan[Pay Amount]),0)</f>
        <v>0</v>
      </c>
      <c r="T74" s="8"/>
      <c r="U74" s="5" t="str">
        <f t="shared" si="5"/>
        <v>N</v>
      </c>
      <c r="X74" s="56"/>
      <c r="Y74" s="56"/>
      <c r="Z74" s="56"/>
      <c r="AA74" s="56"/>
      <c r="AC74" s="56"/>
    </row>
    <row r="75" spans="1:29" x14ac:dyDescent="0.25">
      <c r="A75" s="35"/>
      <c r="B75" s="32" t="e">
        <f>VLOOKUP(A75,Relay!$A$1:$B$50,2,FALSE)</f>
        <v>#N/A</v>
      </c>
      <c r="C75" s="32" t="e">
        <f>VLOOKUP(A75,Relay!$A$2:$C$101,3,FALSE)</f>
        <v>#N/A</v>
      </c>
      <c r="D75" s="39"/>
      <c r="E75" s="35"/>
      <c r="F75" s="58" t="str">
        <f t="shared" si="3"/>
        <v>INS</v>
      </c>
      <c r="G75" s="32" t="e">
        <f>IF(OR(E75="Jeopardy",E75="APP Moonlighting",E75="Differential Pay"),"",Feb[[#This Row],[SysID]])</f>
        <v>#N/A</v>
      </c>
      <c r="H75" s="32" t="e">
        <f>IF(E75="Jeopardy",IF(C75="MD",Relay!$E$7,Relay!$E$8),IF(C75="MD",IF(COUNTIF(G:G,B75)&gt;1,Relay!$E$2,Relay!$E$1),IF(AND(COUNTIF(G:G,B75)&gt;1,COUNTA(A75)&gt;0),Relay!$E$5,Relay!$E$4)))</f>
        <v>#N/A</v>
      </c>
      <c r="I75" s="8">
        <f t="shared" si="4"/>
        <v>0</v>
      </c>
      <c r="J75" s="35"/>
      <c r="K75" s="35"/>
      <c r="L75" s="35"/>
      <c r="M75" s="35"/>
      <c r="N75" s="32" t="e">
        <f>IF(H75=Feb!$E$2,"N",IF(AND(COUNTIF(B:B,B75)=1,D75&gt;14),"Y","N"))</f>
        <v>#N/A</v>
      </c>
      <c r="O75" s="55" t="str">
        <f>IF(COUNT(Feb[[#This Row],[Date]])&gt;0,IF(Feb[[#This Row],[Date]]&gt;14,"Yes","No"),"N/A")</f>
        <v>N/A</v>
      </c>
      <c r="P75" s="55"/>
      <c r="Q75" s="5">
        <f>Relay!A74</f>
        <v>0</v>
      </c>
      <c r="R75" s="5">
        <f>Relay!B74</f>
        <v>73</v>
      </c>
      <c r="S75" s="8">
        <f>IF(Feb[After the 14th?]="No",SUMIF(Feb[SysID],R75,Feb[Pay Amount]),0)+IF(Jan[After the 14th?]="Yes",SUMIF(Jan[SysID],R75,Jan[Pay Amount]),0)</f>
        <v>0</v>
      </c>
      <c r="T75" s="8"/>
      <c r="U75" s="5" t="str">
        <f t="shared" si="5"/>
        <v>N</v>
      </c>
      <c r="X75" s="56"/>
      <c r="Y75" s="56"/>
      <c r="Z75" s="56"/>
      <c r="AA75" s="56"/>
      <c r="AC75" s="56"/>
    </row>
    <row r="76" spans="1:29" x14ac:dyDescent="0.25">
      <c r="A76" s="35"/>
      <c r="B76" s="32" t="e">
        <f>VLOOKUP(A76,Relay!$A$1:$B$50,2,FALSE)</f>
        <v>#N/A</v>
      </c>
      <c r="C76" s="32" t="e">
        <f>VLOOKUP(A76,Relay!$A$2:$C$101,3,FALSE)</f>
        <v>#N/A</v>
      </c>
      <c r="D76" s="39"/>
      <c r="E76" s="35"/>
      <c r="F76" s="58" t="str">
        <f t="shared" si="3"/>
        <v>INS</v>
      </c>
      <c r="G76" s="32" t="e">
        <f>IF(OR(E76="Jeopardy",E76="APP Moonlighting",E76="Differential Pay"),"",Feb[[#This Row],[SysID]])</f>
        <v>#N/A</v>
      </c>
      <c r="H76" s="32" t="e">
        <f>IF(E76="Jeopardy",IF(C76="MD",Relay!$E$7,Relay!$E$8),IF(C76="MD",IF(COUNTIF(G:G,B76)&gt;1,Relay!$E$2,Relay!$E$1),IF(AND(COUNTIF(G:G,B76)&gt;1,COUNTA(A76)&gt;0),Relay!$E$5,Relay!$E$4)))</f>
        <v>#N/A</v>
      </c>
      <c r="I76" s="8">
        <f t="shared" si="4"/>
        <v>0</v>
      </c>
      <c r="J76" s="35"/>
      <c r="K76" s="35"/>
      <c r="L76" s="35"/>
      <c r="M76" s="35"/>
      <c r="N76" s="32" t="e">
        <f>IF(H76=Feb!$E$2,"N",IF(AND(COUNTIF(B:B,B76)=1,D76&gt;14),"Y","N"))</f>
        <v>#N/A</v>
      </c>
      <c r="O76" s="55" t="str">
        <f>IF(COUNT(Feb[[#This Row],[Date]])&gt;0,IF(Feb[[#This Row],[Date]]&gt;14,"Yes","No"),"N/A")</f>
        <v>N/A</v>
      </c>
      <c r="P76" s="55"/>
      <c r="Q76" s="5">
        <f>Relay!A75</f>
        <v>0</v>
      </c>
      <c r="R76" s="5">
        <f>Relay!B75</f>
        <v>74</v>
      </c>
      <c r="S76" s="8">
        <f>IF(Feb[After the 14th?]="No",SUMIF(Feb[SysID],R76,Feb[Pay Amount]),0)+IF(Jan[After the 14th?]="Yes",SUMIF(Jan[SysID],R76,Jan[Pay Amount]),0)</f>
        <v>0</v>
      </c>
      <c r="T76" s="8"/>
      <c r="U76" s="5" t="str">
        <f t="shared" si="5"/>
        <v>N</v>
      </c>
      <c r="X76" s="56"/>
      <c r="Y76" s="56"/>
      <c r="Z76" s="56"/>
      <c r="AA76" s="56"/>
      <c r="AC76" s="56"/>
    </row>
    <row r="77" spans="1:29" x14ac:dyDescent="0.25">
      <c r="A77" s="35"/>
      <c r="B77" s="32" t="e">
        <f>VLOOKUP(A77,Relay!$A$1:$B$50,2,FALSE)</f>
        <v>#N/A</v>
      </c>
      <c r="C77" s="32" t="e">
        <f>VLOOKUP(A77,Relay!$A$2:$C$101,3,FALSE)</f>
        <v>#N/A</v>
      </c>
      <c r="D77" s="39"/>
      <c r="E77" s="35"/>
      <c r="F77" s="58" t="str">
        <f t="shared" si="3"/>
        <v>INS</v>
      </c>
      <c r="G77" s="32" t="e">
        <f>IF(OR(E77="Jeopardy",E77="APP Moonlighting",E77="Differential Pay"),"",Feb[[#This Row],[SysID]])</f>
        <v>#N/A</v>
      </c>
      <c r="H77" s="32" t="e">
        <f>IF(E77="Jeopardy",IF(C77="MD",Relay!$E$7,Relay!$E$8),IF(C77="MD",IF(COUNTIF(G:G,B77)&gt;1,Relay!$E$2,Relay!$E$1),IF(AND(COUNTIF(G:G,B77)&gt;1,COUNTA(A77)&gt;0),Relay!$E$5,Relay!$E$4)))</f>
        <v>#N/A</v>
      </c>
      <c r="I77" s="8">
        <f t="shared" si="4"/>
        <v>0</v>
      </c>
      <c r="J77" s="35"/>
      <c r="K77" s="35"/>
      <c r="L77" s="35"/>
      <c r="M77" s="35"/>
      <c r="N77" s="32" t="e">
        <f>IF(H77=Feb!$E$2,"N",IF(AND(COUNTIF(B:B,B77)=1,D77&gt;14),"Y","N"))</f>
        <v>#N/A</v>
      </c>
      <c r="O77" s="55" t="str">
        <f>IF(COUNT(Feb[[#This Row],[Date]])&gt;0,IF(Feb[[#This Row],[Date]]&gt;14,"Yes","No"),"N/A")</f>
        <v>N/A</v>
      </c>
      <c r="P77" s="55"/>
      <c r="Q77" s="5">
        <f>Relay!A76</f>
        <v>0</v>
      </c>
      <c r="R77" s="5">
        <f>Relay!B76</f>
        <v>75</v>
      </c>
      <c r="S77" s="8">
        <f>IF(Feb[After the 14th?]="No",SUMIF(Feb[SysID],R77,Feb[Pay Amount]),0)+IF(Jan[After the 14th?]="Yes",SUMIF(Jan[SysID],R77,Jan[Pay Amount]),0)</f>
        <v>0</v>
      </c>
      <c r="T77" s="8"/>
      <c r="U77" s="5" t="str">
        <f t="shared" si="5"/>
        <v>N</v>
      </c>
      <c r="X77" s="56"/>
      <c r="Y77" s="56"/>
      <c r="Z77" s="56"/>
      <c r="AA77" s="56"/>
      <c r="AC77" s="56"/>
    </row>
    <row r="78" spans="1:29" x14ac:dyDescent="0.25">
      <c r="A78" s="35"/>
      <c r="B78" s="32" t="e">
        <f>VLOOKUP(A78,Relay!$A$1:$B$50,2,FALSE)</f>
        <v>#N/A</v>
      </c>
      <c r="C78" s="32" t="e">
        <f>VLOOKUP(A78,Relay!$A$2:$C$101,3,FALSE)</f>
        <v>#N/A</v>
      </c>
      <c r="D78" s="39"/>
      <c r="E78" s="35"/>
      <c r="F78" s="58" t="str">
        <f t="shared" si="3"/>
        <v>INS</v>
      </c>
      <c r="G78" s="32" t="e">
        <f>IF(OR(E78="Jeopardy",E78="APP Moonlighting",E78="Differential Pay"),"",Feb[[#This Row],[SysID]])</f>
        <v>#N/A</v>
      </c>
      <c r="H78" s="32" t="e">
        <f>IF(E78="Jeopardy",IF(C78="MD",Relay!$E$7,Relay!$E$8),IF(C78="MD",IF(COUNTIF(G:G,B78)&gt;1,Relay!$E$2,Relay!$E$1),IF(AND(COUNTIF(G:G,B78)&gt;1,COUNTA(A78)&gt;0),Relay!$E$5,Relay!$E$4)))</f>
        <v>#N/A</v>
      </c>
      <c r="I78" s="8">
        <f t="shared" si="4"/>
        <v>0</v>
      </c>
      <c r="J78" s="35"/>
      <c r="K78" s="35"/>
      <c r="L78" s="35"/>
      <c r="M78" s="35"/>
      <c r="N78" s="32" t="e">
        <f>IF(H78=Feb!$E$2,"N",IF(AND(COUNTIF(B:B,B78)=1,D78&gt;14),"Y","N"))</f>
        <v>#N/A</v>
      </c>
      <c r="O78" s="55" t="str">
        <f>IF(COUNT(Feb[[#This Row],[Date]])&gt;0,IF(Feb[[#This Row],[Date]]&gt;14,"Yes","No"),"N/A")</f>
        <v>N/A</v>
      </c>
      <c r="P78" s="55"/>
      <c r="Q78" s="5">
        <f>Relay!A77</f>
        <v>0</v>
      </c>
      <c r="R78" s="5">
        <f>Relay!B77</f>
        <v>76</v>
      </c>
      <c r="S78" s="8">
        <f>IF(Feb[After the 14th?]="No",SUMIF(Feb[SysID],R78,Feb[Pay Amount]),0)+IF(Jan[After the 14th?]="Yes",SUMIF(Jan[SysID],R78,Jan[Pay Amount]),0)</f>
        <v>0</v>
      </c>
      <c r="T78" s="8"/>
      <c r="U78" s="5" t="str">
        <f t="shared" si="5"/>
        <v>N</v>
      </c>
      <c r="X78" s="56"/>
      <c r="Y78" s="56"/>
      <c r="Z78" s="56"/>
      <c r="AA78" s="56"/>
      <c r="AC78" s="56"/>
    </row>
    <row r="79" spans="1:29" x14ac:dyDescent="0.25">
      <c r="A79" s="35"/>
      <c r="B79" s="32" t="e">
        <f>VLOOKUP(A79,Relay!$A$1:$B$50,2,FALSE)</f>
        <v>#N/A</v>
      </c>
      <c r="C79" s="32" t="e">
        <f>VLOOKUP(A79,Relay!$A$2:$C$101,3,FALSE)</f>
        <v>#N/A</v>
      </c>
      <c r="D79" s="39"/>
      <c r="E79" s="35"/>
      <c r="F79" s="58" t="str">
        <f t="shared" si="3"/>
        <v>INS</v>
      </c>
      <c r="G79" s="32" t="e">
        <f>IF(OR(E79="Jeopardy",E79="APP Moonlighting",E79="Differential Pay"),"",Feb[[#This Row],[SysID]])</f>
        <v>#N/A</v>
      </c>
      <c r="H79" s="32" t="e">
        <f>IF(E79="Jeopardy",IF(C79="MD",Relay!$E$7,Relay!$E$8),IF(C79="MD",IF(COUNTIF(G:G,B79)&gt;1,Relay!$E$2,Relay!$E$1),IF(AND(COUNTIF(G:G,B79)&gt;1,COUNTA(A79)&gt;0),Relay!$E$5,Relay!$E$4)))</f>
        <v>#N/A</v>
      </c>
      <c r="I79" s="8">
        <f t="shared" si="4"/>
        <v>0</v>
      </c>
      <c r="J79" s="35"/>
      <c r="K79" s="35"/>
      <c r="L79" s="35"/>
      <c r="M79" s="35"/>
      <c r="N79" s="32" t="e">
        <f>IF(H79=Feb!$E$2,"N",IF(AND(COUNTIF(B:B,B79)=1,D79&gt;14),"Y","N"))</f>
        <v>#N/A</v>
      </c>
      <c r="O79" s="55" t="str">
        <f>IF(COUNT(Feb[[#This Row],[Date]])&gt;0,IF(Feb[[#This Row],[Date]]&gt;14,"Yes","No"),"N/A")</f>
        <v>N/A</v>
      </c>
      <c r="P79" s="55"/>
      <c r="Q79" s="5">
        <f>Relay!A78</f>
        <v>0</v>
      </c>
      <c r="R79" s="5">
        <f>Relay!B78</f>
        <v>77</v>
      </c>
      <c r="S79" s="8">
        <f>IF(Feb[After the 14th?]="No",SUMIF(Feb[SysID],R79,Feb[Pay Amount]),0)+IF(Jan[After the 14th?]="Yes",SUMIF(Jan[SysID],R79,Jan[Pay Amount]),0)</f>
        <v>0</v>
      </c>
      <c r="T79" s="8"/>
      <c r="U79" s="5" t="str">
        <f t="shared" si="5"/>
        <v>N</v>
      </c>
      <c r="X79" s="56"/>
      <c r="Y79" s="56"/>
      <c r="Z79" s="56"/>
      <c r="AA79" s="56"/>
      <c r="AC79" s="56"/>
    </row>
    <row r="80" spans="1:29" x14ac:dyDescent="0.25">
      <c r="A80" s="35"/>
      <c r="B80" s="32" t="e">
        <f>VLOOKUP(A80,Relay!$A$1:$B$50,2,FALSE)</f>
        <v>#N/A</v>
      </c>
      <c r="C80" s="32" t="e">
        <f>VLOOKUP(A80,Relay!$A$2:$C$101,3,FALSE)</f>
        <v>#N/A</v>
      </c>
      <c r="D80" s="39"/>
      <c r="E80" s="35"/>
      <c r="F80" s="58" t="str">
        <f t="shared" si="3"/>
        <v>INS</v>
      </c>
      <c r="G80" s="32" t="e">
        <f>IF(OR(E80="Jeopardy",E80="APP Moonlighting",E80="Differential Pay"),"",Feb[[#This Row],[SysID]])</f>
        <v>#N/A</v>
      </c>
      <c r="H80" s="32" t="e">
        <f>IF(E80="Jeopardy",IF(C80="MD",Relay!$E$7,Relay!$E$8),IF(C80="MD",IF(COUNTIF(G:G,B80)&gt;1,Relay!$E$2,Relay!$E$1),IF(AND(COUNTIF(G:G,B80)&gt;1,COUNTA(A80)&gt;0),Relay!$E$5,Relay!$E$4)))</f>
        <v>#N/A</v>
      </c>
      <c r="I80" s="8">
        <f t="shared" si="4"/>
        <v>0</v>
      </c>
      <c r="J80" s="35"/>
      <c r="K80" s="35"/>
      <c r="L80" s="35"/>
      <c r="M80" s="35"/>
      <c r="N80" s="32" t="e">
        <f>IF(H80=Feb!$E$2,"N",IF(AND(COUNTIF(B:B,B80)=1,D80&gt;14),"Y","N"))</f>
        <v>#N/A</v>
      </c>
      <c r="O80" s="55" t="str">
        <f>IF(COUNT(Feb[[#This Row],[Date]])&gt;0,IF(Feb[[#This Row],[Date]]&gt;14,"Yes","No"),"N/A")</f>
        <v>N/A</v>
      </c>
      <c r="P80" s="55"/>
      <c r="Q80" s="5">
        <f>Relay!A79</f>
        <v>0</v>
      </c>
      <c r="R80" s="5">
        <f>Relay!B79</f>
        <v>78</v>
      </c>
      <c r="S80" s="8">
        <f>IF(Feb[After the 14th?]="No",SUMIF(Feb[SysID],R80,Feb[Pay Amount]),0)+IF(Jan[After the 14th?]="Yes",SUMIF(Jan[SysID],R80,Jan[Pay Amount]),0)</f>
        <v>0</v>
      </c>
      <c r="T80" s="8"/>
      <c r="U80" s="5" t="str">
        <f t="shared" si="5"/>
        <v>N</v>
      </c>
      <c r="X80" s="56"/>
      <c r="Y80" s="56"/>
      <c r="Z80" s="56"/>
      <c r="AA80" s="56"/>
      <c r="AC80" s="56"/>
    </row>
    <row r="81" spans="1:29" x14ac:dyDescent="0.25">
      <c r="A81" s="35"/>
      <c r="B81" s="32" t="e">
        <f>VLOOKUP(A81,Relay!$A$1:$B$50,2,FALSE)</f>
        <v>#N/A</v>
      </c>
      <c r="C81" s="32" t="e">
        <f>VLOOKUP(A81,Relay!$A$2:$C$101,3,FALSE)</f>
        <v>#N/A</v>
      </c>
      <c r="D81" s="39"/>
      <c r="E81" s="35"/>
      <c r="F81" s="58" t="str">
        <f t="shared" si="3"/>
        <v>INS</v>
      </c>
      <c r="G81" s="32" t="e">
        <f>IF(OR(E81="Jeopardy",E81="APP Moonlighting",E81="Differential Pay"),"",Feb[[#This Row],[SysID]])</f>
        <v>#N/A</v>
      </c>
      <c r="H81" s="32" t="e">
        <f>IF(E81="Jeopardy",IF(C81="MD",Relay!$E$7,Relay!$E$8),IF(C81="MD",IF(COUNTIF(G:G,B81)&gt;1,Relay!$E$2,Relay!$E$1),IF(AND(COUNTIF(G:G,B81)&gt;1,COUNTA(A81)&gt;0),Relay!$E$5,Relay!$E$4)))</f>
        <v>#N/A</v>
      </c>
      <c r="I81" s="8">
        <f t="shared" si="4"/>
        <v>0</v>
      </c>
      <c r="J81" s="35"/>
      <c r="K81" s="35"/>
      <c r="L81" s="35"/>
      <c r="M81" s="35"/>
      <c r="N81" s="32" t="e">
        <f>IF(H81=Feb!$E$2,"N",IF(AND(COUNTIF(B:B,B81)=1,D81&gt;14),"Y","N"))</f>
        <v>#N/A</v>
      </c>
      <c r="O81" s="55" t="str">
        <f>IF(COUNT(Feb[[#This Row],[Date]])&gt;0,IF(Feb[[#This Row],[Date]]&gt;14,"Yes","No"),"N/A")</f>
        <v>N/A</v>
      </c>
      <c r="P81" s="55"/>
      <c r="Q81" s="5">
        <f>Relay!A80</f>
        <v>0</v>
      </c>
      <c r="R81" s="5">
        <f>Relay!B80</f>
        <v>79</v>
      </c>
      <c r="S81" s="8">
        <f>IF(Feb[After the 14th?]="No",SUMIF(Feb[SysID],R81,Feb[Pay Amount]),0)+IF(Jan[After the 14th?]="Yes",SUMIF(Jan[SysID],R81,Jan[Pay Amount]),0)</f>
        <v>0</v>
      </c>
      <c r="T81" s="8"/>
      <c r="U81" s="5" t="str">
        <f t="shared" si="5"/>
        <v>N</v>
      </c>
      <c r="X81" s="56"/>
      <c r="Y81" s="56"/>
      <c r="Z81" s="56"/>
      <c r="AA81" s="56"/>
      <c r="AC81" s="56"/>
    </row>
    <row r="82" spans="1:29" x14ac:dyDescent="0.25">
      <c r="A82" s="35"/>
      <c r="B82" s="32" t="e">
        <f>VLOOKUP(A82,Relay!$A$1:$B$50,2,FALSE)</f>
        <v>#N/A</v>
      </c>
      <c r="C82" s="32" t="e">
        <f>VLOOKUP(A82,Relay!$A$2:$C$101,3,FALSE)</f>
        <v>#N/A</v>
      </c>
      <c r="D82" s="39"/>
      <c r="E82" s="35"/>
      <c r="F82" s="58" t="str">
        <f t="shared" si="3"/>
        <v>INS</v>
      </c>
      <c r="G82" s="32" t="e">
        <f>IF(OR(E82="Jeopardy",E82="APP Moonlighting",E82="Differential Pay"),"",Feb[[#This Row],[SysID]])</f>
        <v>#N/A</v>
      </c>
      <c r="H82" s="32" t="e">
        <f>IF(E82="Jeopardy",IF(C82="MD",Relay!$E$7,Relay!$E$8),IF(C82="MD",IF(COUNTIF(G:G,B82)&gt;1,Relay!$E$2,Relay!$E$1),IF(AND(COUNTIF(G:G,B82)&gt;1,COUNTA(A82)&gt;0),Relay!$E$5,Relay!$E$4)))</f>
        <v>#N/A</v>
      </c>
      <c r="I82" s="8">
        <f t="shared" si="4"/>
        <v>0</v>
      </c>
      <c r="J82" s="35"/>
      <c r="K82" s="35"/>
      <c r="L82" s="35"/>
      <c r="M82" s="35"/>
      <c r="N82" s="32" t="e">
        <f>IF(H82=Feb!$E$2,"N",IF(AND(COUNTIF(B:B,B82)=1,D82&gt;14),"Y","N"))</f>
        <v>#N/A</v>
      </c>
      <c r="O82" s="55" t="str">
        <f>IF(COUNT(Feb[[#This Row],[Date]])&gt;0,IF(Feb[[#This Row],[Date]]&gt;14,"Yes","No"),"N/A")</f>
        <v>N/A</v>
      </c>
      <c r="P82" s="55"/>
      <c r="Q82" s="5">
        <f>Relay!A81</f>
        <v>0</v>
      </c>
      <c r="R82" s="5">
        <f>Relay!B81</f>
        <v>80</v>
      </c>
      <c r="S82" s="8">
        <f>IF(Feb[After the 14th?]="No",SUMIF(Feb[SysID],R82,Feb[Pay Amount]),0)+IF(Jan[After the 14th?]="Yes",SUMIF(Jan[SysID],R82,Jan[Pay Amount]),0)</f>
        <v>0</v>
      </c>
      <c r="T82" s="8"/>
      <c r="U82" s="5" t="str">
        <f t="shared" si="5"/>
        <v>N</v>
      </c>
      <c r="X82" s="56"/>
      <c r="Y82" s="56"/>
      <c r="Z82" s="56"/>
      <c r="AA82" s="56"/>
      <c r="AC82" s="56"/>
    </row>
    <row r="83" spans="1:29" x14ac:dyDescent="0.25">
      <c r="A83" s="35"/>
      <c r="B83" s="32" t="e">
        <f>VLOOKUP(A83,Relay!$A$1:$B$50,2,FALSE)</f>
        <v>#N/A</v>
      </c>
      <c r="C83" s="32" t="e">
        <f>VLOOKUP(A83,Relay!$A$2:$C$101,3,FALSE)</f>
        <v>#N/A</v>
      </c>
      <c r="D83" s="39"/>
      <c r="E83" s="35"/>
      <c r="F83" s="58" t="str">
        <f t="shared" si="3"/>
        <v>INS</v>
      </c>
      <c r="G83" s="32" t="e">
        <f>IF(OR(E83="Jeopardy",E83="APP Moonlighting",E83="Differential Pay"),"",Feb[[#This Row],[SysID]])</f>
        <v>#N/A</v>
      </c>
      <c r="H83" s="32" t="e">
        <f>IF(E83="Jeopardy",IF(C83="MD",Relay!$E$7,Relay!$E$8),IF(C83="MD",IF(COUNTIF(G:G,B83)&gt;1,Relay!$E$2,Relay!$E$1),IF(AND(COUNTIF(G:G,B83)&gt;1,COUNTA(A83)&gt;0),Relay!$E$5,Relay!$E$4)))</f>
        <v>#N/A</v>
      </c>
      <c r="I83" s="8">
        <f t="shared" si="4"/>
        <v>0</v>
      </c>
      <c r="J83" s="35"/>
      <c r="K83" s="35"/>
      <c r="L83" s="35"/>
      <c r="M83" s="35"/>
      <c r="N83" s="32" t="e">
        <f>IF(H83=Feb!$E$2,"N",IF(AND(COUNTIF(B:B,B83)=1,D83&gt;14),"Y","N"))</f>
        <v>#N/A</v>
      </c>
      <c r="O83" s="55" t="str">
        <f>IF(COUNT(Feb[[#This Row],[Date]])&gt;0,IF(Feb[[#This Row],[Date]]&gt;14,"Yes","No"),"N/A")</f>
        <v>N/A</v>
      </c>
      <c r="P83" s="55"/>
      <c r="Q83" s="5">
        <f>Relay!A82</f>
        <v>0</v>
      </c>
      <c r="R83" s="5">
        <f>Relay!B82</f>
        <v>81</v>
      </c>
      <c r="S83" s="8">
        <f>IF(Feb[After the 14th?]="No",SUMIF(Feb[SysID],R83,Feb[Pay Amount]),0)+IF(Jan[After the 14th?]="Yes",SUMIF(Jan[SysID],R83,Jan[Pay Amount]),0)</f>
        <v>0</v>
      </c>
      <c r="T83" s="8"/>
      <c r="U83" s="5" t="str">
        <f t="shared" si="5"/>
        <v>N</v>
      </c>
      <c r="X83" s="56"/>
      <c r="Y83" s="56"/>
      <c r="Z83" s="56"/>
      <c r="AA83" s="56"/>
      <c r="AC83" s="56"/>
    </row>
    <row r="84" spans="1:29" x14ac:dyDescent="0.25">
      <c r="A84" s="35"/>
      <c r="B84" s="32" t="e">
        <f>VLOOKUP(A84,Relay!$A$1:$B$50,2,FALSE)</f>
        <v>#N/A</v>
      </c>
      <c r="C84" s="32" t="e">
        <f>VLOOKUP(A84,Relay!$A$2:$C$101,3,FALSE)</f>
        <v>#N/A</v>
      </c>
      <c r="D84" s="39"/>
      <c r="E84" s="35"/>
      <c r="F84" s="58" t="str">
        <f t="shared" si="3"/>
        <v>INS</v>
      </c>
      <c r="G84" s="32" t="e">
        <f>IF(OR(E84="Jeopardy",E84="APP Moonlighting",E84="Differential Pay"),"",Feb[[#This Row],[SysID]])</f>
        <v>#N/A</v>
      </c>
      <c r="H84" s="32" t="e">
        <f>IF(E84="Jeopardy",IF(C84="MD",Relay!$E$7,Relay!$E$8),IF(C84="MD",IF(COUNTIF(G:G,B84)&gt;1,Relay!$E$2,Relay!$E$1),IF(AND(COUNTIF(G:G,B84)&gt;1,COUNTA(A84)&gt;0),Relay!$E$5,Relay!$E$4)))</f>
        <v>#N/A</v>
      </c>
      <c r="I84" s="8">
        <f t="shared" si="4"/>
        <v>0</v>
      </c>
      <c r="J84" s="35"/>
      <c r="K84" s="35"/>
      <c r="L84" s="35"/>
      <c r="M84" s="35"/>
      <c r="N84" s="32" t="e">
        <f>IF(H84=Feb!$E$2,"N",IF(AND(COUNTIF(B:B,B84)=1,D84&gt;14),"Y","N"))</f>
        <v>#N/A</v>
      </c>
      <c r="O84" s="55" t="str">
        <f>IF(COUNT(Feb[[#This Row],[Date]])&gt;0,IF(Feb[[#This Row],[Date]]&gt;14,"Yes","No"),"N/A")</f>
        <v>N/A</v>
      </c>
      <c r="P84" s="55"/>
      <c r="Q84" s="5">
        <f>Relay!A83</f>
        <v>0</v>
      </c>
      <c r="R84" s="5">
        <f>Relay!B83</f>
        <v>82</v>
      </c>
      <c r="S84" s="8">
        <f>IF(Feb[After the 14th?]="No",SUMIF(Feb[SysID],R84,Feb[Pay Amount]),0)+IF(Jan[After the 14th?]="Yes",SUMIF(Jan[SysID],R84,Jan[Pay Amount]),0)</f>
        <v>0</v>
      </c>
      <c r="T84" s="8"/>
      <c r="U84" s="5" t="str">
        <f t="shared" si="5"/>
        <v>N</v>
      </c>
      <c r="X84" s="56"/>
      <c r="Y84" s="56"/>
      <c r="Z84" s="56"/>
      <c r="AA84" s="56"/>
      <c r="AC84" s="56"/>
    </row>
    <row r="85" spans="1:29" x14ac:dyDescent="0.25">
      <c r="A85" s="35"/>
      <c r="B85" s="32" t="e">
        <f>VLOOKUP(A85,Relay!$A$1:$B$50,2,FALSE)</f>
        <v>#N/A</v>
      </c>
      <c r="C85" s="32" t="e">
        <f>VLOOKUP(A85,Relay!$A$2:$C$101,3,FALSE)</f>
        <v>#N/A</v>
      </c>
      <c r="D85" s="39"/>
      <c r="E85" s="35"/>
      <c r="F85" s="58" t="str">
        <f t="shared" si="3"/>
        <v>INS</v>
      </c>
      <c r="G85" s="32" t="e">
        <f>IF(OR(E85="Jeopardy",E85="APP Moonlighting",E85="Differential Pay"),"",Feb[[#This Row],[SysID]])</f>
        <v>#N/A</v>
      </c>
      <c r="H85" s="32" t="e">
        <f>IF(E85="Jeopardy",IF(C85="MD",Relay!$E$7,Relay!$E$8),IF(C85="MD",IF(COUNTIF(G:G,B85)&gt;1,Relay!$E$2,Relay!$E$1),IF(AND(COUNTIF(G:G,B85)&gt;1,COUNTA(A85)&gt;0),Relay!$E$5,Relay!$E$4)))</f>
        <v>#N/A</v>
      </c>
      <c r="I85" s="8">
        <f t="shared" si="4"/>
        <v>0</v>
      </c>
      <c r="J85" s="35"/>
      <c r="K85" s="35"/>
      <c r="L85" s="35"/>
      <c r="M85" s="35"/>
      <c r="N85" s="32" t="e">
        <f>IF(H85=Feb!$E$2,"N",IF(AND(COUNTIF(B:B,B85)=1,D85&gt;14),"Y","N"))</f>
        <v>#N/A</v>
      </c>
      <c r="O85" s="55" t="str">
        <f>IF(COUNT(Feb[[#This Row],[Date]])&gt;0,IF(Feb[[#This Row],[Date]]&gt;14,"Yes","No"),"N/A")</f>
        <v>N/A</v>
      </c>
      <c r="P85" s="55"/>
      <c r="Q85" s="5">
        <f>Relay!A84</f>
        <v>0</v>
      </c>
      <c r="R85" s="5">
        <f>Relay!B84</f>
        <v>83</v>
      </c>
      <c r="S85" s="8">
        <f>IF(Feb[After the 14th?]="No",SUMIF(Feb[SysID],R85,Feb[Pay Amount]),0)+IF(Jan[After the 14th?]="Yes",SUMIF(Jan[SysID],R85,Jan[Pay Amount]),0)</f>
        <v>0</v>
      </c>
      <c r="T85" s="8"/>
      <c r="U85" s="5" t="str">
        <f t="shared" si="5"/>
        <v>N</v>
      </c>
      <c r="X85" s="56"/>
      <c r="Y85" s="56"/>
      <c r="Z85" s="56"/>
      <c r="AA85" s="56"/>
      <c r="AC85" s="56"/>
    </row>
    <row r="86" spans="1:29" x14ac:dyDescent="0.25">
      <c r="A86" s="35"/>
      <c r="B86" s="32" t="e">
        <f>VLOOKUP(A86,Relay!$A$1:$B$50,2,FALSE)</f>
        <v>#N/A</v>
      </c>
      <c r="C86" s="32" t="e">
        <f>VLOOKUP(A86,Relay!$A$2:$C$101,3,FALSE)</f>
        <v>#N/A</v>
      </c>
      <c r="D86" s="39"/>
      <c r="E86" s="35"/>
      <c r="F86" s="58" t="str">
        <f t="shared" si="3"/>
        <v>INS</v>
      </c>
      <c r="G86" s="32" t="e">
        <f>IF(OR(E86="Jeopardy",E86="APP Moonlighting",E86="Differential Pay"),"",Feb[[#This Row],[SysID]])</f>
        <v>#N/A</v>
      </c>
      <c r="H86" s="32" t="e">
        <f>IF(E86="Jeopardy",IF(C86="MD",Relay!$E$7,Relay!$E$8),IF(C86="MD",IF(COUNTIF(G:G,B86)&gt;1,Relay!$E$2,Relay!$E$1),IF(AND(COUNTIF(G:G,B86)&gt;1,COUNTA(A86)&gt;0),Relay!$E$5,Relay!$E$4)))</f>
        <v>#N/A</v>
      </c>
      <c r="I86" s="8">
        <f t="shared" si="4"/>
        <v>0</v>
      </c>
      <c r="J86" s="35"/>
      <c r="K86" s="35"/>
      <c r="L86" s="35"/>
      <c r="M86" s="35"/>
      <c r="N86" s="32" t="e">
        <f>IF(H86=Feb!$E$2,"N",IF(AND(COUNTIF(B:B,B86)=1,D86&gt;14),"Y","N"))</f>
        <v>#N/A</v>
      </c>
      <c r="O86" s="55" t="str">
        <f>IF(COUNT(Feb[[#This Row],[Date]])&gt;0,IF(Feb[[#This Row],[Date]]&gt;14,"Yes","No"),"N/A")</f>
        <v>N/A</v>
      </c>
      <c r="P86" s="55"/>
      <c r="Q86" s="5">
        <f>Relay!A85</f>
        <v>0</v>
      </c>
      <c r="R86" s="5">
        <f>Relay!B85</f>
        <v>84</v>
      </c>
      <c r="S86" s="8">
        <f>IF(Feb[After the 14th?]="No",SUMIF(Feb[SysID],R86,Feb[Pay Amount]),0)+IF(Jan[After the 14th?]="Yes",SUMIF(Jan[SysID],R86,Jan[Pay Amount]),0)</f>
        <v>0</v>
      </c>
      <c r="T86" s="8"/>
      <c r="U86" s="5" t="str">
        <f t="shared" si="5"/>
        <v>N</v>
      </c>
      <c r="X86" s="56"/>
      <c r="Y86" s="56"/>
      <c r="Z86" s="56"/>
      <c r="AA86" s="56"/>
      <c r="AC86" s="56"/>
    </row>
    <row r="87" spans="1:29" x14ac:dyDescent="0.25">
      <c r="A87" s="35"/>
      <c r="B87" s="32" t="e">
        <f>VLOOKUP(A87,Relay!$A$1:$B$50,2,FALSE)</f>
        <v>#N/A</v>
      </c>
      <c r="C87" s="32" t="e">
        <f>VLOOKUP(A87,Relay!$A$2:$C$101,3,FALSE)</f>
        <v>#N/A</v>
      </c>
      <c r="D87" s="39"/>
      <c r="E87" s="35"/>
      <c r="F87" s="58" t="str">
        <f t="shared" si="3"/>
        <v>INS</v>
      </c>
      <c r="G87" s="32" t="e">
        <f>IF(OR(E87="Jeopardy",E87="APP Moonlighting",E87="Differential Pay"),"",Feb[[#This Row],[SysID]])</f>
        <v>#N/A</v>
      </c>
      <c r="H87" s="32" t="e">
        <f>IF(E87="Jeopardy",IF(C87="MD",Relay!$E$7,Relay!$E$8),IF(C87="MD",IF(COUNTIF(G:G,B87)&gt;1,Relay!$E$2,Relay!$E$1),IF(AND(COUNTIF(G:G,B87)&gt;1,COUNTA(A87)&gt;0),Relay!$E$5,Relay!$E$4)))</f>
        <v>#N/A</v>
      </c>
      <c r="I87" s="8">
        <f t="shared" si="4"/>
        <v>0</v>
      </c>
      <c r="J87" s="35"/>
      <c r="K87" s="35"/>
      <c r="L87" s="35"/>
      <c r="M87" s="35"/>
      <c r="N87" s="32" t="e">
        <f>IF(H87=Feb!$E$2,"N",IF(AND(COUNTIF(B:B,B87)=1,D87&gt;14),"Y","N"))</f>
        <v>#N/A</v>
      </c>
      <c r="O87" s="55" t="str">
        <f>IF(COUNT(Feb[[#This Row],[Date]])&gt;0,IF(Feb[[#This Row],[Date]]&gt;14,"Yes","No"),"N/A")</f>
        <v>N/A</v>
      </c>
      <c r="P87" s="55"/>
      <c r="Q87" s="5">
        <f>Relay!A86</f>
        <v>0</v>
      </c>
      <c r="R87" s="5">
        <f>Relay!B86</f>
        <v>85</v>
      </c>
      <c r="S87" s="8">
        <f>IF(Feb[After the 14th?]="No",SUMIF(Feb[SysID],R87,Feb[Pay Amount]),0)+IF(Jan[After the 14th?]="Yes",SUMIF(Jan[SysID],R87,Jan[Pay Amount]),0)</f>
        <v>0</v>
      </c>
      <c r="T87" s="8"/>
      <c r="U87" s="5" t="str">
        <f t="shared" si="5"/>
        <v>N</v>
      </c>
      <c r="X87" s="56"/>
      <c r="Y87" s="56"/>
      <c r="Z87" s="56"/>
      <c r="AA87" s="56"/>
      <c r="AC87" s="56"/>
    </row>
    <row r="88" spans="1:29" x14ac:dyDescent="0.25">
      <c r="A88" s="35"/>
      <c r="B88" s="32" t="e">
        <f>VLOOKUP(A88,Relay!$A$1:$B$50,2,FALSE)</f>
        <v>#N/A</v>
      </c>
      <c r="C88" s="32" t="e">
        <f>VLOOKUP(A88,Relay!$A$2:$C$101,3,FALSE)</f>
        <v>#N/A</v>
      </c>
      <c r="D88" s="39"/>
      <c r="E88" s="35"/>
      <c r="F88" s="58" t="str">
        <f t="shared" si="3"/>
        <v>INS</v>
      </c>
      <c r="G88" s="32" t="e">
        <f>IF(OR(E88="Jeopardy",E88="APP Moonlighting",E88="Differential Pay"),"",Feb[[#This Row],[SysID]])</f>
        <v>#N/A</v>
      </c>
      <c r="H88" s="32" t="e">
        <f>IF(E88="Jeopardy",IF(C88="MD",Relay!$E$7,Relay!$E$8),IF(C88="MD",IF(COUNTIF(G:G,B88)&gt;1,Relay!$E$2,Relay!$E$1),IF(AND(COUNTIF(G:G,B88)&gt;1,COUNTA(A88)&gt;0),Relay!$E$5,Relay!$E$4)))</f>
        <v>#N/A</v>
      </c>
      <c r="I88" s="8">
        <f t="shared" si="4"/>
        <v>0</v>
      </c>
      <c r="J88" s="35"/>
      <c r="K88" s="35"/>
      <c r="L88" s="35"/>
      <c r="M88" s="35"/>
      <c r="N88" s="32" t="e">
        <f>IF(H88=Feb!$E$2,"N",IF(AND(COUNTIF(B:B,B88)=1,D88&gt;14),"Y","N"))</f>
        <v>#N/A</v>
      </c>
      <c r="O88" s="55" t="str">
        <f>IF(COUNT(Feb[[#This Row],[Date]])&gt;0,IF(Feb[[#This Row],[Date]]&gt;14,"Yes","No"),"N/A")</f>
        <v>N/A</v>
      </c>
      <c r="P88" s="55"/>
      <c r="Q88" s="5">
        <f>Relay!A87</f>
        <v>0</v>
      </c>
      <c r="R88" s="5">
        <f>Relay!B87</f>
        <v>86</v>
      </c>
      <c r="S88" s="8">
        <f>IF(Feb[After the 14th?]="No",SUMIF(Feb[SysID],R88,Feb[Pay Amount]),0)+IF(Jan[After the 14th?]="Yes",SUMIF(Jan[SysID],R88,Jan[Pay Amount]),0)</f>
        <v>0</v>
      </c>
      <c r="T88" s="8"/>
      <c r="U88" s="5" t="str">
        <f t="shared" si="5"/>
        <v>N</v>
      </c>
      <c r="X88" s="56"/>
      <c r="Y88" s="56"/>
      <c r="Z88" s="56"/>
      <c r="AA88" s="56"/>
      <c r="AC88" s="56"/>
    </row>
    <row r="89" spans="1:29" x14ac:dyDescent="0.25">
      <c r="A89" s="35"/>
      <c r="B89" s="32" t="e">
        <f>VLOOKUP(A89,Relay!$A$1:$B$50,2,FALSE)</f>
        <v>#N/A</v>
      </c>
      <c r="C89" s="32" t="e">
        <f>VLOOKUP(A89,Relay!$A$2:$C$101,3,FALSE)</f>
        <v>#N/A</v>
      </c>
      <c r="D89" s="39"/>
      <c r="E89" s="35"/>
      <c r="F89" s="58" t="str">
        <f t="shared" si="3"/>
        <v>INS</v>
      </c>
      <c r="G89" s="32" t="e">
        <f>IF(OR(E89="Jeopardy",E89="APP Moonlighting",E89="Differential Pay"),"",Feb[[#This Row],[SysID]])</f>
        <v>#N/A</v>
      </c>
      <c r="H89" s="32" t="e">
        <f>IF(E89="Jeopardy",IF(C89="MD",Relay!$E$7,Relay!$E$8),IF(C89="MD",IF(COUNTIF(G:G,B89)&gt;1,Relay!$E$2,Relay!$E$1),IF(AND(COUNTIF(G:G,B89)&gt;1,COUNTA(A89)&gt;0),Relay!$E$5,Relay!$E$4)))</f>
        <v>#N/A</v>
      </c>
      <c r="I89" s="8">
        <f t="shared" si="4"/>
        <v>0</v>
      </c>
      <c r="J89" s="35"/>
      <c r="K89" s="35"/>
      <c r="L89" s="35"/>
      <c r="M89" s="35"/>
      <c r="N89" s="32" t="e">
        <f>IF(H89=Feb!$E$2,"N",IF(AND(COUNTIF(B:B,B89)=1,D89&gt;14),"Y","N"))</f>
        <v>#N/A</v>
      </c>
      <c r="O89" s="55" t="str">
        <f>IF(COUNT(Feb[[#This Row],[Date]])&gt;0,IF(Feb[[#This Row],[Date]]&gt;14,"Yes","No"),"N/A")</f>
        <v>N/A</v>
      </c>
      <c r="P89" s="55"/>
      <c r="Q89" s="5">
        <f>Relay!A88</f>
        <v>0</v>
      </c>
      <c r="R89" s="5">
        <f>Relay!B88</f>
        <v>87</v>
      </c>
      <c r="S89" s="8">
        <f>IF(Feb[After the 14th?]="No",SUMIF(Feb[SysID],R89,Feb[Pay Amount]),0)+IF(Jan[After the 14th?]="Yes",SUMIF(Jan[SysID],R89,Jan[Pay Amount]),0)</f>
        <v>0</v>
      </c>
      <c r="T89" s="8"/>
      <c r="U89" s="5" t="str">
        <f t="shared" si="5"/>
        <v>N</v>
      </c>
      <c r="X89" s="56"/>
      <c r="Y89" s="56"/>
      <c r="Z89" s="56"/>
      <c r="AA89" s="56"/>
      <c r="AC89" s="56"/>
    </row>
    <row r="90" spans="1:29" x14ac:dyDescent="0.25">
      <c r="A90" s="35"/>
      <c r="B90" s="32" t="e">
        <f>VLOOKUP(A90,Relay!$A$1:$B$50,2,FALSE)</f>
        <v>#N/A</v>
      </c>
      <c r="C90" s="32" t="e">
        <f>VLOOKUP(A90,Relay!$A$2:$C$101,3,FALSE)</f>
        <v>#N/A</v>
      </c>
      <c r="D90" s="39"/>
      <c r="E90" s="35"/>
      <c r="F90" s="58" t="str">
        <f t="shared" si="3"/>
        <v>INS</v>
      </c>
      <c r="G90" s="32" t="e">
        <f>IF(OR(E90="Jeopardy",E90="APP Moonlighting",E90="Differential Pay"),"",Feb[[#This Row],[SysID]])</f>
        <v>#N/A</v>
      </c>
      <c r="H90" s="32" t="e">
        <f>IF(E90="Jeopardy",IF(C90="MD",Relay!$E$7,Relay!$E$8),IF(C90="MD",IF(COUNTIF(G:G,B90)&gt;1,Relay!$E$2,Relay!$E$1),IF(AND(COUNTIF(G:G,B90)&gt;1,COUNTA(A90)&gt;0),Relay!$E$5,Relay!$E$4)))</f>
        <v>#N/A</v>
      </c>
      <c r="I90" s="8">
        <f t="shared" si="4"/>
        <v>0</v>
      </c>
      <c r="J90" s="35"/>
      <c r="K90" s="35"/>
      <c r="L90" s="35"/>
      <c r="M90" s="35"/>
      <c r="N90" s="32" t="e">
        <f>IF(H90=Feb!$E$2,"N",IF(AND(COUNTIF(B:B,B90)=1,D90&gt;14),"Y","N"))</f>
        <v>#N/A</v>
      </c>
      <c r="O90" s="55" t="str">
        <f>IF(COUNT(Feb[[#This Row],[Date]])&gt;0,IF(Feb[[#This Row],[Date]]&gt;14,"Yes","No"),"N/A")</f>
        <v>N/A</v>
      </c>
      <c r="P90" s="55"/>
      <c r="Q90" s="5">
        <f>Relay!A89</f>
        <v>0</v>
      </c>
      <c r="R90" s="5">
        <f>Relay!B89</f>
        <v>88</v>
      </c>
      <c r="S90" s="8">
        <f>IF(Feb[After the 14th?]="No",SUMIF(Feb[SysID],R90,Feb[Pay Amount]),0)+IF(Jan[After the 14th?]="Yes",SUMIF(Jan[SysID],R90,Jan[Pay Amount]),0)</f>
        <v>0</v>
      </c>
      <c r="T90" s="8"/>
      <c r="U90" s="5" t="str">
        <f t="shared" si="5"/>
        <v>N</v>
      </c>
      <c r="X90" s="56"/>
      <c r="Y90" s="56"/>
      <c r="Z90" s="56"/>
      <c r="AA90" s="56"/>
      <c r="AC90" s="56"/>
    </row>
    <row r="91" spans="1:29" x14ac:dyDescent="0.25">
      <c r="A91" s="35"/>
      <c r="B91" s="32" t="e">
        <f>VLOOKUP(A91,Relay!$A$1:$B$50,2,FALSE)</f>
        <v>#N/A</v>
      </c>
      <c r="C91" s="32" t="e">
        <f>VLOOKUP(A91,Relay!$A$2:$C$101,3,FALSE)</f>
        <v>#N/A</v>
      </c>
      <c r="D91" s="39"/>
      <c r="E91" s="35"/>
      <c r="F91" s="58" t="str">
        <f t="shared" si="3"/>
        <v>INS</v>
      </c>
      <c r="G91" s="32" t="e">
        <f>IF(OR(E91="Jeopardy",E91="APP Moonlighting",E91="Differential Pay"),"",Feb[[#This Row],[SysID]])</f>
        <v>#N/A</v>
      </c>
      <c r="H91" s="32" t="e">
        <f>IF(E91="Jeopardy",IF(C91="MD",Relay!$E$7,Relay!$E$8),IF(C91="MD",IF(COUNTIF(G:G,B91)&gt;1,Relay!$E$2,Relay!$E$1),IF(AND(COUNTIF(G:G,B91)&gt;1,COUNTA(A91)&gt;0),Relay!$E$5,Relay!$E$4)))</f>
        <v>#N/A</v>
      </c>
      <c r="I91" s="8">
        <f t="shared" si="4"/>
        <v>0</v>
      </c>
      <c r="J91" s="35"/>
      <c r="K91" s="35"/>
      <c r="L91" s="35"/>
      <c r="M91" s="35"/>
      <c r="N91" s="32" t="e">
        <f>IF(H91=Feb!$E$2,"N",IF(AND(COUNTIF(B:B,B91)=1,D91&gt;14),"Y","N"))</f>
        <v>#N/A</v>
      </c>
      <c r="O91" s="55" t="str">
        <f>IF(COUNT(Feb[[#This Row],[Date]])&gt;0,IF(Feb[[#This Row],[Date]]&gt;14,"Yes","No"),"N/A")</f>
        <v>N/A</v>
      </c>
      <c r="P91" s="55"/>
      <c r="Q91" s="5">
        <f>Relay!A90</f>
        <v>0</v>
      </c>
      <c r="R91" s="5">
        <f>Relay!B90</f>
        <v>89</v>
      </c>
      <c r="S91" s="8">
        <f>IF(Feb[After the 14th?]="No",SUMIF(Feb[SysID],R91,Feb[Pay Amount]),0)+IF(Jan[After the 14th?]="Yes",SUMIF(Jan[SysID],R91,Jan[Pay Amount]),0)</f>
        <v>0</v>
      </c>
      <c r="T91" s="8"/>
      <c r="U91" s="5" t="str">
        <f t="shared" si="5"/>
        <v>N</v>
      </c>
      <c r="X91" s="56"/>
      <c r="Y91" s="56"/>
      <c r="Z91" s="56"/>
      <c r="AA91" s="56"/>
      <c r="AC91" s="56"/>
    </row>
    <row r="92" spans="1:29" x14ac:dyDescent="0.25">
      <c r="A92" s="35"/>
      <c r="B92" s="32" t="e">
        <f>VLOOKUP(A92,Relay!$A$1:$B$50,2,FALSE)</f>
        <v>#N/A</v>
      </c>
      <c r="C92" s="32" t="e">
        <f>VLOOKUP(A92,Relay!$A$2:$C$101,3,FALSE)</f>
        <v>#N/A</v>
      </c>
      <c r="D92" s="39"/>
      <c r="E92" s="35"/>
      <c r="F92" s="58" t="str">
        <f t="shared" si="3"/>
        <v>INS</v>
      </c>
      <c r="G92" s="32" t="e">
        <f>IF(OR(E92="Jeopardy",E92="APP Moonlighting",E92="Differential Pay"),"",Feb[[#This Row],[SysID]])</f>
        <v>#N/A</v>
      </c>
      <c r="H92" s="32" t="e">
        <f>IF(E92="Jeopardy",IF(C92="MD",Relay!$E$7,Relay!$E$8),IF(C92="MD",IF(COUNTIF(G:G,B92)&gt;1,Relay!$E$2,Relay!$E$1),IF(AND(COUNTIF(G:G,B92)&gt;1,COUNTA(A92)&gt;0),Relay!$E$5,Relay!$E$4)))</f>
        <v>#N/A</v>
      </c>
      <c r="I92" s="8">
        <f t="shared" si="4"/>
        <v>0</v>
      </c>
      <c r="J92" s="35"/>
      <c r="K92" s="35"/>
      <c r="L92" s="35"/>
      <c r="M92" s="35"/>
      <c r="N92" s="32" t="e">
        <f>IF(H92=Feb!$E$2,"N",IF(AND(COUNTIF(B:B,B92)=1,D92&gt;14),"Y","N"))</f>
        <v>#N/A</v>
      </c>
      <c r="O92" s="55" t="str">
        <f>IF(COUNT(Feb[[#This Row],[Date]])&gt;0,IF(Feb[[#This Row],[Date]]&gt;14,"Yes","No"),"N/A")</f>
        <v>N/A</v>
      </c>
      <c r="P92" s="55"/>
      <c r="Q92" s="5">
        <f>Relay!A91</f>
        <v>0</v>
      </c>
      <c r="R92" s="5">
        <f>Relay!B91</f>
        <v>90</v>
      </c>
      <c r="S92" s="8">
        <f>IF(Feb[After the 14th?]="No",SUMIF(Feb[SysID],R92,Feb[Pay Amount]),0)+IF(Jan[After the 14th?]="Yes",SUMIF(Jan[SysID],R92,Jan[Pay Amount]),0)</f>
        <v>0</v>
      </c>
      <c r="T92" s="8"/>
      <c r="U92" s="5" t="str">
        <f t="shared" si="5"/>
        <v>N</v>
      </c>
      <c r="X92" s="56"/>
      <c r="Y92" s="56"/>
      <c r="Z92" s="56"/>
      <c r="AA92" s="56"/>
      <c r="AC92" s="56"/>
    </row>
    <row r="93" spans="1:29" x14ac:dyDescent="0.25">
      <c r="A93" s="35"/>
      <c r="B93" s="32" t="e">
        <f>VLOOKUP(A93,Relay!$A$1:$B$50,2,FALSE)</f>
        <v>#N/A</v>
      </c>
      <c r="C93" s="32" t="e">
        <f>VLOOKUP(A93,Relay!$A$2:$C$101,3,FALSE)</f>
        <v>#N/A</v>
      </c>
      <c r="D93" s="39"/>
      <c r="E93" s="35"/>
      <c r="F93" s="58" t="str">
        <f t="shared" si="3"/>
        <v>INS</v>
      </c>
      <c r="G93" s="32" t="e">
        <f>IF(OR(E93="Jeopardy",E93="APP Moonlighting",E93="Differential Pay"),"",Feb[[#This Row],[SysID]])</f>
        <v>#N/A</v>
      </c>
      <c r="H93" s="32" t="e">
        <f>IF(E93="Jeopardy",IF(C93="MD",Relay!$E$7,Relay!$E$8),IF(C93="MD",IF(COUNTIF(G:G,B93)&gt;1,Relay!$E$2,Relay!$E$1),IF(AND(COUNTIF(G:G,B93)&gt;1,COUNTA(A93)&gt;0),Relay!$E$5,Relay!$E$4)))</f>
        <v>#N/A</v>
      </c>
      <c r="I93" s="8">
        <f t="shared" si="4"/>
        <v>0</v>
      </c>
      <c r="J93" s="35"/>
      <c r="K93" s="35"/>
      <c r="L93" s="35"/>
      <c r="M93" s="35"/>
      <c r="N93" s="32" t="e">
        <f>IF(H93=Feb!$E$2,"N",IF(AND(COUNTIF(B:B,B93)=1,D93&gt;14),"Y","N"))</f>
        <v>#N/A</v>
      </c>
      <c r="O93" s="55" t="str">
        <f>IF(COUNT(Feb[[#This Row],[Date]])&gt;0,IF(Feb[[#This Row],[Date]]&gt;14,"Yes","No"),"N/A")</f>
        <v>N/A</v>
      </c>
      <c r="P93" s="55"/>
      <c r="Q93" s="5">
        <f>Relay!A92</f>
        <v>0</v>
      </c>
      <c r="R93" s="5">
        <f>Relay!B92</f>
        <v>91</v>
      </c>
      <c r="S93" s="8">
        <f>IF(Feb[After the 14th?]="No",SUMIF(Feb[SysID],R93,Feb[Pay Amount]),0)+IF(Jan[After the 14th?]="Yes",SUMIF(Jan[SysID],R93,Jan[Pay Amount]),0)</f>
        <v>0</v>
      </c>
      <c r="T93" s="8"/>
      <c r="U93" s="5" t="str">
        <f t="shared" si="5"/>
        <v>N</v>
      </c>
      <c r="X93" s="56"/>
      <c r="Y93" s="56"/>
      <c r="Z93" s="56"/>
      <c r="AA93" s="56"/>
      <c r="AC93" s="56"/>
    </row>
    <row r="94" spans="1:29" x14ac:dyDescent="0.25">
      <c r="A94" s="35"/>
      <c r="B94" s="32" t="e">
        <f>VLOOKUP(A94,Relay!$A$1:$B$50,2,FALSE)</f>
        <v>#N/A</v>
      </c>
      <c r="C94" s="32" t="e">
        <f>VLOOKUP(A94,Relay!$A$2:$C$101,3,FALSE)</f>
        <v>#N/A</v>
      </c>
      <c r="D94" s="39"/>
      <c r="E94" s="35"/>
      <c r="F94" s="58" t="str">
        <f t="shared" si="3"/>
        <v>INS</v>
      </c>
      <c r="G94" s="32" t="e">
        <f>IF(OR(E94="Jeopardy",E94="APP Moonlighting",E94="Differential Pay"),"",Feb[[#This Row],[SysID]])</f>
        <v>#N/A</v>
      </c>
      <c r="H94" s="32" t="e">
        <f>IF(E94="Jeopardy",IF(C94="MD",Relay!$E$7,Relay!$E$8),IF(C94="MD",IF(COUNTIF(G:G,B94)&gt;1,Relay!$E$2,Relay!$E$1),IF(AND(COUNTIF(G:G,B94)&gt;1,COUNTA(A94)&gt;0),Relay!$E$5,Relay!$E$4)))</f>
        <v>#N/A</v>
      </c>
      <c r="I94" s="8">
        <f t="shared" si="4"/>
        <v>0</v>
      </c>
      <c r="J94" s="35"/>
      <c r="K94" s="35"/>
      <c r="L94" s="35"/>
      <c r="M94" s="35"/>
      <c r="N94" s="32" t="e">
        <f>IF(H94=Feb!$E$2,"N",IF(AND(COUNTIF(B:B,B94)=1,D94&gt;14),"Y","N"))</f>
        <v>#N/A</v>
      </c>
      <c r="O94" s="55" t="str">
        <f>IF(COUNT(Feb[[#This Row],[Date]])&gt;0,IF(Feb[[#This Row],[Date]]&gt;14,"Yes","No"),"N/A")</f>
        <v>N/A</v>
      </c>
      <c r="P94" s="55"/>
      <c r="Q94" s="5">
        <f>Relay!A93</f>
        <v>0</v>
      </c>
      <c r="R94" s="5">
        <f>Relay!B93</f>
        <v>92</v>
      </c>
      <c r="S94" s="8">
        <f>IF(Feb[After the 14th?]="No",SUMIF(Feb[SysID],R94,Feb[Pay Amount]),0)+IF(Jan[After the 14th?]="Yes",SUMIF(Jan[SysID],R94,Jan[Pay Amount]),0)</f>
        <v>0</v>
      </c>
      <c r="T94" s="8"/>
      <c r="U94" s="5" t="str">
        <f t="shared" si="5"/>
        <v>N</v>
      </c>
      <c r="X94" s="56"/>
      <c r="Y94" s="56"/>
      <c r="Z94" s="56"/>
      <c r="AA94" s="56"/>
      <c r="AC94" s="56"/>
    </row>
    <row r="95" spans="1:29" x14ac:dyDescent="0.25">
      <c r="A95" s="35"/>
      <c r="B95" s="32" t="e">
        <f>VLOOKUP(A95,Relay!$A$1:$B$50,2,FALSE)</f>
        <v>#N/A</v>
      </c>
      <c r="C95" s="32" t="e">
        <f>VLOOKUP(A95,Relay!$A$2:$C$101,3,FALSE)</f>
        <v>#N/A</v>
      </c>
      <c r="D95" s="39"/>
      <c r="E95" s="35"/>
      <c r="F95" s="58" t="str">
        <f t="shared" si="3"/>
        <v>INS</v>
      </c>
      <c r="G95" s="32" t="e">
        <f>IF(OR(E95="Jeopardy",E95="APP Moonlighting",E95="Differential Pay"),"",Feb[[#This Row],[SysID]])</f>
        <v>#N/A</v>
      </c>
      <c r="H95" s="32" t="e">
        <f>IF(E95="Jeopardy",IF(C95="MD",Relay!$E$7,Relay!$E$8),IF(C95="MD",IF(COUNTIF(G:G,B95)&gt;1,Relay!$E$2,Relay!$E$1),IF(AND(COUNTIF(G:G,B95)&gt;1,COUNTA(A95)&gt;0),Relay!$E$5,Relay!$E$4)))</f>
        <v>#N/A</v>
      </c>
      <c r="I95" s="8">
        <f t="shared" si="4"/>
        <v>0</v>
      </c>
      <c r="J95" s="35"/>
      <c r="K95" s="35"/>
      <c r="L95" s="35"/>
      <c r="M95" s="35"/>
      <c r="N95" s="32" t="e">
        <f>IF(H95=Feb!$E$2,"N",IF(AND(COUNTIF(B:B,B95)=1,D95&gt;14),"Y","N"))</f>
        <v>#N/A</v>
      </c>
      <c r="O95" s="55" t="str">
        <f>IF(COUNT(Feb[[#This Row],[Date]])&gt;0,IF(Feb[[#This Row],[Date]]&gt;14,"Yes","No"),"N/A")</f>
        <v>N/A</v>
      </c>
      <c r="P95" s="55"/>
      <c r="Q95" s="5">
        <f>Relay!A94</f>
        <v>0</v>
      </c>
      <c r="R95" s="5">
        <f>Relay!B94</f>
        <v>93</v>
      </c>
      <c r="S95" s="8">
        <f>IF(Feb[After the 14th?]="No",SUMIF(Feb[SysID],R95,Feb[Pay Amount]),0)+IF(Jan[After the 14th?]="Yes",SUMIF(Jan[SysID],R95,Jan[Pay Amount]),0)</f>
        <v>0</v>
      </c>
      <c r="T95" s="8"/>
      <c r="U95" s="5" t="str">
        <f t="shared" si="5"/>
        <v>N</v>
      </c>
      <c r="X95" s="56"/>
      <c r="Y95" s="56"/>
      <c r="Z95" s="56"/>
      <c r="AA95" s="56"/>
      <c r="AC95" s="56"/>
    </row>
    <row r="96" spans="1:29" x14ac:dyDescent="0.25">
      <c r="A96" s="35"/>
      <c r="B96" s="32" t="e">
        <f>VLOOKUP(A96,Relay!$A$1:$B$50,2,FALSE)</f>
        <v>#N/A</v>
      </c>
      <c r="C96" s="32" t="e">
        <f>VLOOKUP(A96,Relay!$A$2:$C$101,3,FALSE)</f>
        <v>#N/A</v>
      </c>
      <c r="D96" s="39"/>
      <c r="E96" s="35"/>
      <c r="F96" s="58" t="str">
        <f t="shared" si="3"/>
        <v>INS</v>
      </c>
      <c r="G96" s="32" t="e">
        <f>IF(OR(E96="Jeopardy",E96="APP Moonlighting",E96="Differential Pay"),"",Feb[[#This Row],[SysID]])</f>
        <v>#N/A</v>
      </c>
      <c r="H96" s="32" t="e">
        <f>IF(E96="Jeopardy",IF(C96="MD",Relay!$E$7,Relay!$E$8),IF(C96="MD",IF(COUNTIF(G:G,B96)&gt;1,Relay!$E$2,Relay!$E$1),IF(AND(COUNTIF(G:G,B96)&gt;1,COUNTA(A96)&gt;0),Relay!$E$5,Relay!$E$4)))</f>
        <v>#N/A</v>
      </c>
      <c r="I96" s="8">
        <f t="shared" si="4"/>
        <v>0</v>
      </c>
      <c r="J96" s="35"/>
      <c r="K96" s="35"/>
      <c r="L96" s="35"/>
      <c r="M96" s="35"/>
      <c r="N96" s="32" t="e">
        <f>IF(H96=Feb!$E$2,"N",IF(AND(COUNTIF(B:B,B96)=1,D96&gt;14),"Y","N"))</f>
        <v>#N/A</v>
      </c>
      <c r="O96" s="55" t="str">
        <f>IF(COUNT(Feb[[#This Row],[Date]])&gt;0,IF(Feb[[#This Row],[Date]]&gt;14,"Yes","No"),"N/A")</f>
        <v>N/A</v>
      </c>
      <c r="P96" s="55"/>
      <c r="Q96" s="5">
        <f>Relay!A95</f>
        <v>0</v>
      </c>
      <c r="R96" s="5">
        <f>Relay!B95</f>
        <v>94</v>
      </c>
      <c r="S96" s="8">
        <f>IF(Feb[After the 14th?]="No",SUMIF(Feb[SysID],R96,Feb[Pay Amount]),0)+IF(Jan[After the 14th?]="Yes",SUMIF(Jan[SysID],R96,Jan[Pay Amount]),0)</f>
        <v>0</v>
      </c>
      <c r="T96" s="8"/>
      <c r="U96" s="5" t="str">
        <f t="shared" si="5"/>
        <v>N</v>
      </c>
      <c r="X96" s="56"/>
      <c r="Y96" s="56"/>
      <c r="Z96" s="56"/>
      <c r="AA96" s="56"/>
      <c r="AC96" s="56"/>
    </row>
    <row r="97" spans="1:29" x14ac:dyDescent="0.25">
      <c r="A97" s="35"/>
      <c r="B97" s="32" t="e">
        <f>VLOOKUP(A97,Relay!$A$1:$B$50,2,FALSE)</f>
        <v>#N/A</v>
      </c>
      <c r="C97" s="32" t="e">
        <f>VLOOKUP(A97,Relay!$A$2:$C$101,3,FALSE)</f>
        <v>#N/A</v>
      </c>
      <c r="D97" s="39"/>
      <c r="E97" s="35"/>
      <c r="F97" s="58" t="str">
        <f t="shared" si="3"/>
        <v>INS</v>
      </c>
      <c r="G97" s="32" t="e">
        <f>IF(OR(E97="Jeopardy",E97="APP Moonlighting",E97="Differential Pay"),"",Feb[[#This Row],[SysID]])</f>
        <v>#N/A</v>
      </c>
      <c r="H97" s="32" t="e">
        <f>IF(E97="Jeopardy",IF(C97="MD",Relay!$E$7,Relay!$E$8),IF(C97="MD",IF(COUNTIF(G:G,B97)&gt;1,Relay!$E$2,Relay!$E$1),IF(AND(COUNTIF(G:G,B97)&gt;1,COUNTA(A97)&gt;0),Relay!$E$5,Relay!$E$4)))</f>
        <v>#N/A</v>
      </c>
      <c r="I97" s="8">
        <f t="shared" si="4"/>
        <v>0</v>
      </c>
      <c r="J97" s="35"/>
      <c r="K97" s="35"/>
      <c r="L97" s="35"/>
      <c r="M97" s="35"/>
      <c r="N97" s="32" t="e">
        <f>IF(H97=Feb!$E$2,"N",IF(AND(COUNTIF(B:B,B97)=1,D97&gt;14),"Y","N"))</f>
        <v>#N/A</v>
      </c>
      <c r="O97" s="55" t="str">
        <f>IF(COUNT(Feb[[#This Row],[Date]])&gt;0,IF(Feb[[#This Row],[Date]]&gt;14,"Yes","No"),"N/A")</f>
        <v>N/A</v>
      </c>
      <c r="P97" s="55"/>
      <c r="Q97" s="5">
        <f>Relay!A96</f>
        <v>0</v>
      </c>
      <c r="R97" s="5">
        <f>Relay!B96</f>
        <v>95</v>
      </c>
      <c r="S97" s="8">
        <f>IF(Feb[After the 14th?]="No",SUMIF(Feb[SysID],R97,Feb[Pay Amount]),0)+IF(Jan[After the 14th?]="Yes",SUMIF(Jan[SysID],R97,Jan[Pay Amount]),0)</f>
        <v>0</v>
      </c>
      <c r="T97" s="8"/>
      <c r="U97" s="5" t="str">
        <f t="shared" si="5"/>
        <v>N</v>
      </c>
      <c r="X97" s="56"/>
      <c r="Y97" s="56"/>
      <c r="Z97" s="56"/>
      <c r="AA97" s="56"/>
      <c r="AC97" s="56"/>
    </row>
    <row r="98" spans="1:29" x14ac:dyDescent="0.25">
      <c r="A98" s="35"/>
      <c r="B98" s="32" t="e">
        <f>VLOOKUP(A98,Relay!$A$1:$B$50,2,FALSE)</f>
        <v>#N/A</v>
      </c>
      <c r="C98" s="32" t="e">
        <f>VLOOKUP(A98,Relay!$A$2:$C$101,3,FALSE)</f>
        <v>#N/A</v>
      </c>
      <c r="D98" s="39"/>
      <c r="E98" s="35"/>
      <c r="F98" s="58" t="str">
        <f t="shared" si="3"/>
        <v>INS</v>
      </c>
      <c r="G98" s="32" t="e">
        <f>IF(OR(E98="Jeopardy",E98="APP Moonlighting",E98="Differential Pay"),"",Feb[[#This Row],[SysID]])</f>
        <v>#N/A</v>
      </c>
      <c r="H98" s="32" t="e">
        <f>IF(E98="Jeopardy",IF(C98="MD",Relay!$E$7,Relay!$E$8),IF(C98="MD",IF(COUNTIF(G:G,B98)&gt;1,Relay!$E$2,Relay!$E$1),IF(AND(COUNTIF(G:G,B98)&gt;1,COUNTA(A98)&gt;0),Relay!$E$5,Relay!$E$4)))</f>
        <v>#N/A</v>
      </c>
      <c r="I98" s="8">
        <f t="shared" si="4"/>
        <v>0</v>
      </c>
      <c r="J98" s="35"/>
      <c r="K98" s="35"/>
      <c r="L98" s="35"/>
      <c r="M98" s="35"/>
      <c r="N98" s="32" t="e">
        <f>IF(H98=Feb!$E$2,"N",IF(AND(COUNTIF(B:B,B98)=1,D98&gt;14),"Y","N"))</f>
        <v>#N/A</v>
      </c>
      <c r="O98" s="55" t="str">
        <f>IF(COUNT(Feb[[#This Row],[Date]])&gt;0,IF(Feb[[#This Row],[Date]]&gt;14,"Yes","No"),"N/A")</f>
        <v>N/A</v>
      </c>
      <c r="P98" s="55"/>
      <c r="Q98" s="5">
        <f>Relay!A97</f>
        <v>0</v>
      </c>
      <c r="R98" s="5">
        <f>Relay!B97</f>
        <v>96</v>
      </c>
      <c r="S98" s="8">
        <f>IF(Feb[After the 14th?]="No",SUMIF(Feb[SysID],R98,Feb[Pay Amount]),0)+IF(Jan[After the 14th?]="Yes",SUMIF(Jan[SysID],R98,Jan[Pay Amount]),0)</f>
        <v>0</v>
      </c>
      <c r="T98" s="8"/>
      <c r="U98" s="5" t="str">
        <f t="shared" si="5"/>
        <v>N</v>
      </c>
      <c r="X98" s="56"/>
      <c r="Y98" s="56"/>
      <c r="Z98" s="56"/>
      <c r="AA98" s="56"/>
      <c r="AC98" s="56"/>
    </row>
    <row r="99" spans="1:29" x14ac:dyDescent="0.25">
      <c r="A99" s="35"/>
      <c r="B99" s="32" t="e">
        <f>VLOOKUP(A99,Relay!$A$1:$B$50,2,FALSE)</f>
        <v>#N/A</v>
      </c>
      <c r="C99" s="32" t="e">
        <f>VLOOKUP(A99,Relay!$A$2:$C$101,3,FALSE)</f>
        <v>#N/A</v>
      </c>
      <c r="D99" s="39"/>
      <c r="E99" s="35"/>
      <c r="F99" s="58" t="str">
        <f t="shared" si="3"/>
        <v>INS</v>
      </c>
      <c r="G99" s="32" t="e">
        <f>IF(OR(E99="Jeopardy",E99="APP Moonlighting",E99="Differential Pay"),"",Feb[[#This Row],[SysID]])</f>
        <v>#N/A</v>
      </c>
      <c r="H99" s="32" t="e">
        <f>IF(E99="Jeopardy",IF(C99="MD",Relay!$E$7,Relay!$E$8),IF(C99="MD",IF(COUNTIF(G:G,B99)&gt;1,Relay!$E$2,Relay!$E$1),IF(AND(COUNTIF(G:G,B99)&gt;1,COUNTA(A99)&gt;0),Relay!$E$5,Relay!$E$4)))</f>
        <v>#N/A</v>
      </c>
      <c r="I99" s="8">
        <f t="shared" si="4"/>
        <v>0</v>
      </c>
      <c r="J99" s="35"/>
      <c r="K99" s="35"/>
      <c r="L99" s="35"/>
      <c r="M99" s="35"/>
      <c r="N99" s="32" t="e">
        <f>IF(H99=Feb!$E$2,"N",IF(AND(COUNTIF(B:B,B99)=1,D99&gt;14),"Y","N"))</f>
        <v>#N/A</v>
      </c>
      <c r="O99" s="55" t="str">
        <f>IF(COUNT(Feb[[#This Row],[Date]])&gt;0,IF(Feb[[#This Row],[Date]]&gt;14,"Yes","No"),"N/A")</f>
        <v>N/A</v>
      </c>
      <c r="P99" s="55"/>
      <c r="Q99" s="5">
        <f>Relay!A98</f>
        <v>0</v>
      </c>
      <c r="R99" s="5">
        <f>Relay!B98</f>
        <v>97</v>
      </c>
      <c r="S99" s="8">
        <f>IF(Feb[After the 14th?]="No",SUMIF(Feb[SysID],R99,Feb[Pay Amount]),0)+IF(Jan[After the 14th?]="Yes",SUMIF(Jan[SysID],R99,Jan[Pay Amount]),0)</f>
        <v>0</v>
      </c>
      <c r="T99" s="8"/>
      <c r="U99" s="5" t="str">
        <f t="shared" si="5"/>
        <v>N</v>
      </c>
      <c r="X99" s="56"/>
      <c r="Y99" s="56"/>
      <c r="Z99" s="56"/>
      <c r="AA99" s="56"/>
      <c r="AC99" s="56"/>
    </row>
    <row r="100" spans="1:29" x14ac:dyDescent="0.25">
      <c r="A100" s="35"/>
      <c r="B100" s="32" t="e">
        <f>VLOOKUP(A100,Relay!$A$1:$B$50,2,FALSE)</f>
        <v>#N/A</v>
      </c>
      <c r="C100" s="32" t="e">
        <f>VLOOKUP(A100,Relay!$A$2:$C$101,3,FALSE)</f>
        <v>#N/A</v>
      </c>
      <c r="D100" s="39"/>
      <c r="E100" s="35"/>
      <c r="F100" s="58" t="str">
        <f t="shared" si="3"/>
        <v>INS</v>
      </c>
      <c r="G100" s="32" t="e">
        <f>IF(OR(E100="Jeopardy",E100="APP Moonlighting",E100="Differential Pay"),"",Feb[[#This Row],[SysID]])</f>
        <v>#N/A</v>
      </c>
      <c r="H100" s="32" t="e">
        <f>IF(E100="Jeopardy",IF(C100="MD",Relay!$E$7,Relay!$E$8),IF(C100="MD",IF(COUNTIF(G:G,B100)&gt;1,Relay!$E$2,Relay!$E$1),IF(AND(COUNTIF(G:G,B100)&gt;1,COUNTA(A100)&gt;0),Relay!$E$5,Relay!$E$4)))</f>
        <v>#N/A</v>
      </c>
      <c r="I100" s="8">
        <f t="shared" si="4"/>
        <v>0</v>
      </c>
      <c r="J100" s="35"/>
      <c r="K100" s="35"/>
      <c r="L100" s="35"/>
      <c r="M100" s="35"/>
      <c r="N100" s="32" t="e">
        <f>IF(H100=Feb!$E$2,"N",IF(AND(COUNTIF(B:B,B100)=1,D100&gt;14),"Y","N"))</f>
        <v>#N/A</v>
      </c>
      <c r="O100" s="55" t="str">
        <f>IF(COUNT(Feb[[#This Row],[Date]])&gt;0,IF(Feb[[#This Row],[Date]]&gt;14,"Yes","No"),"N/A")</f>
        <v>N/A</v>
      </c>
      <c r="P100" s="55"/>
      <c r="Q100" s="5">
        <f>Relay!A99</f>
        <v>0</v>
      </c>
      <c r="R100" s="5">
        <f>Relay!B99</f>
        <v>98</v>
      </c>
      <c r="S100" s="8">
        <f>IF(Feb[After the 14th?]="No",SUMIF(Feb[SysID],R100,Feb[Pay Amount]),0)+IF(Jan[After the 14th?]="Yes",SUMIF(Jan[SysID],R100,Jan[Pay Amount]),0)</f>
        <v>0</v>
      </c>
      <c r="T100" s="8"/>
      <c r="U100" s="5" t="str">
        <f t="shared" si="5"/>
        <v>N</v>
      </c>
      <c r="X100" s="56"/>
      <c r="Y100" s="56"/>
      <c r="Z100" s="56"/>
      <c r="AA100" s="56"/>
      <c r="AC100" s="56"/>
    </row>
    <row r="101" spans="1:29" x14ac:dyDescent="0.25">
      <c r="A101" s="35"/>
      <c r="B101" s="32" t="e">
        <f>VLOOKUP(A101,Relay!$A$1:$B$50,2,FALSE)</f>
        <v>#N/A</v>
      </c>
      <c r="C101" s="32" t="e">
        <f>VLOOKUP(A101,Relay!$A$2:$C$101,3,FALSE)</f>
        <v>#N/A</v>
      </c>
      <c r="D101" s="39"/>
      <c r="E101" s="35"/>
      <c r="F101" s="58" t="str">
        <f t="shared" si="3"/>
        <v>INS</v>
      </c>
      <c r="G101" s="32" t="e">
        <f>IF(OR(E101="Jeopardy",E101="APP Moonlighting",E101="Differential Pay"),"",Feb[[#This Row],[SysID]])</f>
        <v>#N/A</v>
      </c>
      <c r="H101" s="32" t="e">
        <f>IF(E101="Jeopardy",IF(C101="MD",Relay!$E$7,Relay!$E$8),IF(C101="MD",IF(COUNTIF(G:G,B101)&gt;1,Relay!$E$2,Relay!$E$1),IF(AND(COUNTIF(G:G,B101)&gt;1,COUNTA(A101)&gt;0),Relay!$E$5,Relay!$E$4)))</f>
        <v>#N/A</v>
      </c>
      <c r="I101" s="8">
        <f t="shared" si="4"/>
        <v>0</v>
      </c>
      <c r="J101" s="35"/>
      <c r="K101" s="35"/>
      <c r="L101" s="35"/>
      <c r="M101" s="35"/>
      <c r="N101" s="32" t="e">
        <f>IF(H101=Feb!$E$2,"N",IF(AND(COUNTIF(B:B,B101)=1,D101&gt;14),"Y","N"))</f>
        <v>#N/A</v>
      </c>
      <c r="O101" s="55" t="str">
        <f>IF(COUNT(Feb[[#This Row],[Date]])&gt;0,IF(Feb[[#This Row],[Date]]&gt;14,"Yes","No"),"N/A")</f>
        <v>N/A</v>
      </c>
      <c r="P101" s="55"/>
      <c r="Q101" s="5">
        <f>Relay!A100</f>
        <v>0</v>
      </c>
      <c r="R101" s="5">
        <f>Relay!B100</f>
        <v>99</v>
      </c>
      <c r="S101" s="8">
        <f>IF(Feb[After the 14th?]="No",SUMIF(Feb[SysID],R101,Feb[Pay Amount]),0)+IF(Jan[After the 14th?]="Yes",SUMIF(Jan[SysID],R101,Jan[Pay Amount]),0)</f>
        <v>0</v>
      </c>
      <c r="T101" s="8"/>
      <c r="U101" s="5" t="str">
        <f t="shared" si="5"/>
        <v>N</v>
      </c>
      <c r="X101" s="56"/>
      <c r="Y101" s="56"/>
      <c r="Z101" s="56"/>
      <c r="AA101" s="56"/>
      <c r="AC101" s="56"/>
    </row>
    <row r="102" spans="1:29" x14ac:dyDescent="0.25">
      <c r="A102" s="35"/>
      <c r="B102" s="32" t="e">
        <f>VLOOKUP(A102,Relay!$A$1:$B$50,2,FALSE)</f>
        <v>#N/A</v>
      </c>
      <c r="C102" s="32" t="e">
        <f>VLOOKUP(A102,Relay!$A$2:$C$101,3,FALSE)</f>
        <v>#N/A</v>
      </c>
      <c r="D102" s="39"/>
      <c r="E102" s="35"/>
      <c r="F102" s="58" t="str">
        <f t="shared" si="3"/>
        <v>INS</v>
      </c>
      <c r="G102" s="32" t="e">
        <f>IF(OR(E102="Jeopardy",E102="APP Moonlighting",E102="Differential Pay"),"",Feb[[#This Row],[SysID]])</f>
        <v>#N/A</v>
      </c>
      <c r="H102" s="32" t="e">
        <f>IF(E102="Jeopardy",IF(C102="MD",Relay!$E$7,Relay!$E$8),IF(C102="MD",IF(COUNTIF(G:G,B102)&gt;1,Relay!$E$2,Relay!$E$1),IF(AND(COUNTIF(G:G,B102)&gt;1,COUNTA(A102)&gt;0),Relay!$E$5,Relay!$E$4)))</f>
        <v>#N/A</v>
      </c>
      <c r="I102" s="8">
        <f t="shared" si="4"/>
        <v>0</v>
      </c>
      <c r="J102" s="35"/>
      <c r="K102" s="35"/>
      <c r="L102" s="35"/>
      <c r="M102" s="35"/>
      <c r="N102" s="32" t="e">
        <f>IF(H102=Feb!$E$2,"N",IF(AND(COUNTIF(B:B,B102)=1,D102&gt;14),"Y","N"))</f>
        <v>#N/A</v>
      </c>
      <c r="O102" s="55" t="str">
        <f>IF(COUNT(Feb[[#This Row],[Date]])&gt;0,IF(Feb[[#This Row],[Date]]&gt;14,"Yes","No"),"N/A")</f>
        <v>N/A</v>
      </c>
      <c r="P102" s="55"/>
      <c r="Q102" s="5">
        <f>Relay!A101</f>
        <v>0</v>
      </c>
      <c r="R102" s="5">
        <f>Relay!B101</f>
        <v>100</v>
      </c>
      <c r="S102" s="8">
        <f>IF(Feb[After the 14th?]="No",SUMIF(Feb[SysID],R102,Feb[Pay Amount]),0)+IF(Jan[After the 14th?]="Yes",SUMIF(Jan[SysID],R102,Jan[Pay Amount]),0)</f>
        <v>0</v>
      </c>
      <c r="T102" s="8"/>
      <c r="U102" s="5" t="str">
        <f t="shared" si="5"/>
        <v>N</v>
      </c>
      <c r="X102" s="56"/>
      <c r="Y102" s="56"/>
      <c r="Z102" s="56"/>
      <c r="AA102" s="56"/>
      <c r="AC102" s="56"/>
    </row>
    <row r="103" spans="1:29" x14ac:dyDescent="0.25">
      <c r="A103" s="35"/>
      <c r="B103" s="32" t="e">
        <f>VLOOKUP(A103,Relay!$A$1:$B$50,2,FALSE)</f>
        <v>#N/A</v>
      </c>
      <c r="C103" s="32" t="e">
        <f>VLOOKUP(A103,Relay!$A$2:$C$101,3,FALSE)</f>
        <v>#N/A</v>
      </c>
      <c r="D103" s="39"/>
      <c r="E103" s="35"/>
      <c r="F103" s="58" t="str">
        <f t="shared" si="3"/>
        <v>INS</v>
      </c>
      <c r="G103" s="32" t="e">
        <f>IF(OR(E103="Jeopardy",E103="APP Moonlighting",E103="Differential Pay"),"",Feb[[#This Row],[SysID]])</f>
        <v>#N/A</v>
      </c>
      <c r="H103" s="32" t="e">
        <f>IF(E103="Jeopardy",IF(C103="MD",Relay!$E$7,Relay!$E$8),IF(C103="MD",IF(COUNTIF(G:G,B103)&gt;1,Relay!$E$2,Relay!$E$1),IF(AND(COUNTIF(G:G,B103)&gt;1,COUNTA(A103)&gt;0),Relay!$E$5,Relay!$E$4)))</f>
        <v>#N/A</v>
      </c>
      <c r="I103" s="8">
        <f t="shared" si="4"/>
        <v>0</v>
      </c>
      <c r="J103" s="35"/>
      <c r="K103" s="35"/>
      <c r="L103" s="35"/>
      <c r="M103" s="35"/>
      <c r="N103" s="32" t="e">
        <f>IF(H103=Feb!$E$2,"N",IF(AND(COUNTIF(B:B,B103)=1,D103&gt;14),"Y","N"))</f>
        <v>#N/A</v>
      </c>
      <c r="O103" s="55" t="str">
        <f>IF(COUNT(Feb[[#This Row],[Date]])&gt;0,IF(Feb[[#This Row],[Date]]&gt;14,"Yes","No"),"N/A")</f>
        <v>N/A</v>
      </c>
      <c r="P103" s="55"/>
      <c r="Q103">
        <f>Relay!A102</f>
        <v>0</v>
      </c>
      <c r="R103">
        <f>Relay!B102</f>
        <v>0</v>
      </c>
      <c r="S103" s="9">
        <f>IF(Feb[After the 14th?]="No",SUMIF(Feb[SysID],R103,Feb[Pay Amount]),0)+IF(Jan[After the 14th?]="Yes",SUMIF(Jan[SysID],R103,Jan[Pay Amount]),0)</f>
        <v>0</v>
      </c>
      <c r="U103" s="5" t="str">
        <f t="shared" si="5"/>
        <v>N</v>
      </c>
      <c r="X103" s="56"/>
      <c r="Y103" s="56"/>
      <c r="Z103" s="56"/>
      <c r="AA103" s="56"/>
      <c r="AC103" s="56"/>
    </row>
  </sheetData>
  <conditionalFormatting sqref="N1:N1048576">
    <cfRule type="containsText" dxfId="199" priority="6" operator="containsText" text="Y">
      <formula>NOT(ISERROR(SEARCH("Y",N1)))</formula>
    </cfRule>
  </conditionalFormatting>
  <conditionalFormatting sqref="F1:G1048576">
    <cfRule type="containsText" dxfId="198" priority="5" operator="containsText" text="INS">
      <formula>NOT(ISERROR(SEARCH("INS",F1)))</formula>
    </cfRule>
  </conditionalFormatting>
  <conditionalFormatting sqref="O1:O1048576">
    <cfRule type="containsText" dxfId="197" priority="2" operator="containsText" text="yes">
      <formula>NOT(ISERROR(SEARCH("yes",O1)))</formula>
    </cfRule>
    <cfRule type="containsText" dxfId="196" priority="3" operator="containsText" text="no">
      <formula>NOT(ISERROR(SEARCH("no",O1)))</formula>
    </cfRule>
    <cfRule type="containsText" dxfId="195" priority="4" operator="containsText" text="/">
      <formula>NOT(ISERROR(SEARCH("/",O1)))</formula>
    </cfRule>
  </conditionalFormatting>
  <conditionalFormatting sqref="U1:U1048576">
    <cfRule type="containsText" dxfId="194" priority="1" operator="containsText" text="Y">
      <formula>NOT(ISERROR(SEARCH("Y",U1)))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Relay!$D$11:$D$16</xm:f>
          </x14:formula1>
          <xm:sqref>E3:E103</xm:sqref>
        </x14:dataValidation>
        <x14:dataValidation type="list" allowBlank="1" showInputMessage="1" showErrorMessage="1">
          <x14:formula1>
            <xm:f>Relay!$A$2:$A$101</xm:f>
          </x14:formula1>
          <xm:sqref>A3:A103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Relay</vt:lpstr>
      <vt:lpstr>July</vt:lpstr>
      <vt:lpstr>Aug</vt:lpstr>
      <vt:lpstr>Sept</vt:lpstr>
      <vt:lpstr>Oct</vt:lpstr>
      <vt:lpstr>Nov</vt:lpstr>
      <vt:lpstr>Dec</vt:lpstr>
      <vt:lpstr>Jan</vt:lpstr>
      <vt:lpstr>Feb</vt:lpstr>
      <vt:lpstr>March</vt:lpstr>
      <vt:lpstr>April</vt:lpstr>
      <vt:lpstr>May</vt:lpstr>
      <vt:lpstr>June</vt:lpstr>
      <vt:lpstr>Codebook</vt:lpstr>
    </vt:vector>
  </TitlesOfParts>
  <Company>Boston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O'Dea, Ryan</dc:creator>
  <cp:lastModifiedBy>O'Dea, Ryan</cp:lastModifiedBy>
  <dcterms:created xsi:type="dcterms:W3CDTF">2019-11-21T19:44:56Z</dcterms:created>
  <dcterms:modified xsi:type="dcterms:W3CDTF">2020-02-21T19:23:04Z</dcterms:modified>
</cp:coreProperties>
</file>