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warsodani/Desktop/"/>
    </mc:Choice>
  </mc:AlternateContent>
  <xr:revisionPtr revIDLastSave="0" documentId="13_ncr:1_{7BC722CE-223F-5D4C-9C6E-66BE591AF82C}" xr6:coauthVersionLast="47" xr6:coauthVersionMax="47" xr10:uidLastSave="{00000000-0000-0000-0000-000000000000}"/>
  <bookViews>
    <workbookView xWindow="0" yWindow="0" windowWidth="28800" windowHeight="18000" activeTab="5" xr2:uid="{BAF2020B-C131-3B46-B22F-BC3BA5AC7AB0}"/>
  </bookViews>
  <sheets>
    <sheet name="variables" sheetId="1" r:id="rId1"/>
    <sheet name="consumers" sheetId="2" r:id="rId2"/>
    <sheet name="consumer_simple" sheetId="7" r:id="rId3"/>
    <sheet name="wind people" sheetId="3" r:id="rId4"/>
    <sheet name="Sheet5" sheetId="5" r:id="rId5"/>
    <sheet name="model" sheetId="6" r:id="rId6"/>
    <sheet name="kaluza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6" l="1"/>
  <c r="D27" i="6"/>
  <c r="B24" i="6"/>
  <c r="B27" i="6"/>
  <c r="C29" i="6"/>
  <c r="B19" i="6"/>
  <c r="B22" i="6" s="1"/>
  <c r="F3" i="6"/>
  <c r="F4" i="6"/>
  <c r="F5" i="6"/>
  <c r="F6" i="6"/>
  <c r="F2" i="6"/>
  <c r="B29" i="6"/>
  <c r="D29" i="6"/>
  <c r="E29" i="6"/>
  <c r="F29" i="6"/>
  <c r="B17" i="6" a="1"/>
  <c r="B17" i="6" s="1"/>
  <c r="C14" i="2"/>
  <c r="C16" i="2"/>
  <c r="C17" i="2" s="1"/>
  <c r="C8" i="2"/>
  <c r="D14" i="2"/>
  <c r="C2" i="2"/>
  <c r="C3" i="2"/>
  <c r="C6" i="2"/>
  <c r="B5" i="7"/>
  <c r="B7" i="7"/>
  <c r="B16" i="7"/>
  <c r="C10" i="7"/>
  <c r="C11" i="7" s="1"/>
  <c r="C12" i="7" s="1"/>
  <c r="B6" i="7"/>
  <c r="B11" i="7" s="1"/>
  <c r="B12" i="7" s="1"/>
  <c r="C16" i="5"/>
  <c r="C11" i="5"/>
  <c r="B11" i="5"/>
  <c r="C9" i="5"/>
  <c r="C12" i="5" s="1"/>
  <c r="B9" i="5"/>
  <c r="B5" i="5"/>
  <c r="C2" i="5"/>
  <c r="C3" i="5"/>
  <c r="C5" i="5" s="1"/>
  <c r="C4" i="3"/>
  <c r="B5" i="3"/>
  <c r="C3" i="3"/>
  <c r="C5" i="3" s="1"/>
  <c r="B9" i="3"/>
  <c r="C11" i="3"/>
  <c r="B11" i="3"/>
  <c r="C9" i="3"/>
  <c r="C9" i="2"/>
  <c r="B7" i="2"/>
  <c r="B8" i="2" s="1"/>
  <c r="C7" i="2"/>
  <c r="B6" i="2"/>
  <c r="B8" i="1"/>
  <c r="B23" i="6" l="1"/>
  <c r="B15" i="6" a="1"/>
  <c r="E23" i="6"/>
  <c r="D23" i="6"/>
  <c r="C23" i="6"/>
  <c r="F23" i="6"/>
  <c r="D10" i="7"/>
  <c r="B12" i="5"/>
  <c r="B12" i="3"/>
  <c r="C12" i="3"/>
  <c r="B14" i="2"/>
  <c r="B16" i="2" s="1"/>
  <c r="B15" i="6" l="1"/>
  <c r="B26" i="6" s="1"/>
  <c r="C19" i="6"/>
  <c r="C22" i="6" s="1"/>
  <c r="C28" i="6" s="1"/>
  <c r="D11" i="7"/>
  <c r="D12" i="7" s="1"/>
  <c r="E10" i="7"/>
  <c r="B28" i="6" l="1"/>
  <c r="D19" i="6"/>
  <c r="E19" i="6" s="1"/>
  <c r="F19" i="6" s="1"/>
  <c r="F22" i="6" s="1"/>
  <c r="C26" i="6"/>
  <c r="C27" i="6" s="1"/>
  <c r="F10" i="7"/>
  <c r="E11" i="7"/>
  <c r="E12" i="7" s="1"/>
  <c r="D22" i="6" l="1"/>
  <c r="D26" i="6"/>
  <c r="D28" i="6"/>
  <c r="E22" i="6"/>
  <c r="G10" i="7"/>
  <c r="F11" i="7"/>
  <c r="F12" i="7" s="1"/>
  <c r="E26" i="6" l="1"/>
  <c r="E27" i="6" s="1"/>
  <c r="E28" i="6"/>
  <c r="F26" i="6"/>
  <c r="F28" i="6"/>
  <c r="H10" i="7"/>
  <c r="G11" i="7"/>
  <c r="G12" i="7" s="1"/>
  <c r="F27" i="6" l="1"/>
  <c r="I10" i="7"/>
  <c r="H11" i="7"/>
  <c r="H12" i="7" s="1"/>
  <c r="J10" i="7" l="1"/>
  <c r="I11" i="7"/>
  <c r="I12" i="7" s="1"/>
  <c r="K10" i="7" l="1"/>
  <c r="K11" i="7" s="1"/>
  <c r="K12" i="7" s="1"/>
  <c r="J11" i="7"/>
  <c r="J12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<sst xmlns="http://schemas.openxmlformats.org/spreadsheetml/2006/main" count="106" uniqueCount="81">
  <si>
    <t>Adoption Rate</t>
  </si>
  <si>
    <t>Device Cost</t>
  </si>
  <si>
    <t>Avg usage per day</t>
  </si>
  <si>
    <t>Variable</t>
  </si>
  <si>
    <t>Qty</t>
  </si>
  <si>
    <t>Unit</t>
  </si>
  <si>
    <t>pound</t>
  </si>
  <si>
    <t>Price for curtailed energy</t>
  </si>
  <si>
    <t>kwh</t>
  </si>
  <si>
    <t>Max revenue from curatiled energy</t>
  </si>
  <si>
    <t>Adoption rate</t>
  </si>
  <si>
    <t>pounds/kwh</t>
  </si>
  <si>
    <t>Avg stored usage</t>
  </si>
  <si>
    <t>Price for regural energy</t>
  </si>
  <si>
    <t>Avg energy bill without product</t>
  </si>
  <si>
    <t>Avg energy bill for with product</t>
  </si>
  <si>
    <t>Before</t>
  </si>
  <si>
    <t>After</t>
  </si>
  <si>
    <t>Avg price per kwh</t>
  </si>
  <si>
    <t>Stored/Curtailed energy used per day</t>
  </si>
  <si>
    <t>Price of curtailed energy per kwh</t>
  </si>
  <si>
    <t>Price for normal energy per kwh</t>
  </si>
  <si>
    <t>Normal energy Consumption per day</t>
  </si>
  <si>
    <t>Total energy consumer per day</t>
  </si>
  <si>
    <t>Energy bill per day</t>
  </si>
  <si>
    <t xml:space="preserve">Before </t>
  </si>
  <si>
    <t>Energy Bill</t>
  </si>
  <si>
    <t>Total</t>
  </si>
  <si>
    <t>% of curtailed energy used</t>
  </si>
  <si>
    <t>Monthly</t>
  </si>
  <si>
    <t>Device fee per month</t>
  </si>
  <si>
    <t>Price of normal energy per kwh</t>
  </si>
  <si>
    <t>Revenue</t>
  </si>
  <si>
    <t>Running cost/kwh</t>
  </si>
  <si>
    <t>Total cost</t>
  </si>
  <si>
    <t>Quantity of normal energy per kwh</t>
  </si>
  <si>
    <t>Total profit per turbine</t>
  </si>
  <si>
    <t>Total actual energy produced</t>
  </si>
  <si>
    <t>Total potential power</t>
  </si>
  <si>
    <t>% Energy curtailed</t>
  </si>
  <si>
    <t>Quantity of curtailed energy used</t>
  </si>
  <si>
    <t>fuel energy</t>
  </si>
  <si>
    <t>Price normal</t>
  </si>
  <si>
    <t>price kaluz</t>
  </si>
  <si>
    <t>quantity</t>
  </si>
  <si>
    <t>previous spend/day</t>
  </si>
  <si>
    <t>new spend/day</t>
  </si>
  <si>
    <t>saving</t>
  </si>
  <si>
    <t>adoption</t>
  </si>
  <si>
    <t>houshold</t>
  </si>
  <si>
    <t>revenue/day</t>
  </si>
  <si>
    <t>revenue/year</t>
  </si>
  <si>
    <t>Curtailed energy GWh</t>
  </si>
  <si>
    <t xml:space="preserve">Charging per year </t>
  </si>
  <si>
    <t>No of households</t>
  </si>
  <si>
    <t xml:space="preserve">Price </t>
  </si>
  <si>
    <t>Revenue per year</t>
  </si>
  <si>
    <t>Cost of device</t>
  </si>
  <si>
    <t>Operating costs</t>
  </si>
  <si>
    <t>Profit</t>
  </si>
  <si>
    <t>After share to Wind farmers</t>
  </si>
  <si>
    <t>Avg deviced per household</t>
  </si>
  <si>
    <t>Extra energy bill</t>
  </si>
  <si>
    <t>Subscroption revenue</t>
  </si>
  <si>
    <t>Share to wind farmer</t>
  </si>
  <si>
    <t>Subscription fee per month</t>
  </si>
  <si>
    <t>year 1</t>
  </si>
  <si>
    <t>year 2</t>
  </si>
  <si>
    <t>Year</t>
  </si>
  <si>
    <t>year 3</t>
  </si>
  <si>
    <t>year 4</t>
  </si>
  <si>
    <t>year 5</t>
  </si>
  <si>
    <t>Model 1 (Mixed)</t>
  </si>
  <si>
    <t>Model 2 (Royalty only)</t>
  </si>
  <si>
    <t>Model 3 (Sub only)</t>
  </si>
  <si>
    <t>sub fee</t>
  </si>
  <si>
    <t>Note: need to lower curtailed price</t>
  </si>
  <si>
    <t>combined model</t>
  </si>
  <si>
    <t>Total Extra Sold $</t>
  </si>
  <si>
    <t>model 4</t>
  </si>
  <si>
    <t xml:space="preserve">Heater cost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</si>
</sst>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/>
    <xf numFmtId="9" fontId="0" fillId="0" borderId="1" xfId="2" applyFont="1" applyBorder="1" applyAlignment="1">
      <alignment horizontal="center"/>
    </xf>
    <xf numFmtId="0" fontId="0" fillId="2" borderId="0" xfId="0" applyFill="1"/>
    <xf numFmtId="9" fontId="0" fillId="0" borderId="0" xfId="0" applyNumberFormat="1"/>
    <xf numFmtId="168" fontId="0" fillId="0" borderId="0" xfId="1" applyNumberFormat="1" applyFont="1"/>
    <xf numFmtId="168" fontId="0" fillId="0" borderId="0" xfId="0" applyNumberFormat="1" applyAlignment="1">
      <alignment horizontal="center"/>
    </xf>
    <xf numFmtId="168" fontId="0" fillId="0" borderId="0" xfId="1" applyNumberFormat="1" applyFont="1" applyAlignment="1">
      <alignment horizontal="center"/>
    </xf>
    <xf numFmtId="9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1C977-D97F-3E41-9703-0626FABAAEB0}">
  <dimension ref="A1:D10"/>
  <sheetViews>
    <sheetView zoomScale="160" workbookViewId="0">
      <selection activeCell="A2" sqref="A2"/>
    </sheetView>
  </sheetViews>
  <sheetFormatPr baseColWidth="10" defaultRowHeight="16" x14ac:dyDescent="0.2"/>
  <cols>
    <col min="1" max="1" width="29.1640625" bestFit="1" customWidth="1"/>
    <col min="2" max="4" width="16.5" customWidth="1"/>
  </cols>
  <sheetData>
    <row r="1" spans="1:4" x14ac:dyDescent="0.2">
      <c r="A1" s="1" t="s">
        <v>3</v>
      </c>
      <c r="B1" s="1" t="s">
        <v>4</v>
      </c>
      <c r="C1" s="1" t="s">
        <v>5</v>
      </c>
    </row>
    <row r="2" spans="1:4" x14ac:dyDescent="0.2">
      <c r="A2" s="1" t="s">
        <v>1</v>
      </c>
      <c r="B2" s="1">
        <v>100</v>
      </c>
      <c r="C2" s="1" t="s">
        <v>6</v>
      </c>
      <c r="D2" s="1"/>
    </row>
    <row r="3" spans="1:4" x14ac:dyDescent="0.2">
      <c r="A3" s="1" t="s">
        <v>2</v>
      </c>
      <c r="B3" s="1">
        <v>10</v>
      </c>
      <c r="C3" s="1" t="s">
        <v>8</v>
      </c>
    </row>
    <row r="4" spans="1:4" x14ac:dyDescent="0.2">
      <c r="A4" s="1" t="s">
        <v>13</v>
      </c>
      <c r="B4" s="1">
        <v>0.15</v>
      </c>
      <c r="C4" s="1" t="s">
        <v>11</v>
      </c>
    </row>
    <row r="5" spans="1:4" x14ac:dyDescent="0.2">
      <c r="A5" s="1" t="s">
        <v>7</v>
      </c>
      <c r="B5" s="1">
        <v>0.05</v>
      </c>
      <c r="C5" s="1" t="s">
        <v>11</v>
      </c>
    </row>
    <row r="6" spans="1:4" x14ac:dyDescent="0.2">
      <c r="A6" s="1" t="s">
        <v>9</v>
      </c>
    </row>
    <row r="7" spans="1:4" x14ac:dyDescent="0.2">
      <c r="A7" s="1" t="s">
        <v>10</v>
      </c>
      <c r="B7" s="2">
        <v>0.1</v>
      </c>
      <c r="C7" s="1" t="s">
        <v>3</v>
      </c>
    </row>
    <row r="8" spans="1:4" x14ac:dyDescent="0.2">
      <c r="A8" s="1" t="s">
        <v>14</v>
      </c>
      <c r="B8" s="1">
        <f>B3*B4</f>
        <v>1.5</v>
      </c>
      <c r="C8" s="1" t="s">
        <v>11</v>
      </c>
    </row>
    <row r="9" spans="1:4" x14ac:dyDescent="0.2">
      <c r="A9" s="1" t="s">
        <v>12</v>
      </c>
      <c r="B9" s="2"/>
      <c r="C9" s="1"/>
    </row>
    <row r="10" spans="1:4" x14ac:dyDescent="0.2">
      <c r="A10" s="1" t="s">
        <v>15</v>
      </c>
      <c r="B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22EF-CE8E-3941-918E-5194E3222315}">
  <dimension ref="A1:D17"/>
  <sheetViews>
    <sheetView zoomScale="200" workbookViewId="0">
      <selection activeCell="C16" sqref="C16"/>
    </sheetView>
  </sheetViews>
  <sheetFormatPr baseColWidth="10" defaultRowHeight="16" x14ac:dyDescent="0.2"/>
  <cols>
    <col min="1" max="1" width="31.33203125" bestFit="1" customWidth="1"/>
    <col min="2" max="4" width="19.1640625" customWidth="1"/>
  </cols>
  <sheetData>
    <row r="1" spans="1:4" x14ac:dyDescent="0.2">
      <c r="A1" s="9" t="s">
        <v>3</v>
      </c>
      <c r="B1" s="9" t="s">
        <v>16</v>
      </c>
      <c r="C1" s="9" t="s">
        <v>17</v>
      </c>
    </row>
    <row r="2" spans="1:4" x14ac:dyDescent="0.2">
      <c r="A2" s="4" t="s">
        <v>22</v>
      </c>
      <c r="B2" s="4">
        <v>21.9</v>
      </c>
      <c r="C2" s="4">
        <f>B2-(2.5*D3)</f>
        <v>19.399999999999999</v>
      </c>
    </row>
    <row r="3" spans="1:4" x14ac:dyDescent="0.2">
      <c r="A3" s="4" t="s">
        <v>19</v>
      </c>
      <c r="B3" s="4">
        <v>0</v>
      </c>
      <c r="C3" s="4">
        <f>7*D3</f>
        <v>7</v>
      </c>
      <c r="D3">
        <v>1</v>
      </c>
    </row>
    <row r="4" spans="1:4" x14ac:dyDescent="0.2">
      <c r="A4" s="4" t="s">
        <v>20</v>
      </c>
      <c r="B4" s="4">
        <v>0</v>
      </c>
      <c r="C4" s="4">
        <v>7.4999999999999997E-2</v>
      </c>
    </row>
    <row r="5" spans="1:4" x14ac:dyDescent="0.2">
      <c r="A5" s="4" t="s">
        <v>21</v>
      </c>
      <c r="B5" s="4">
        <v>0.15</v>
      </c>
      <c r="C5" s="4">
        <v>0.15</v>
      </c>
    </row>
    <row r="6" spans="1:4" x14ac:dyDescent="0.2">
      <c r="A6" s="4" t="s">
        <v>23</v>
      </c>
      <c r="B6" s="5">
        <f>B2+B3</f>
        <v>21.9</v>
      </c>
      <c r="C6" s="5">
        <f>C2+C3</f>
        <v>26.4</v>
      </c>
    </row>
    <row r="7" spans="1:4" x14ac:dyDescent="0.2">
      <c r="A7" s="4" t="s">
        <v>24</v>
      </c>
      <c r="B7" s="4">
        <f>B3*B4+B2*B5</f>
        <v>3.2849999999999997</v>
      </c>
      <c r="C7" s="4">
        <f>C3*C4+C2*C5</f>
        <v>3.4349999999999996</v>
      </c>
    </row>
    <row r="8" spans="1:4" x14ac:dyDescent="0.2">
      <c r="A8" s="4" t="s">
        <v>18</v>
      </c>
      <c r="B8" s="5">
        <f>B7/B2</f>
        <v>0.15</v>
      </c>
      <c r="C8" s="5">
        <f>C7/C6</f>
        <v>0.13011363636363635</v>
      </c>
    </row>
    <row r="9" spans="1:4" x14ac:dyDescent="0.2">
      <c r="A9" s="7" t="s">
        <v>28</v>
      </c>
      <c r="B9" s="4"/>
      <c r="C9" s="8">
        <f>C3/SUM(C2:C3)</f>
        <v>0.26515151515151514</v>
      </c>
    </row>
    <row r="10" spans="1:4" x14ac:dyDescent="0.2">
      <c r="A10" s="6" t="s">
        <v>41</v>
      </c>
    </row>
    <row r="13" spans="1:4" x14ac:dyDescent="0.2">
      <c r="A13" s="10" t="s">
        <v>29</v>
      </c>
      <c r="B13" s="10" t="s">
        <v>25</v>
      </c>
      <c r="C13" s="10" t="s">
        <v>17</v>
      </c>
    </row>
    <row r="14" spans="1:4" x14ac:dyDescent="0.2">
      <c r="A14" s="4" t="s">
        <v>26</v>
      </c>
      <c r="B14" s="4">
        <f>B7*30</f>
        <v>98.55</v>
      </c>
      <c r="C14" s="4">
        <f>C7*30</f>
        <v>103.04999999999998</v>
      </c>
      <c r="D14">
        <f>C14-B14</f>
        <v>4.4999999999999858</v>
      </c>
    </row>
    <row r="15" spans="1:4" x14ac:dyDescent="0.2">
      <c r="A15" s="4" t="s">
        <v>30</v>
      </c>
      <c r="B15" s="4">
        <v>0</v>
      </c>
      <c r="C15" s="4">
        <v>2</v>
      </c>
    </row>
    <row r="16" spans="1:4" x14ac:dyDescent="0.2">
      <c r="A16" s="4" t="s">
        <v>27</v>
      </c>
      <c r="B16" s="4">
        <f>B14+B15</f>
        <v>98.55</v>
      </c>
      <c r="C16" s="4">
        <f>C14+C15</f>
        <v>105.04999999999998</v>
      </c>
    </row>
    <row r="17" spans="3:3" x14ac:dyDescent="0.2">
      <c r="C17">
        <f>C16/C6/30</f>
        <v>0.13263888888888886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0E88-2430-BA4F-8A1F-114D14B3156F}">
  <dimension ref="A2:K16"/>
  <sheetViews>
    <sheetView zoomScale="186" workbookViewId="0">
      <selection activeCell="C10" sqref="C10"/>
    </sheetView>
  </sheetViews>
  <sheetFormatPr baseColWidth="10" defaultRowHeight="16" x14ac:dyDescent="0.2"/>
  <cols>
    <col min="1" max="1" width="21.33203125" customWidth="1"/>
    <col min="2" max="2" width="33.33203125" customWidth="1"/>
  </cols>
  <sheetData>
    <row r="2" spans="1:11" x14ac:dyDescent="0.2">
      <c r="A2" t="s">
        <v>42</v>
      </c>
      <c r="B2">
        <v>0.16</v>
      </c>
    </row>
    <row r="3" spans="1:11" x14ac:dyDescent="0.2">
      <c r="A3" s="13" t="s">
        <v>43</v>
      </c>
      <c r="B3">
        <v>0.1</v>
      </c>
    </row>
    <row r="4" spans="1:11" x14ac:dyDescent="0.2">
      <c r="A4" t="s">
        <v>44</v>
      </c>
      <c r="B4">
        <v>9</v>
      </c>
    </row>
    <row r="5" spans="1:11" x14ac:dyDescent="0.2">
      <c r="A5" t="s">
        <v>45</v>
      </c>
      <c r="B5">
        <f>B2*B4</f>
        <v>1.44</v>
      </c>
    </row>
    <row r="6" spans="1:11" x14ac:dyDescent="0.2">
      <c r="A6" t="s">
        <v>46</v>
      </c>
      <c r="B6">
        <f>B3*B4</f>
        <v>0.9</v>
      </c>
    </row>
    <row r="7" spans="1:11" x14ac:dyDescent="0.2">
      <c r="A7" t="s">
        <v>47</v>
      </c>
      <c r="B7">
        <f>B5-B6</f>
        <v>0.53999999999999992</v>
      </c>
    </row>
    <row r="9" spans="1:11" x14ac:dyDescent="0.2">
      <c r="A9" t="s">
        <v>49</v>
      </c>
      <c r="B9">
        <v>10358</v>
      </c>
    </row>
    <row r="10" spans="1:11" x14ac:dyDescent="0.2">
      <c r="A10" t="s">
        <v>48</v>
      </c>
      <c r="B10">
        <v>0.1</v>
      </c>
      <c r="C10">
        <f>B10+0.1</f>
        <v>0.2</v>
      </c>
      <c r="D10">
        <f t="shared" ref="D10:K10" si="0">C10+0.1</f>
        <v>0.30000000000000004</v>
      </c>
      <c r="E10">
        <f t="shared" si="0"/>
        <v>0.4</v>
      </c>
      <c r="F10">
        <f t="shared" si="0"/>
        <v>0.5</v>
      </c>
      <c r="G10">
        <f t="shared" si="0"/>
        <v>0.6</v>
      </c>
      <c r="H10">
        <f t="shared" si="0"/>
        <v>0.7</v>
      </c>
      <c r="I10">
        <f>H10+0.1</f>
        <v>0.79999999999999993</v>
      </c>
      <c r="J10">
        <f t="shared" si="0"/>
        <v>0.89999999999999991</v>
      </c>
      <c r="K10">
        <f t="shared" si="0"/>
        <v>0.99999999999999989</v>
      </c>
    </row>
    <row r="11" spans="1:11" x14ac:dyDescent="0.2">
      <c r="A11" t="s">
        <v>50</v>
      </c>
      <c r="B11">
        <f>B10*$B$6*$B$9</f>
        <v>932.22000000000014</v>
      </c>
      <c r="C11">
        <f t="shared" ref="C11:K11" si="1">C10*$B$6*$B$9</f>
        <v>1864.4400000000003</v>
      </c>
      <c r="D11">
        <f t="shared" si="1"/>
        <v>2796.6600000000008</v>
      </c>
      <c r="E11">
        <f t="shared" si="1"/>
        <v>3728.8800000000006</v>
      </c>
      <c r="F11">
        <f t="shared" si="1"/>
        <v>4661.1000000000004</v>
      </c>
      <c r="G11">
        <f t="shared" si="1"/>
        <v>5593.3200000000006</v>
      </c>
      <c r="H11">
        <f t="shared" si="1"/>
        <v>6525.54</v>
      </c>
      <c r="I11">
        <f t="shared" si="1"/>
        <v>7457.7599999999993</v>
      </c>
      <c r="J11">
        <f t="shared" si="1"/>
        <v>8389.98</v>
      </c>
      <c r="K11">
        <f t="shared" si="1"/>
        <v>9322.1999999999989</v>
      </c>
    </row>
    <row r="12" spans="1:11" x14ac:dyDescent="0.2">
      <c r="A12" s="13" t="s">
        <v>51</v>
      </c>
      <c r="B12">
        <f>B11*365</f>
        <v>340260.30000000005</v>
      </c>
      <c r="C12">
        <f t="shared" ref="C12:K12" si="2">C11*365</f>
        <v>680520.60000000009</v>
      </c>
      <c r="D12">
        <f t="shared" si="2"/>
        <v>1020780.9000000003</v>
      </c>
      <c r="E12">
        <f t="shared" si="2"/>
        <v>1361041.2000000002</v>
      </c>
      <c r="F12">
        <f t="shared" si="2"/>
        <v>1701301.5000000002</v>
      </c>
      <c r="G12">
        <f t="shared" si="2"/>
        <v>2041561.8000000003</v>
      </c>
      <c r="H12">
        <f t="shared" si="2"/>
        <v>2381822.1</v>
      </c>
      <c r="I12">
        <f t="shared" si="2"/>
        <v>2722082.4</v>
      </c>
      <c r="J12">
        <f t="shared" si="2"/>
        <v>3062342.6999999997</v>
      </c>
      <c r="K12">
        <f t="shared" si="2"/>
        <v>3402602.9999999995</v>
      </c>
    </row>
    <row r="15" spans="1:11" x14ac:dyDescent="0.2">
      <c r="A15" t="s">
        <v>52</v>
      </c>
      <c r="B15">
        <v>37.270000000000003</v>
      </c>
    </row>
    <row r="16" spans="1:11" x14ac:dyDescent="0.2">
      <c r="A16" t="s">
        <v>53</v>
      </c>
      <c r="B16" s="4">
        <f>(9.048*365*B9)/10^6</f>
        <v>34.207502159999997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538F-C77B-FA4B-9CA0-B5FAA231B478}">
  <dimension ref="A1:C22"/>
  <sheetViews>
    <sheetView zoomScale="191" workbookViewId="0">
      <selection activeCell="E3" sqref="E3"/>
    </sheetView>
  </sheetViews>
  <sheetFormatPr baseColWidth="10" defaultRowHeight="16" x14ac:dyDescent="0.2"/>
  <cols>
    <col min="1" max="1" width="28.6640625" bestFit="1" customWidth="1"/>
    <col min="2" max="3" width="26.33203125" customWidth="1"/>
  </cols>
  <sheetData>
    <row r="1" spans="1:3" x14ac:dyDescent="0.2">
      <c r="A1" s="9" t="s">
        <v>3</v>
      </c>
      <c r="B1" s="9" t="s">
        <v>16</v>
      </c>
      <c r="C1" s="9" t="s">
        <v>17</v>
      </c>
    </row>
    <row r="2" spans="1:3" x14ac:dyDescent="0.2">
      <c r="A2" s="4" t="s">
        <v>35</v>
      </c>
      <c r="B2" s="4">
        <v>5.258</v>
      </c>
      <c r="C2" s="4">
        <v>5.258</v>
      </c>
    </row>
    <row r="3" spans="1:3" x14ac:dyDescent="0.2">
      <c r="A3" s="4" t="s">
        <v>37</v>
      </c>
      <c r="B3" s="4">
        <v>9845</v>
      </c>
      <c r="C3" s="4">
        <f>C2+C7</f>
        <v>15.257999999999999</v>
      </c>
    </row>
    <row r="4" spans="1:3" x14ac:dyDescent="0.2">
      <c r="A4" s="4" t="s">
        <v>38</v>
      </c>
      <c r="B4" s="4">
        <v>10931</v>
      </c>
      <c r="C4" s="4">
        <f>B4</f>
        <v>10931</v>
      </c>
    </row>
    <row r="5" spans="1:3" x14ac:dyDescent="0.2">
      <c r="A5" s="4" t="s">
        <v>39</v>
      </c>
      <c r="B5" s="12">
        <f>1-B3/B4</f>
        <v>9.9350471137132912E-2</v>
      </c>
      <c r="C5" s="12">
        <f>1-C3/C4</f>
        <v>0.99860415332540486</v>
      </c>
    </row>
    <row r="6" spans="1:3" x14ac:dyDescent="0.2">
      <c r="A6" s="4" t="s">
        <v>31</v>
      </c>
      <c r="B6" s="4">
        <v>0.15</v>
      </c>
      <c r="C6" s="4">
        <v>0.15</v>
      </c>
    </row>
    <row r="7" spans="1:3" x14ac:dyDescent="0.2">
      <c r="A7" s="4" t="s">
        <v>40</v>
      </c>
      <c r="B7" s="4">
        <v>0</v>
      </c>
      <c r="C7" s="4">
        <v>10</v>
      </c>
    </row>
    <row r="8" spans="1:3" x14ac:dyDescent="0.2">
      <c r="A8" s="4" t="s">
        <v>20</v>
      </c>
      <c r="B8" s="4">
        <v>0</v>
      </c>
      <c r="C8" s="4">
        <v>0.05</v>
      </c>
    </row>
    <row r="9" spans="1:3" x14ac:dyDescent="0.2">
      <c r="A9" s="4" t="s">
        <v>32</v>
      </c>
      <c r="B9" s="4">
        <f>(B2*B6)+(B7*B8)</f>
        <v>0.78869999999999996</v>
      </c>
      <c r="C9" s="4">
        <f>(C2*C6)+(C7*C8)</f>
        <v>1.2887</v>
      </c>
    </row>
    <row r="10" spans="1:3" x14ac:dyDescent="0.2">
      <c r="A10" s="4" t="s">
        <v>33</v>
      </c>
      <c r="B10" s="4">
        <v>0.01</v>
      </c>
      <c r="C10" s="4">
        <v>0.01</v>
      </c>
    </row>
    <row r="11" spans="1:3" x14ac:dyDescent="0.2">
      <c r="A11" s="4" t="s">
        <v>34</v>
      </c>
      <c r="B11" s="4">
        <f>B10*B2</f>
        <v>5.2580000000000002E-2</v>
      </c>
      <c r="C11" s="4">
        <f>C10*C2</f>
        <v>5.2580000000000002E-2</v>
      </c>
    </row>
    <row r="12" spans="1:3" x14ac:dyDescent="0.2">
      <c r="A12" s="4" t="s">
        <v>36</v>
      </c>
      <c r="B12" s="4">
        <f>B9-B11</f>
        <v>0.73612</v>
      </c>
      <c r="C12" s="4">
        <f>C9-C11</f>
        <v>1.2361199999999999</v>
      </c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11"/>
      <c r="B15" s="11"/>
      <c r="C15" s="11"/>
    </row>
    <row r="16" spans="1:3" x14ac:dyDescent="0.2">
      <c r="A16" s="11"/>
      <c r="B16" s="11"/>
      <c r="C16" s="11"/>
    </row>
    <row r="17" spans="1:3" x14ac:dyDescent="0.2">
      <c r="A17" s="11"/>
      <c r="B17" s="11"/>
      <c r="C17" s="11"/>
    </row>
    <row r="18" spans="1:3" x14ac:dyDescent="0.2">
      <c r="A18" s="11"/>
      <c r="B18" s="11"/>
      <c r="C18" s="11"/>
    </row>
    <row r="19" spans="1:3" x14ac:dyDescent="0.2">
      <c r="A19" s="11"/>
      <c r="B19" s="11"/>
      <c r="C19" s="11"/>
    </row>
    <row r="20" spans="1:3" x14ac:dyDescent="0.2">
      <c r="A20" s="11"/>
      <c r="B20" s="11"/>
      <c r="C20" s="11"/>
    </row>
    <row r="21" spans="1:3" x14ac:dyDescent="0.2">
      <c r="A21" s="11"/>
      <c r="B21" s="11"/>
      <c r="C21" s="11"/>
    </row>
    <row r="22" spans="1:3" x14ac:dyDescent="0.2">
      <c r="A22" s="11"/>
      <c r="B22" s="11"/>
      <c r="C2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ECF2-E7AF-EC45-8F87-33E356C025AF}">
  <dimension ref="A1:C16"/>
  <sheetViews>
    <sheetView zoomScale="150" workbookViewId="0">
      <selection activeCell="C7" sqref="C7"/>
    </sheetView>
  </sheetViews>
  <sheetFormatPr baseColWidth="10" defaultRowHeight="16" x14ac:dyDescent="0.2"/>
  <cols>
    <col min="1" max="3" width="34.5" customWidth="1"/>
  </cols>
  <sheetData>
    <row r="1" spans="1:3" x14ac:dyDescent="0.2">
      <c r="A1" s="9" t="s">
        <v>3</v>
      </c>
      <c r="B1" s="9" t="s">
        <v>16</v>
      </c>
      <c r="C1" s="9" t="s">
        <v>17</v>
      </c>
    </row>
    <row r="2" spans="1:3" x14ac:dyDescent="0.2">
      <c r="A2" s="4" t="s">
        <v>38</v>
      </c>
      <c r="B2" s="4">
        <v>10931</v>
      </c>
      <c r="C2" s="4">
        <f>B2</f>
        <v>10931</v>
      </c>
    </row>
    <row r="3" spans="1:3" x14ac:dyDescent="0.2">
      <c r="A3" s="4" t="s">
        <v>37</v>
      </c>
      <c r="B3" s="4">
        <v>9845</v>
      </c>
      <c r="C3" s="4">
        <f>C4+C7</f>
        <v>14.306000000000001</v>
      </c>
    </row>
    <row r="4" spans="1:3" x14ac:dyDescent="0.2">
      <c r="A4" s="4" t="s">
        <v>35</v>
      </c>
      <c r="B4" s="4">
        <v>5.258</v>
      </c>
      <c r="C4" s="4">
        <v>5.258</v>
      </c>
    </row>
    <row r="5" spans="1:3" x14ac:dyDescent="0.2">
      <c r="A5" s="4" t="s">
        <v>39</v>
      </c>
      <c r="B5" s="12">
        <f>1-B3/B2</f>
        <v>9.9350471137132912E-2</v>
      </c>
      <c r="C5" s="12">
        <f>1-C3/C2</f>
        <v>0.99869124508279206</v>
      </c>
    </row>
    <row r="6" spans="1:3" x14ac:dyDescent="0.2">
      <c r="A6" s="4" t="s">
        <v>31</v>
      </c>
      <c r="B6" s="4">
        <v>0.15</v>
      </c>
      <c r="C6" s="4">
        <v>0.15</v>
      </c>
    </row>
    <row r="7" spans="1:3" x14ac:dyDescent="0.2">
      <c r="A7" s="4" t="s">
        <v>40</v>
      </c>
      <c r="B7" s="4">
        <v>0</v>
      </c>
      <c r="C7" s="4">
        <v>9.048</v>
      </c>
    </row>
    <row r="8" spans="1:3" x14ac:dyDescent="0.2">
      <c r="A8" s="4" t="s">
        <v>20</v>
      </c>
      <c r="B8" s="4">
        <v>0</v>
      </c>
      <c r="C8" s="4">
        <v>0.05</v>
      </c>
    </row>
    <row r="9" spans="1:3" x14ac:dyDescent="0.2">
      <c r="A9" s="4" t="s">
        <v>32</v>
      </c>
      <c r="B9" s="4">
        <f>(B4*B6)+(B7*B8)</f>
        <v>0.78869999999999996</v>
      </c>
      <c r="C9" s="4">
        <f>(C4*C6)+(C7*C8)</f>
        <v>1.2410999999999999</v>
      </c>
    </row>
    <row r="10" spans="1:3" x14ac:dyDescent="0.2">
      <c r="A10" s="4" t="s">
        <v>33</v>
      </c>
      <c r="B10" s="4">
        <v>0.01</v>
      </c>
      <c r="C10" s="4">
        <v>0.01</v>
      </c>
    </row>
    <row r="11" spans="1:3" x14ac:dyDescent="0.2">
      <c r="A11" s="4" t="s">
        <v>34</v>
      </c>
      <c r="B11" s="4">
        <f>B10*B4</f>
        <v>5.2580000000000002E-2</v>
      </c>
      <c r="C11" s="4">
        <f>C10*C4</f>
        <v>5.2580000000000002E-2</v>
      </c>
    </row>
    <row r="12" spans="1:3" x14ac:dyDescent="0.2">
      <c r="A12" s="4" t="s">
        <v>36</v>
      </c>
      <c r="B12" s="4">
        <f>B9-B11</f>
        <v>0.73612</v>
      </c>
      <c r="C12" s="4">
        <f>C9-C11</f>
        <v>1.1885199999999998</v>
      </c>
    </row>
    <row r="16" spans="1:3" x14ac:dyDescent="0.2">
      <c r="A16" s="4" t="s">
        <v>38</v>
      </c>
      <c r="B16" s="4">
        <v>10931</v>
      </c>
      <c r="C16" s="4">
        <f>B16</f>
        <v>10931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A503-6FA0-A644-A734-6F52D73FE978}">
  <dimension ref="A1:AD30"/>
  <sheetViews>
    <sheetView tabSelected="1" topLeftCell="A9" zoomScale="159" workbookViewId="0">
      <selection activeCell="B13" sqref="B13"/>
    </sheetView>
  </sheetViews>
  <sheetFormatPr baseColWidth="10" defaultRowHeight="16" x14ac:dyDescent="0.2"/>
  <cols>
    <col min="1" max="1" width="23.1640625" style="1" bestFit="1" customWidth="1"/>
    <col min="2" max="2" width="12.5" style="1" bestFit="1" customWidth="1"/>
    <col min="3" max="3" width="15.5" style="1" bestFit="1" customWidth="1"/>
    <col min="4" max="4" width="13.83203125" style="1" bestFit="1" customWidth="1"/>
    <col min="5" max="6" width="15" bestFit="1" customWidth="1"/>
    <col min="7" max="7" width="23.1640625" bestFit="1" customWidth="1"/>
    <col min="8" max="8" width="23" bestFit="1" customWidth="1"/>
    <col min="9" max="11" width="12.5" bestFit="1" customWidth="1"/>
  </cols>
  <sheetData>
    <row r="1" spans="1:9" x14ac:dyDescent="0.2">
      <c r="A1" t="s">
        <v>68</v>
      </c>
      <c r="B1" s="1" t="s">
        <v>0</v>
      </c>
      <c r="C1" s="1" t="s">
        <v>54</v>
      </c>
      <c r="D1" s="1" t="s">
        <v>55</v>
      </c>
      <c r="E1" s="1" t="s">
        <v>62</v>
      </c>
      <c r="F1" s="1" t="s">
        <v>56</v>
      </c>
    </row>
    <row r="2" spans="1:9" x14ac:dyDescent="0.2">
      <c r="A2">
        <v>1</v>
      </c>
      <c r="B2" s="2">
        <v>0.05</v>
      </c>
      <c r="C2" s="1">
        <v>10358</v>
      </c>
      <c r="D2" s="1">
        <v>7.4999999999999997E-2</v>
      </c>
      <c r="E2" s="1">
        <v>4.5</v>
      </c>
      <c r="F2" s="15">
        <f>E2*C2*B2*365*D2</f>
        <v>63798.806250000009</v>
      </c>
    </row>
    <row r="3" spans="1:9" x14ac:dyDescent="0.2">
      <c r="A3">
        <v>2</v>
      </c>
      <c r="B3" s="2">
        <v>0.1</v>
      </c>
      <c r="C3" s="1">
        <v>10358</v>
      </c>
      <c r="D3" s="1">
        <v>7.4999999999999997E-2</v>
      </c>
      <c r="E3" s="1">
        <v>4.5</v>
      </c>
      <c r="F3" s="15">
        <f t="shared" ref="F3:F6" si="0">E3*C3*B3*365*D3</f>
        <v>127597.61250000002</v>
      </c>
    </row>
    <row r="4" spans="1:9" x14ac:dyDescent="0.2">
      <c r="A4">
        <v>3</v>
      </c>
      <c r="B4" s="2">
        <v>0.25</v>
      </c>
      <c r="C4" s="1">
        <v>10358</v>
      </c>
      <c r="D4" s="1">
        <v>7.4999999999999997E-2</v>
      </c>
      <c r="E4" s="1">
        <v>4.5</v>
      </c>
      <c r="F4" s="15">
        <f t="shared" si="0"/>
        <v>318994.03125</v>
      </c>
    </row>
    <row r="5" spans="1:9" x14ac:dyDescent="0.2">
      <c r="A5">
        <v>4</v>
      </c>
      <c r="B5" s="2">
        <v>0.4</v>
      </c>
      <c r="C5" s="1">
        <v>10358</v>
      </c>
      <c r="D5" s="1">
        <v>7.4999999999999997E-2</v>
      </c>
      <c r="E5" s="1">
        <v>4.5</v>
      </c>
      <c r="F5" s="15">
        <f t="shared" si="0"/>
        <v>510390.45000000007</v>
      </c>
      <c r="H5" t="s">
        <v>64</v>
      </c>
      <c r="I5" s="14">
        <v>0.8</v>
      </c>
    </row>
    <row r="6" spans="1:9" x14ac:dyDescent="0.2">
      <c r="A6">
        <v>5</v>
      </c>
      <c r="B6" s="2">
        <v>0.5</v>
      </c>
      <c r="C6" s="1">
        <v>10358</v>
      </c>
      <c r="D6" s="1">
        <v>7.4999999999999997E-2</v>
      </c>
      <c r="E6" s="1">
        <v>4.5</v>
      </c>
      <c r="F6" s="15">
        <f t="shared" si="0"/>
        <v>637988.0625</v>
      </c>
      <c r="H6" t="s">
        <v>65</v>
      </c>
      <c r="I6">
        <v>5</v>
      </c>
    </row>
    <row r="7" spans="1:9" x14ac:dyDescent="0.2">
      <c r="A7"/>
      <c r="B7" s="2"/>
      <c r="E7" s="1"/>
      <c r="F7" s="15"/>
    </row>
    <row r="8" spans="1:9" x14ac:dyDescent="0.2">
      <c r="A8"/>
      <c r="B8" s="2"/>
      <c r="E8" s="1"/>
      <c r="F8" s="15"/>
    </row>
    <row r="9" spans="1:9" x14ac:dyDescent="0.2">
      <c r="A9"/>
      <c r="B9" s="2"/>
      <c r="E9" s="1"/>
      <c r="F9" s="15"/>
    </row>
    <row r="10" spans="1:9" x14ac:dyDescent="0.2">
      <c r="A10"/>
      <c r="B10" s="2"/>
      <c r="E10" s="1"/>
      <c r="F10" s="15"/>
    </row>
    <row r="11" spans="1:9" x14ac:dyDescent="0.2">
      <c r="A11"/>
      <c r="B11" s="2"/>
      <c r="E11" s="1"/>
      <c r="F11" s="15"/>
    </row>
    <row r="12" spans="1:9" x14ac:dyDescent="0.2">
      <c r="A12" s="2" t="s">
        <v>80</v>
      </c>
      <c r="B12" s="1">
        <f>639/2</f>
        <v>319.5</v>
      </c>
    </row>
    <row r="13" spans="1:9" x14ac:dyDescent="0.2">
      <c r="A13" s="2" t="s">
        <v>1</v>
      </c>
      <c r="B13" s="1">
        <v>100</v>
      </c>
    </row>
    <row r="14" spans="1:9" x14ac:dyDescent="0.2">
      <c r="A14" s="2"/>
    </row>
    <row r="15" spans="1:9" x14ac:dyDescent="0.2">
      <c r="B15" s="1" cm="1">
        <f t="array" ref="B15:F15">TRANSPOSE(F2:F6)</f>
        <v>63798.806250000009</v>
      </c>
      <c r="C15" s="1">
        <v>127597.61250000002</v>
      </c>
      <c r="D15" s="1">
        <v>318994.03125</v>
      </c>
      <c r="E15">
        <v>510390.45000000007</v>
      </c>
      <c r="F15">
        <v>637988.0625</v>
      </c>
    </row>
    <row r="16" spans="1:9" x14ac:dyDescent="0.2">
      <c r="B16" s="1" t="s">
        <v>66</v>
      </c>
      <c r="C16" s="1" t="s">
        <v>67</v>
      </c>
      <c r="D16" s="1" t="s">
        <v>69</v>
      </c>
      <c r="E16" s="1" t="s">
        <v>70</v>
      </c>
      <c r="F16" s="1" t="s">
        <v>71</v>
      </c>
    </row>
    <row r="17" spans="1:30" x14ac:dyDescent="0.2">
      <c r="B17" s="18" cm="1">
        <f t="array" ref="B17:F17">TRANSPOSE(B2:B6)</f>
        <v>0.05</v>
      </c>
      <c r="C17" s="18">
        <v>0.1</v>
      </c>
      <c r="D17" s="18">
        <v>0.25</v>
      </c>
      <c r="E17" s="18">
        <v>0.4</v>
      </c>
      <c r="F17" s="18">
        <v>0.5</v>
      </c>
      <c r="G17" s="2"/>
      <c r="H17" s="2"/>
      <c r="I17" s="2"/>
      <c r="J17" s="2"/>
      <c r="K17" s="2"/>
    </row>
    <row r="18" spans="1:30" x14ac:dyDescent="0.2">
      <c r="A18" s="1" t="s">
        <v>61</v>
      </c>
      <c r="B18" s="19">
        <v>2</v>
      </c>
      <c r="C18" s="19">
        <v>2</v>
      </c>
      <c r="D18" s="19">
        <v>2</v>
      </c>
      <c r="E18" s="19">
        <v>2</v>
      </c>
      <c r="F18" s="19">
        <v>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2">
      <c r="A19" s="1" t="s">
        <v>78</v>
      </c>
      <c r="B19" s="17">
        <f>B15*B18</f>
        <v>127597.61250000002</v>
      </c>
      <c r="C19" s="17">
        <f>C15*C18-B19</f>
        <v>127597.61250000002</v>
      </c>
      <c r="D19" s="17">
        <f t="shared" ref="D19:F19" si="1">D15*D18-C19</f>
        <v>510390.44999999995</v>
      </c>
      <c r="E19" s="17">
        <f t="shared" si="1"/>
        <v>510390.45000000019</v>
      </c>
      <c r="F19" s="17">
        <f>F15*F18-E19</f>
        <v>765585.67499999981</v>
      </c>
      <c r="G19" s="17"/>
      <c r="H19" s="17"/>
      <c r="I19" s="17"/>
      <c r="J19" s="17"/>
      <c r="K19" s="17"/>
    </row>
    <row r="20" spans="1:30" x14ac:dyDescent="0.2"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spans="1:30" x14ac:dyDescent="0.2">
      <c r="A21" s="1" t="s">
        <v>72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spans="1:30" x14ac:dyDescent="0.2">
      <c r="A22" s="1" t="s">
        <v>60</v>
      </c>
      <c r="B22" s="17">
        <f>B19*(1-$I$5)</f>
        <v>25519.522499999999</v>
      </c>
      <c r="C22" s="17">
        <f t="shared" ref="C22:F22" si="2">C19*(1-$I$5)</f>
        <v>25519.522499999999</v>
      </c>
      <c r="D22" s="17">
        <f t="shared" si="2"/>
        <v>102078.08999999997</v>
      </c>
      <c r="E22" s="17">
        <f t="shared" si="2"/>
        <v>102078.09000000001</v>
      </c>
      <c r="F22" s="17">
        <f>F19*(1-$I$5)</f>
        <v>153117.13499999992</v>
      </c>
      <c r="G22" s="17"/>
      <c r="H22" s="17"/>
      <c r="I22" s="17"/>
      <c r="J22" s="17"/>
      <c r="K22" s="17"/>
    </row>
    <row r="23" spans="1:30" x14ac:dyDescent="0.2">
      <c r="A23" s="1" t="s">
        <v>63</v>
      </c>
      <c r="B23" s="17">
        <f>$I$6*12*B17*$C$2</f>
        <v>31074</v>
      </c>
      <c r="C23" s="17">
        <f t="shared" ref="C23:F23" si="3">$I$6*12*C17*$C$2</f>
        <v>62148</v>
      </c>
      <c r="D23" s="17">
        <f t="shared" si="3"/>
        <v>155370</v>
      </c>
      <c r="E23" s="17">
        <f t="shared" si="3"/>
        <v>248592</v>
      </c>
      <c r="F23" s="17">
        <f t="shared" si="3"/>
        <v>310740</v>
      </c>
      <c r="G23" s="17"/>
      <c r="H23" s="17"/>
      <c r="I23" s="17"/>
      <c r="J23" s="17"/>
      <c r="K23" s="17"/>
    </row>
    <row r="24" spans="1:30" x14ac:dyDescent="0.2">
      <c r="A24" s="1" t="s">
        <v>57</v>
      </c>
      <c r="B24" s="17">
        <f>B17*$C$2*$B$13</f>
        <v>51790</v>
      </c>
      <c r="C24" s="17">
        <v>0</v>
      </c>
      <c r="D24" s="17">
        <v>0</v>
      </c>
      <c r="E24" s="17">
        <v>0</v>
      </c>
      <c r="F24" s="17">
        <v>0</v>
      </c>
      <c r="G24" s="17"/>
      <c r="H24" s="17"/>
      <c r="I24" s="17"/>
      <c r="J24" s="17"/>
      <c r="K24" s="17"/>
    </row>
    <row r="25" spans="1:30" x14ac:dyDescent="0.2">
      <c r="A25" s="1" t="s">
        <v>58</v>
      </c>
      <c r="B25" s="17">
        <v>200000</v>
      </c>
      <c r="C25" s="17">
        <v>200000</v>
      </c>
      <c r="D25" s="17">
        <v>200000</v>
      </c>
      <c r="E25" s="17">
        <v>200000</v>
      </c>
      <c r="F25" s="17">
        <v>200000</v>
      </c>
      <c r="G25" s="17"/>
      <c r="H25" s="17"/>
      <c r="I25" s="17"/>
      <c r="J25" s="17"/>
      <c r="K25" s="17"/>
    </row>
    <row r="26" spans="1:30" x14ac:dyDescent="0.2">
      <c r="A26" s="1" t="s">
        <v>59</v>
      </c>
      <c r="B26" s="17">
        <f>(B22+B23)-(B24+B25)</f>
        <v>-195196.47750000001</v>
      </c>
      <c r="C26" s="17">
        <f t="shared" ref="C26:E26" si="4">(C22+C23)-(C24+C25)</f>
        <v>-112332.47750000001</v>
      </c>
      <c r="D26" s="17">
        <f t="shared" si="4"/>
        <v>57448.089999999967</v>
      </c>
      <c r="E26" s="17">
        <f t="shared" si="4"/>
        <v>150670.09000000003</v>
      </c>
      <c r="F26" s="17">
        <f>(F22+F23)-(F24+F25)</f>
        <v>263857.13499999989</v>
      </c>
      <c r="G26" s="17"/>
      <c r="H26" s="17"/>
      <c r="I26" s="17"/>
      <c r="J26" s="17"/>
      <c r="K26" s="17"/>
    </row>
    <row r="27" spans="1:30" x14ac:dyDescent="0.2">
      <c r="A27" s="1" t="s">
        <v>77</v>
      </c>
      <c r="B27" s="16">
        <f>SUM($B$26:B26)</f>
        <v>-195196.47750000001</v>
      </c>
      <c r="C27" s="16">
        <f>SUM($B$26:C26)</f>
        <v>-307528.95500000002</v>
      </c>
      <c r="D27" s="16">
        <f>SUM($B$26:D26)</f>
        <v>-250080.86500000005</v>
      </c>
      <c r="E27" s="16">
        <f>SUM($B$26:E26)</f>
        <v>-99410.775000000023</v>
      </c>
      <c r="F27" s="16">
        <f>SUM($B$26:F26)</f>
        <v>164446.35999999987</v>
      </c>
    </row>
    <row r="28" spans="1:30" x14ac:dyDescent="0.2">
      <c r="A28" s="1" t="s">
        <v>73</v>
      </c>
      <c r="B28" s="16">
        <f>B22-(B24+B25)</f>
        <v>-226270.47750000001</v>
      </c>
      <c r="C28" s="16">
        <f>C22-(C24+C25)</f>
        <v>-174480.47750000001</v>
      </c>
      <c r="D28" s="16">
        <f>D22-(D24+D25)</f>
        <v>-97921.910000000033</v>
      </c>
      <c r="E28" s="16">
        <f>E22-(E24+E25)</f>
        <v>-97921.909999999989</v>
      </c>
      <c r="F28" s="16">
        <f>F22-(F24+F25)</f>
        <v>-46882.865000000078</v>
      </c>
    </row>
    <row r="29" spans="1:30" x14ac:dyDescent="0.2">
      <c r="A29" s="1" t="s">
        <v>74</v>
      </c>
      <c r="B29" s="16">
        <f>$C$2*B17*$H$29*12-(B24+B25)</f>
        <v>-189642</v>
      </c>
      <c r="C29" s="16">
        <f>$C$2*C17*$H$29*12-(C24+C25)</f>
        <v>-75704</v>
      </c>
      <c r="D29" s="16">
        <f t="shared" ref="C29:F29" si="5">$C$2*D17*$H$29*12-(D24+D25)</f>
        <v>110740</v>
      </c>
      <c r="E29" s="16">
        <f t="shared" si="5"/>
        <v>297184</v>
      </c>
      <c r="F29" s="16">
        <f t="shared" si="5"/>
        <v>421480</v>
      </c>
      <c r="G29" t="s">
        <v>75</v>
      </c>
      <c r="H29">
        <v>10</v>
      </c>
      <c r="I29" t="s">
        <v>76</v>
      </c>
    </row>
    <row r="30" spans="1:30" x14ac:dyDescent="0.2">
      <c r="A30" s="1" t="s">
        <v>79</v>
      </c>
      <c r="B3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0F352-251A-A74A-B8D8-0D5BA9D65B9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variables</vt:lpstr>
      <vt:lpstr>consumers</vt:lpstr>
      <vt:lpstr>consumer_simple</vt:lpstr>
      <vt:lpstr>wind people</vt:lpstr>
      <vt:lpstr>Sheet5</vt:lpstr>
      <vt:lpstr>model</vt:lpstr>
      <vt:lpstr>kaluza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Kanha Sodani</dc:creator>
  <cp:lastModifiedBy>Kanha Sodani</cp:lastModifiedBy>
  <dcterms:created xsi:type="dcterms:W3CDTF">2025-05-23T11:34:13Z</dcterms:created>
  <dcterms:modified xsi:type="dcterms:W3CDTF">2025-05-23T17:23:33Z</dcterms:modified>
</cp:coreProperties>
</file>