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folk/Documents/GitHub/phycella_project/species_delimitation/"/>
    </mc:Choice>
  </mc:AlternateContent>
  <xr:revisionPtr revIDLastSave="0" documentId="13_ncr:1_{1E5F04CD-373B-ED44-8451-B59887575BAD}" xr6:coauthVersionLast="47" xr6:coauthVersionMax="47" xr10:uidLastSave="{00000000-0000-0000-0000-000000000000}"/>
  <bookViews>
    <workbookView xWindow="1000" yWindow="500" windowWidth="27800" windowHeight="17040" xr2:uid="{10D57480-F9DD-0542-B538-4230A8FE8C9C}"/>
  </bookViews>
  <sheets>
    <sheet name="BPP" sheetId="3" r:id="rId1"/>
    <sheet name="iBPP full molecular" sheetId="1" r:id="rId2"/>
    <sheet name="iBPP trait matched molecular" sheetId="2" r:id="rId3"/>
    <sheet name="iBPP trait matched more generat" sheetId="4" r:id="rId4"/>
    <sheet name="iBPP trait combined goo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3" i="1" l="1"/>
  <c r="Y13" i="1"/>
  <c r="X13" i="1"/>
  <c r="W13" i="1"/>
  <c r="V13" i="1"/>
  <c r="U13" i="1"/>
  <c r="T13" i="1"/>
  <c r="S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P12" i="1"/>
  <c r="O12" i="1"/>
  <c r="N12" i="1"/>
  <c r="M12" i="1"/>
  <c r="L12" i="1"/>
  <c r="K12" i="1"/>
  <c r="J12" i="1"/>
  <c r="I12" i="1"/>
  <c r="H12" i="1"/>
  <c r="G12" i="1"/>
  <c r="F12" i="1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S2" i="2"/>
  <c r="T2" i="2"/>
  <c r="U2" i="2"/>
  <c r="V2" i="2"/>
  <c r="S3" i="2"/>
  <c r="T3" i="2"/>
  <c r="U3" i="2"/>
  <c r="V3" i="2"/>
  <c r="S4" i="2"/>
  <c r="T4" i="2"/>
  <c r="U4" i="2"/>
  <c r="V4" i="2"/>
  <c r="S5" i="2"/>
  <c r="T5" i="2"/>
  <c r="U5" i="2"/>
  <c r="V5" i="2"/>
  <c r="S12" i="2"/>
  <c r="T12" i="2"/>
  <c r="U12" i="2"/>
  <c r="V12" i="2"/>
  <c r="S7" i="2"/>
  <c r="T7" i="2"/>
  <c r="U7" i="2"/>
  <c r="V7" i="2"/>
  <c r="S8" i="2"/>
  <c r="T8" i="2"/>
  <c r="U8" i="2"/>
  <c r="V8" i="2"/>
  <c r="S9" i="2"/>
  <c r="T9" i="2"/>
  <c r="U9" i="2"/>
  <c r="V9" i="2"/>
  <c r="S10" i="2"/>
  <c r="T10" i="2"/>
  <c r="U10" i="2"/>
  <c r="V10" i="2"/>
  <c r="S11" i="2"/>
  <c r="T11" i="2"/>
  <c r="U11" i="2"/>
  <c r="V11" i="2"/>
  <c r="S13" i="2"/>
  <c r="T13" i="2"/>
  <c r="U13" i="2"/>
  <c r="V13" i="2"/>
  <c r="X7" i="1"/>
  <c r="Z12" i="1"/>
  <c r="Y12" i="1"/>
  <c r="X12" i="1"/>
  <c r="W12" i="1"/>
  <c r="V12" i="1"/>
  <c r="U12" i="1"/>
  <c r="T12" i="1"/>
  <c r="S12" i="1"/>
  <c r="Z11" i="1"/>
  <c r="Y11" i="1"/>
  <c r="X11" i="1"/>
  <c r="W11" i="1"/>
  <c r="V11" i="1"/>
  <c r="U11" i="1"/>
  <c r="T11" i="1"/>
  <c r="S11" i="1"/>
  <c r="Z10" i="1"/>
  <c r="Y10" i="1"/>
  <c r="X10" i="1"/>
  <c r="W10" i="1"/>
  <c r="V10" i="1"/>
  <c r="U10" i="1"/>
  <c r="T10" i="1"/>
  <c r="S10" i="1"/>
  <c r="Z9" i="1"/>
  <c r="Y9" i="1"/>
  <c r="X9" i="1"/>
  <c r="W9" i="1"/>
  <c r="V9" i="1"/>
  <c r="U9" i="1"/>
  <c r="T9" i="1"/>
  <c r="S9" i="1"/>
  <c r="Z8" i="1"/>
  <c r="Y8" i="1"/>
  <c r="X8" i="1"/>
  <c r="W8" i="1"/>
  <c r="V8" i="1"/>
  <c r="U8" i="1"/>
  <c r="T8" i="1"/>
  <c r="S8" i="1"/>
  <c r="Z7" i="1"/>
  <c r="Y7" i="1"/>
  <c r="W7" i="1"/>
  <c r="V7" i="1"/>
  <c r="U7" i="1"/>
  <c r="T7" i="1"/>
  <c r="S7" i="1"/>
  <c r="Z6" i="1"/>
  <c r="Y6" i="1"/>
  <c r="X6" i="1"/>
  <c r="W6" i="1"/>
  <c r="V6" i="1"/>
  <c r="U6" i="1"/>
  <c r="T6" i="1"/>
  <c r="S6" i="1"/>
  <c r="Z5" i="1"/>
  <c r="Y5" i="1"/>
  <c r="X5" i="1"/>
  <c r="W5" i="1"/>
  <c r="V5" i="1"/>
  <c r="U5" i="1"/>
  <c r="T5" i="1"/>
  <c r="S5" i="1"/>
  <c r="Z4" i="1"/>
  <c r="Y4" i="1"/>
  <c r="X4" i="1"/>
  <c r="W4" i="1"/>
  <c r="V4" i="1"/>
  <c r="U4" i="1"/>
  <c r="T4" i="1"/>
  <c r="S4" i="1"/>
  <c r="Z3" i="1"/>
  <c r="Y3" i="1"/>
  <c r="X3" i="1"/>
  <c r="W3" i="1"/>
  <c r="V3" i="1"/>
  <c r="U3" i="1"/>
  <c r="T3" i="1"/>
  <c r="S3" i="1"/>
  <c r="Z2" i="1"/>
  <c r="Y2" i="1"/>
  <c r="X2" i="1"/>
  <c r="W2" i="1"/>
  <c r="V2" i="1"/>
  <c r="U2" i="1"/>
  <c r="T2" i="1"/>
  <c r="S2" i="1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E2" i="1"/>
  <c r="F2" i="1"/>
  <c r="H2" i="1"/>
  <c r="I2" i="1"/>
  <c r="K2" i="1"/>
  <c r="L2" i="1"/>
  <c r="N2" i="1"/>
  <c r="O2" i="1"/>
  <c r="P2" i="1"/>
  <c r="Q2" i="1"/>
  <c r="E3" i="1"/>
  <c r="F3" i="1"/>
  <c r="G3" i="1"/>
  <c r="H3" i="1"/>
  <c r="I3" i="1"/>
  <c r="J3" i="1"/>
  <c r="K3" i="1"/>
  <c r="L3" i="1"/>
  <c r="M3" i="1"/>
  <c r="N3" i="1"/>
  <c r="O3" i="1"/>
  <c r="P3" i="1"/>
  <c r="Q3" i="1"/>
  <c r="E4" i="1"/>
  <c r="F4" i="1"/>
  <c r="G4" i="1"/>
  <c r="H4" i="1"/>
  <c r="I4" i="1"/>
  <c r="J4" i="1"/>
  <c r="K4" i="1"/>
  <c r="L4" i="1"/>
  <c r="M4" i="1"/>
  <c r="N4" i="1"/>
  <c r="O4" i="1"/>
  <c r="P4" i="1"/>
  <c r="Q4" i="1"/>
  <c r="E5" i="1"/>
  <c r="F5" i="1"/>
  <c r="G5" i="1"/>
  <c r="H5" i="1"/>
  <c r="I5" i="1"/>
  <c r="J5" i="1"/>
  <c r="K5" i="1"/>
  <c r="L5" i="1"/>
  <c r="M5" i="1"/>
  <c r="N5" i="1"/>
  <c r="O5" i="1"/>
  <c r="P5" i="1"/>
  <c r="Q5" i="1"/>
  <c r="E6" i="1"/>
  <c r="F6" i="1"/>
  <c r="G6" i="1"/>
  <c r="H6" i="1"/>
  <c r="I6" i="1"/>
  <c r="J6" i="1"/>
  <c r="K6" i="1"/>
  <c r="L6" i="1"/>
  <c r="M6" i="1"/>
  <c r="N6" i="1"/>
  <c r="O6" i="1"/>
  <c r="P6" i="1"/>
  <c r="Q6" i="1"/>
  <c r="E7" i="1"/>
  <c r="F7" i="1"/>
  <c r="G7" i="1"/>
  <c r="H7" i="1"/>
  <c r="I7" i="1"/>
  <c r="J7" i="1"/>
  <c r="K7" i="1"/>
  <c r="L7" i="1"/>
  <c r="M7" i="1"/>
  <c r="N7" i="1"/>
  <c r="O7" i="1"/>
  <c r="P7" i="1"/>
  <c r="Q7" i="1"/>
  <c r="E8" i="1"/>
  <c r="F8" i="1"/>
  <c r="G8" i="1"/>
  <c r="H8" i="1"/>
  <c r="I8" i="1"/>
  <c r="J8" i="1"/>
  <c r="K8" i="1"/>
  <c r="L8" i="1"/>
  <c r="M8" i="1"/>
  <c r="N8" i="1"/>
  <c r="O8" i="1"/>
  <c r="P8" i="1"/>
  <c r="Q8" i="1"/>
  <c r="E9" i="1"/>
  <c r="F9" i="1"/>
  <c r="G9" i="1"/>
  <c r="H9" i="1"/>
  <c r="I9" i="1"/>
  <c r="J9" i="1"/>
  <c r="K9" i="1"/>
  <c r="L9" i="1"/>
  <c r="M9" i="1"/>
  <c r="N9" i="1"/>
  <c r="O9" i="1"/>
  <c r="P9" i="1"/>
  <c r="Q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E12" i="1"/>
  <c r="Q12" i="1"/>
  <c r="D11" i="1"/>
  <c r="D10" i="1"/>
  <c r="D9" i="1"/>
  <c r="D8" i="1"/>
  <c r="D7" i="1"/>
  <c r="D6" i="1"/>
  <c r="D5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<sst xmlns="http://schemas.openxmlformats.org/spreadsheetml/2006/main" count="109" uniqueCount="54">
  <si>
    <t>Number of species</t>
  </si>
  <si>
    <t>Case 1 rep 1</t>
  </si>
  <si>
    <t>Case 2 rep 1</t>
  </si>
  <si>
    <t>Case 3 rep 1</t>
  </si>
  <si>
    <t>Case 4 rep 1</t>
  </si>
  <si>
    <t>Case 1 rep 2</t>
  </si>
  <si>
    <t>Case 1 rep 3</t>
  </si>
  <si>
    <t>Case 1 rep 4</t>
  </si>
  <si>
    <t>Case 3 rep 2</t>
  </si>
  <si>
    <t>Case 3 rep 3</t>
  </si>
  <si>
    <t>Case 3 rep 4</t>
  </si>
  <si>
    <t>Case 4 rep 2</t>
  </si>
  <si>
    <t>Case 4 rep 3</t>
  </si>
  <si>
    <t>Case 4 rep 4</t>
  </si>
  <si>
    <t>Case 2 rep 2</t>
  </si>
  <si>
    <t>Case 2 rep 3</t>
  </si>
  <si>
    <t>Case 2 rep 4</t>
  </si>
  <si>
    <t>Case 3 taxondrop rep 1</t>
  </si>
  <si>
    <t>Case 3 taxondrop rep 2</t>
  </si>
  <si>
    <t>Case 3 taxondrop rep 3</t>
  </si>
  <si>
    <t>Case 3 taxondrop rep 4</t>
  </si>
  <si>
    <t>Case 4 taxondrop rep 1</t>
  </si>
  <si>
    <t>Case 4 taxondrop rep 2</t>
  </si>
  <si>
    <t>Case 4 taxondrop rep 3</t>
  </si>
  <si>
    <t>Case 4 taxondrop rep 4</t>
  </si>
  <si>
    <t>Case 1 rep 1 more generations</t>
  </si>
  <si>
    <t>Case 1 rep 2 more generations</t>
  </si>
  <si>
    <t>Case 1 rep 3 more generations</t>
  </si>
  <si>
    <t>Case 1 rep 4 more generations</t>
  </si>
  <si>
    <t>Case 2 rep 1 more generations</t>
  </si>
  <si>
    <t>Case 2 rep 2 more generations</t>
  </si>
  <si>
    <t>Case 2 rep 3 more generations</t>
  </si>
  <si>
    <t>Case 2 rep 4 more generations</t>
  </si>
  <si>
    <t>Case 3 rep 1 more generations</t>
  </si>
  <si>
    <t>Case 3 rep 2 more generations</t>
  </si>
  <si>
    <t>Case 3 rep 3 more generations</t>
  </si>
  <si>
    <t>Case 3 rep 4 more generations</t>
  </si>
  <si>
    <t>Case 4 rep 1 more generations</t>
  </si>
  <si>
    <t>Case 4 rep 2 more generations</t>
  </si>
  <si>
    <t>Case 4 rep 3 more generations</t>
  </si>
  <si>
    <t>Case 4 rep 4 more generations</t>
  </si>
  <si>
    <t>Case 4 taxondrop rep 1 more generations</t>
  </si>
  <si>
    <t>Case 4 taxondrop rep 2 more generations</t>
  </si>
  <si>
    <t>Case 4 taxondrop rep 3 more generations</t>
  </si>
  <si>
    <t>Case 4 taxondrop rep 4 more generations</t>
  </si>
  <si>
    <t>Number of nodes</t>
  </si>
  <si>
    <t>Case 1 rep 1 fewer generations</t>
  </si>
  <si>
    <t>Case 2 rep 1 fewer generations</t>
  </si>
  <si>
    <t>Case 2 rep 3 fewer generations</t>
  </si>
  <si>
    <t>Case 2 rep 4 fewer generations</t>
  </si>
  <si>
    <t>Case 3 rep 2 fewer generations</t>
  </si>
  <si>
    <t>Case 3 rep 3 fewer generations</t>
  </si>
  <si>
    <t>Case 4 taxondrop rep 2 fewer generations</t>
  </si>
  <si>
    <t>Case 4 taxondrop rep 3 fewer generations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</si>
</sst>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CEAD8-3C2A-834F-8F4B-2EC95DF0F131}">
  <dimension ref="A1:Z1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T21" sqref="T21"/>
    </sheetView>
  </sheetViews>
  <sheetFormatPr baseColWidth="10" defaultRowHeight="16" x14ac:dyDescent="0.2"/>
  <cols>
    <col min="1" max="1" width="30" customWidth="1"/>
  </cols>
  <sheetData>
    <row r="1" spans="1:26" x14ac:dyDescent="0.2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14</v>
      </c>
      <c r="H1" t="s">
        <v>15</v>
      </c>
      <c r="I1" t="s">
        <v>16</v>
      </c>
      <c r="J1" t="s">
        <v>3</v>
      </c>
      <c r="K1" t="s">
        <v>8</v>
      </c>
      <c r="L1" t="s">
        <v>9</v>
      </c>
      <c r="M1" t="s">
        <v>10</v>
      </c>
      <c r="N1" t="s">
        <v>4</v>
      </c>
      <c r="O1" t="s">
        <v>11</v>
      </c>
      <c r="P1" t="s">
        <v>12</v>
      </c>
      <c r="Q1" t="s">
        <v>13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">
      <c r="A2">
        <v>3</v>
      </c>
      <c r="B2">
        <v>0</v>
      </c>
      <c r="C2">
        <v>0</v>
      </c>
      <c r="D2">
        <v>0</v>
      </c>
      <c r="E2">
        <v>0</v>
      </c>
      <c r="F2" s="1">
        <v>0.12211</v>
      </c>
      <c r="G2" s="1">
        <v>3.5200000000000001E-3</v>
      </c>
      <c r="H2" s="1">
        <v>1.8600000000000001E-3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</row>
    <row r="3" spans="1:26" x14ac:dyDescent="0.2">
      <c r="A3">
        <v>4</v>
      </c>
      <c r="B3" s="1">
        <v>0</v>
      </c>
      <c r="C3" s="1">
        <v>0</v>
      </c>
      <c r="D3" s="1">
        <v>0</v>
      </c>
      <c r="E3" s="1">
        <v>0</v>
      </c>
      <c r="F3" s="1">
        <v>0.64522000000000002</v>
      </c>
      <c r="G3" s="1">
        <v>0.97855000000000003</v>
      </c>
      <c r="H3" s="1">
        <v>0.97802999999999995</v>
      </c>
      <c r="I3" s="1">
        <v>0.97514000000000001</v>
      </c>
      <c r="J3" s="1">
        <v>1.9810000000000001E-2</v>
      </c>
      <c r="K3" s="1">
        <v>0</v>
      </c>
      <c r="L3" s="1">
        <v>1.107E-2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S3" s="1">
        <v>3.857E-2</v>
      </c>
      <c r="T3" s="1">
        <v>2.9600000000000001E-2</v>
      </c>
      <c r="U3" s="1">
        <v>4.2340000000000003E-2</v>
      </c>
      <c r="V3" s="1">
        <v>4.3099999999999999E-2</v>
      </c>
      <c r="W3" s="1">
        <v>0</v>
      </c>
      <c r="X3" s="1">
        <v>0</v>
      </c>
      <c r="Y3" s="1">
        <v>0</v>
      </c>
      <c r="Z3" s="1">
        <v>0</v>
      </c>
    </row>
    <row r="4" spans="1:26" x14ac:dyDescent="0.2">
      <c r="A4" s="1">
        <v>5</v>
      </c>
      <c r="B4" s="1">
        <v>0</v>
      </c>
      <c r="C4" s="1">
        <v>0</v>
      </c>
      <c r="D4" s="1">
        <v>0</v>
      </c>
      <c r="E4" s="1">
        <v>0.15532000000000001</v>
      </c>
      <c r="F4" s="1">
        <v>0.22620000000000001</v>
      </c>
      <c r="G4" s="1">
        <v>1.7909999999999999E-2</v>
      </c>
      <c r="H4" s="1">
        <v>2.0109999999999999E-2</v>
      </c>
      <c r="I4" s="1">
        <v>2.3529999999999999E-2</v>
      </c>
      <c r="J4" s="1">
        <v>0.22023999999999999</v>
      </c>
      <c r="K4" s="1">
        <v>1.289E-2</v>
      </c>
      <c r="L4" s="1">
        <v>0.13317000000000001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S4" s="1">
        <v>0.27422000000000002</v>
      </c>
      <c r="T4" s="1">
        <v>0.35060999999999998</v>
      </c>
      <c r="U4" s="1">
        <v>0.36549999999999999</v>
      </c>
      <c r="V4" s="1">
        <v>0.38695000000000002</v>
      </c>
      <c r="W4" s="1">
        <v>0</v>
      </c>
      <c r="X4" s="1">
        <v>0</v>
      </c>
      <c r="Y4" s="1">
        <v>0</v>
      </c>
      <c r="Z4" s="1">
        <v>0</v>
      </c>
    </row>
    <row r="5" spans="1:26" x14ac:dyDescent="0.2">
      <c r="A5" s="1">
        <v>6</v>
      </c>
      <c r="B5" s="1">
        <v>9.2200000000000008E-3</v>
      </c>
      <c r="C5" s="1">
        <v>1.9000000000000001E-4</v>
      </c>
      <c r="D5" s="1">
        <v>3.2299999999999998E-3</v>
      </c>
      <c r="E5" s="1">
        <v>0.11413</v>
      </c>
      <c r="F5" s="1">
        <v>6.45E-3</v>
      </c>
      <c r="G5" s="1">
        <v>2.0000000000000002E-5</v>
      </c>
      <c r="H5" s="1">
        <v>0</v>
      </c>
      <c r="I5" s="1">
        <v>1.33E-3</v>
      </c>
      <c r="J5" s="1">
        <v>0.6976</v>
      </c>
      <c r="K5" s="1">
        <v>0.18542</v>
      </c>
      <c r="L5" s="1">
        <v>0.49062</v>
      </c>
      <c r="M5" s="1">
        <v>2.0240000000000001E-2</v>
      </c>
      <c r="N5" s="1">
        <v>0</v>
      </c>
      <c r="O5" s="1">
        <v>0</v>
      </c>
      <c r="P5" s="1">
        <v>0</v>
      </c>
      <c r="Q5" s="1">
        <v>0</v>
      </c>
      <c r="S5" s="1">
        <v>0.63758999999999999</v>
      </c>
      <c r="T5" s="1">
        <v>0.57972999999999997</v>
      </c>
      <c r="U5" s="1">
        <v>0.53761000000000003</v>
      </c>
      <c r="V5" s="1">
        <v>0.54361999999999999</v>
      </c>
      <c r="W5" s="1">
        <v>0</v>
      </c>
      <c r="X5" s="1">
        <v>0</v>
      </c>
      <c r="Y5" s="1">
        <v>0</v>
      </c>
      <c r="Z5" s="1">
        <v>0</v>
      </c>
    </row>
    <row r="6" spans="1:26" x14ac:dyDescent="0.2">
      <c r="A6" s="1">
        <v>7</v>
      </c>
      <c r="B6" s="1">
        <v>0.28792000000000001</v>
      </c>
      <c r="C6" s="1">
        <v>0.40998000000000001</v>
      </c>
      <c r="D6" s="1">
        <v>0.47417999999999999</v>
      </c>
      <c r="E6" s="1">
        <v>0.17119000000000001</v>
      </c>
      <c r="F6" s="1">
        <v>2.0000000000000002E-5</v>
      </c>
      <c r="G6" s="1">
        <v>0</v>
      </c>
      <c r="H6" s="1">
        <v>0</v>
      </c>
      <c r="I6" s="1">
        <v>0</v>
      </c>
      <c r="J6" s="1">
        <v>6.2309999999999997E-2</v>
      </c>
      <c r="K6" s="1">
        <v>0.78788000000000002</v>
      </c>
      <c r="L6" s="1">
        <v>0.36085</v>
      </c>
      <c r="M6" s="1">
        <v>0.27607999999999999</v>
      </c>
      <c r="N6" s="1">
        <v>0</v>
      </c>
      <c r="O6" s="1">
        <v>0</v>
      </c>
      <c r="P6" s="1">
        <v>0</v>
      </c>
      <c r="Q6" s="1">
        <v>0</v>
      </c>
      <c r="S6" s="1">
        <v>4.8590000000000001E-2</v>
      </c>
      <c r="T6" s="1">
        <v>3.4669999999999999E-2</v>
      </c>
      <c r="U6" s="1">
        <v>5.4510000000000003E-2</v>
      </c>
      <c r="V6" s="1">
        <v>2.632E-2</v>
      </c>
      <c r="W6" s="1">
        <v>0</v>
      </c>
      <c r="X6" s="1">
        <v>0</v>
      </c>
      <c r="Y6" s="1">
        <v>0</v>
      </c>
      <c r="Z6" s="1">
        <v>0</v>
      </c>
    </row>
    <row r="7" spans="1:26" x14ac:dyDescent="0.2">
      <c r="A7" s="1">
        <v>8</v>
      </c>
      <c r="B7" s="1">
        <v>0.40476000000000001</v>
      </c>
      <c r="C7" s="1">
        <v>0.33056999999999997</v>
      </c>
      <c r="D7" s="1">
        <v>0.38249</v>
      </c>
      <c r="E7" s="1">
        <v>0.24124000000000001</v>
      </c>
      <c r="F7" s="1">
        <v>0</v>
      </c>
      <c r="G7" s="1">
        <v>0</v>
      </c>
      <c r="H7" s="1">
        <v>0</v>
      </c>
      <c r="I7" s="1">
        <v>0</v>
      </c>
      <c r="J7" s="1">
        <v>4.0000000000000003E-5</v>
      </c>
      <c r="K7" s="1">
        <v>1.34E-2</v>
      </c>
      <c r="L7" s="1">
        <v>4.2399999999999998E-3</v>
      </c>
      <c r="M7" s="1">
        <v>0.69769999999999999</v>
      </c>
      <c r="N7" s="1">
        <v>0</v>
      </c>
      <c r="O7" s="1">
        <v>0</v>
      </c>
      <c r="P7" s="1">
        <v>0</v>
      </c>
      <c r="Q7" s="1">
        <v>0</v>
      </c>
      <c r="S7" s="1">
        <v>1.0300000000000001E-3</v>
      </c>
      <c r="T7" s="1">
        <v>4.0499999999999998E-3</v>
      </c>
      <c r="U7" s="1">
        <v>4.0000000000000003E-5</v>
      </c>
      <c r="V7" s="1">
        <v>1.0000000000000001E-5</v>
      </c>
      <c r="W7" s="1">
        <v>0</v>
      </c>
      <c r="X7" s="1">
        <v>0</v>
      </c>
      <c r="Y7" s="1">
        <v>0</v>
      </c>
      <c r="Z7" s="1">
        <v>0</v>
      </c>
    </row>
    <row r="8" spans="1:26" x14ac:dyDescent="0.2">
      <c r="A8" s="1">
        <v>9</v>
      </c>
      <c r="B8" s="1">
        <v>0.22141</v>
      </c>
      <c r="C8" s="1">
        <v>0.20118</v>
      </c>
      <c r="D8" s="1">
        <v>0.11953</v>
      </c>
      <c r="E8" s="1">
        <v>0.18295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4.0999999999999999E-4</v>
      </c>
      <c r="L8" s="1">
        <v>5.0000000000000002E-5</v>
      </c>
      <c r="M8" s="1">
        <v>5.8100000000000001E-3</v>
      </c>
      <c r="N8" s="1">
        <v>0</v>
      </c>
      <c r="O8" s="1">
        <v>0</v>
      </c>
      <c r="P8" s="1">
        <v>0</v>
      </c>
      <c r="Q8" s="1">
        <v>0</v>
      </c>
      <c r="S8" s="1">
        <v>0</v>
      </c>
      <c r="T8" s="1">
        <v>1.34E-3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</row>
    <row r="9" spans="1:26" x14ac:dyDescent="0.2">
      <c r="A9" s="1">
        <v>10</v>
      </c>
      <c r="B9" s="1">
        <v>6.3820000000000002E-2</v>
      </c>
      <c r="C9" s="1">
        <v>4.7759999999999997E-2</v>
      </c>
      <c r="D9" s="1">
        <v>2.0449999999999999E-2</v>
      </c>
      <c r="E9" s="1">
        <v>8.4159999999999999E-2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1.7000000000000001E-4</v>
      </c>
      <c r="N9" s="1">
        <v>0</v>
      </c>
      <c r="O9" s="1">
        <v>0</v>
      </c>
      <c r="P9" s="1">
        <v>0</v>
      </c>
      <c r="Q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</row>
    <row r="10" spans="1:26" x14ac:dyDescent="0.2">
      <c r="A10" s="1">
        <v>11</v>
      </c>
      <c r="B10" s="1">
        <v>1.031E-2</v>
      </c>
      <c r="C10" s="1">
        <v>1.022E-2</v>
      </c>
      <c r="D10" s="1">
        <v>1.2E-4</v>
      </c>
      <c r="E10" s="1">
        <v>4.3560000000000001E-2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</row>
    <row r="11" spans="1:26" x14ac:dyDescent="0.2">
      <c r="A11" s="1">
        <v>12</v>
      </c>
      <c r="B11" s="1">
        <v>2.3999999999999998E-3</v>
      </c>
      <c r="C11" s="1">
        <v>1E-4</v>
      </c>
      <c r="D11" s="1">
        <v>0</v>
      </c>
      <c r="E11" s="1">
        <v>7.4400000000000004E-3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</row>
    <row r="12" spans="1:26" x14ac:dyDescent="0.2">
      <c r="A12" s="1">
        <v>13</v>
      </c>
      <c r="B12" s="1">
        <v>1.6000000000000001E-4</v>
      </c>
      <c r="C12" s="1">
        <v>0</v>
      </c>
      <c r="D12" s="1">
        <v>0</v>
      </c>
      <c r="E12" s="1">
        <v>1.0000000000000001E-5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0.98617999999999995</v>
      </c>
      <c r="O12" s="1">
        <v>0.97445000000000004</v>
      </c>
      <c r="P12" s="1">
        <v>0.97089999999999999</v>
      </c>
      <c r="Q12" s="1">
        <v>0.96472000000000002</v>
      </c>
      <c r="S12" s="1">
        <v>0</v>
      </c>
      <c r="T12" s="1">
        <v>0</v>
      </c>
      <c r="U12" s="1">
        <v>0</v>
      </c>
      <c r="V12" s="1">
        <v>0</v>
      </c>
      <c r="W12" s="1">
        <v>0.97911999999999999</v>
      </c>
      <c r="X12" s="1">
        <v>0.96216999999999997</v>
      </c>
      <c r="Y12" s="1">
        <v>0.97462000000000004</v>
      </c>
      <c r="Z12" s="1">
        <v>0.95792999999999995</v>
      </c>
    </row>
    <row r="13" spans="1:26" x14ac:dyDescent="0.2">
      <c r="A13" s="1">
        <v>14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1.3820000000000001E-2</v>
      </c>
      <c r="O13" s="1">
        <v>2.555E-2</v>
      </c>
      <c r="P13" s="1">
        <v>2.9100000000000001E-2</v>
      </c>
      <c r="Q13" s="1">
        <v>3.5279999999999999E-2</v>
      </c>
      <c r="S13" s="1">
        <v>0</v>
      </c>
      <c r="T13" s="1">
        <v>0</v>
      </c>
      <c r="U13" s="1">
        <v>0</v>
      </c>
      <c r="V13" s="1">
        <v>0</v>
      </c>
      <c r="W13" s="1">
        <v>2.0879999999999999E-2</v>
      </c>
      <c r="X13" s="1">
        <v>3.7830000000000003E-2</v>
      </c>
      <c r="Y13" s="1">
        <v>2.538E-2</v>
      </c>
      <c r="Z13" s="1">
        <v>4.2070000000000003E-2</v>
      </c>
    </row>
  </sheetData>
  <conditionalFormatting sqref="B2:Q1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:Z1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FA553-8A50-5A42-975C-C9D61F974CA6}">
  <dimension ref="A1:Z16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16" sqref="A16:XFD16"/>
    </sheetView>
  </sheetViews>
  <sheetFormatPr baseColWidth="10" defaultRowHeight="16" x14ac:dyDescent="0.2"/>
  <cols>
    <col min="1" max="1" width="30" customWidth="1"/>
    <col min="2" max="2" width="19.1640625" customWidth="1"/>
  </cols>
  <sheetData>
    <row r="1" spans="1:26" x14ac:dyDescent="0.2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14</v>
      </c>
      <c r="H1" t="s">
        <v>15</v>
      </c>
      <c r="I1" t="s">
        <v>16</v>
      </c>
      <c r="J1" t="s">
        <v>3</v>
      </c>
      <c r="K1" t="s">
        <v>8</v>
      </c>
      <c r="L1" t="s">
        <v>9</v>
      </c>
      <c r="M1" t="s">
        <v>10</v>
      </c>
      <c r="N1" t="s">
        <v>4</v>
      </c>
      <c r="O1" t="s">
        <v>11</v>
      </c>
      <c r="P1" t="s">
        <v>12</v>
      </c>
      <c r="Q1" t="s">
        <v>13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">
      <c r="A2">
        <v>3</v>
      </c>
      <c r="B2">
        <v>0</v>
      </c>
      <c r="C2">
        <v>1</v>
      </c>
      <c r="D2">
        <v>0</v>
      </c>
      <c r="E2">
        <f>0/100001</f>
        <v>0</v>
      </c>
      <c r="F2">
        <f>1948/100001</f>
        <v>1.9479805201947982E-2</v>
      </c>
      <c r="G2" s="1">
        <v>1</v>
      </c>
      <c r="H2">
        <f>39562/100001</f>
        <v>0.39561604383956162</v>
      </c>
      <c r="I2" s="1">
        <f>45950/100001</f>
        <v>0.45949540504594955</v>
      </c>
      <c r="J2" s="1">
        <v>1</v>
      </c>
      <c r="K2">
        <f>0/100001</f>
        <v>0</v>
      </c>
      <c r="L2">
        <f>0/100001</f>
        <v>0</v>
      </c>
      <c r="M2">
        <v>1</v>
      </c>
      <c r="N2">
        <f t="shared" ref="N2:Q6" si="0">0/100001</f>
        <v>0</v>
      </c>
      <c r="O2">
        <f t="shared" si="0"/>
        <v>0</v>
      </c>
      <c r="P2">
        <f t="shared" si="0"/>
        <v>0</v>
      </c>
      <c r="Q2">
        <f t="shared" si="0"/>
        <v>0</v>
      </c>
      <c r="S2" s="1">
        <f t="shared" ref="S2:Z3" si="1">0/100001</f>
        <v>0</v>
      </c>
      <c r="T2" s="1">
        <f t="shared" si="1"/>
        <v>0</v>
      </c>
      <c r="U2" s="1">
        <f t="shared" si="1"/>
        <v>0</v>
      </c>
      <c r="V2" s="1">
        <f t="shared" si="1"/>
        <v>0</v>
      </c>
      <c r="W2" s="1">
        <f t="shared" si="1"/>
        <v>0</v>
      </c>
      <c r="X2" s="1">
        <f t="shared" si="1"/>
        <v>0</v>
      </c>
      <c r="Y2" s="1">
        <f t="shared" si="1"/>
        <v>0</v>
      </c>
      <c r="Z2" s="1">
        <f t="shared" si="1"/>
        <v>0</v>
      </c>
    </row>
    <row r="3" spans="1:26" x14ac:dyDescent="0.2">
      <c r="A3">
        <v>4</v>
      </c>
      <c r="B3" s="1">
        <f>94/100001</f>
        <v>9.3999060009399905E-4</v>
      </c>
      <c r="C3">
        <v>0</v>
      </c>
      <c r="D3">
        <v>0</v>
      </c>
      <c r="E3" s="1">
        <f>46/100001</f>
        <v>4.5999540004599952E-4</v>
      </c>
      <c r="F3" s="1">
        <f>54890/100001</f>
        <v>0.5488945110548894</v>
      </c>
      <c r="G3">
        <f t="shared" ref="G3:G12" si="2">0/100001</f>
        <v>0</v>
      </c>
      <c r="H3" s="1">
        <f>28800/100001</f>
        <v>0.28799712002879974</v>
      </c>
      <c r="I3" s="1">
        <f>25270/100001</f>
        <v>0.25269747302526974</v>
      </c>
      <c r="J3">
        <f t="shared" ref="J3:J12" si="3">0/100001</f>
        <v>0</v>
      </c>
      <c r="K3" s="1">
        <f>50598/100001</f>
        <v>0.50597494025059753</v>
      </c>
      <c r="L3" s="1">
        <f>29656/100001</f>
        <v>0.2965570344296557</v>
      </c>
      <c r="M3">
        <f t="shared" ref="M3:M12" si="4">0/100001</f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S3" s="1">
        <f t="shared" si="1"/>
        <v>0</v>
      </c>
      <c r="T3" s="1">
        <f t="shared" si="1"/>
        <v>0</v>
      </c>
      <c r="U3" s="1">
        <f t="shared" si="1"/>
        <v>0</v>
      </c>
      <c r="V3" s="1">
        <f t="shared" si="1"/>
        <v>0</v>
      </c>
      <c r="W3" s="1">
        <f t="shared" si="1"/>
        <v>0</v>
      </c>
      <c r="X3" s="1">
        <f t="shared" si="1"/>
        <v>0</v>
      </c>
      <c r="Y3" s="1">
        <f t="shared" si="1"/>
        <v>0</v>
      </c>
      <c r="Z3" s="1">
        <f t="shared" si="1"/>
        <v>0</v>
      </c>
    </row>
    <row r="4" spans="1:26" x14ac:dyDescent="0.2">
      <c r="A4" s="1">
        <v>5</v>
      </c>
      <c r="B4" s="1">
        <f>10433/100001</f>
        <v>0.10432895671043289</v>
      </c>
      <c r="C4">
        <v>0</v>
      </c>
      <c r="D4">
        <v>0</v>
      </c>
      <c r="E4" s="1">
        <f>338/100001</f>
        <v>3.3799662003379965E-3</v>
      </c>
      <c r="F4" s="1">
        <f>37141/100001</f>
        <v>0.37140628593714065</v>
      </c>
      <c r="G4">
        <f t="shared" si="2"/>
        <v>0</v>
      </c>
      <c r="H4" s="1">
        <f>15956/100001</f>
        <v>0.15955840441595584</v>
      </c>
      <c r="I4" s="1">
        <f>13433/100001</f>
        <v>0.13432865671343286</v>
      </c>
      <c r="J4">
        <f t="shared" si="3"/>
        <v>0</v>
      </c>
      <c r="K4" s="1">
        <f>43341/100001</f>
        <v>0.43340566594334057</v>
      </c>
      <c r="L4" s="1">
        <f>28900/100001</f>
        <v>0.28899711002889972</v>
      </c>
      <c r="M4">
        <f t="shared" si="4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S4" s="1">
        <f>36250/100001</f>
        <v>0.36249637503624965</v>
      </c>
      <c r="T4" s="1">
        <f>10924/100001</f>
        <v>0.10923890761092389</v>
      </c>
      <c r="U4" s="1">
        <f>17915/100001</f>
        <v>0.17914820851791483</v>
      </c>
      <c r="V4" s="1">
        <f>25610/100001</f>
        <v>0.25609743902560972</v>
      </c>
      <c r="W4" s="1">
        <f t="shared" ref="W4:Z6" si="5">0/100001</f>
        <v>0</v>
      </c>
      <c r="X4" s="1">
        <f t="shared" si="5"/>
        <v>0</v>
      </c>
      <c r="Y4" s="1">
        <f t="shared" si="5"/>
        <v>0</v>
      </c>
      <c r="Z4" s="1">
        <f t="shared" si="5"/>
        <v>0</v>
      </c>
    </row>
    <row r="5" spans="1:26" x14ac:dyDescent="0.2">
      <c r="A5" s="1">
        <v>6</v>
      </c>
      <c r="B5" s="1">
        <f>26414/100001</f>
        <v>0.26413735862641374</v>
      </c>
      <c r="C5">
        <v>0</v>
      </c>
      <c r="D5" s="1">
        <f>16587/100001</f>
        <v>0.16586834131658684</v>
      </c>
      <c r="E5" s="1">
        <f>21068/100001</f>
        <v>0.21067789322106778</v>
      </c>
      <c r="F5" s="1">
        <f>1574/100001</f>
        <v>1.5739842601573985E-2</v>
      </c>
      <c r="G5">
        <f t="shared" si="2"/>
        <v>0</v>
      </c>
      <c r="H5" s="1">
        <f>8107/100001</f>
        <v>8.1069189308106915E-2</v>
      </c>
      <c r="I5" s="1">
        <f>8282/100001</f>
        <v>8.2819171808281911E-2</v>
      </c>
      <c r="J5">
        <f t="shared" si="3"/>
        <v>0</v>
      </c>
      <c r="K5" s="1">
        <f>6062/100001</f>
        <v>6.061939380606194E-2</v>
      </c>
      <c r="L5" s="1">
        <f>21666/100001</f>
        <v>0.21665783342166578</v>
      </c>
      <c r="M5">
        <f t="shared" si="4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S5" s="1">
        <f>51202/100001</f>
        <v>0.51201487985120153</v>
      </c>
      <c r="T5" s="1">
        <f>25092/100001</f>
        <v>0.25091749082509174</v>
      </c>
      <c r="U5" s="1">
        <f>30826/100001</f>
        <v>0.30825691743082567</v>
      </c>
      <c r="V5" s="1">
        <f>30142/100001</f>
        <v>0.3014169858301417</v>
      </c>
      <c r="W5" s="1">
        <f t="shared" si="5"/>
        <v>0</v>
      </c>
      <c r="X5" s="1">
        <f t="shared" si="5"/>
        <v>0</v>
      </c>
      <c r="Y5" s="1">
        <f t="shared" si="5"/>
        <v>0</v>
      </c>
      <c r="Z5" s="1">
        <f t="shared" si="5"/>
        <v>0</v>
      </c>
    </row>
    <row r="6" spans="1:26" x14ac:dyDescent="0.2">
      <c r="A6" s="1">
        <v>7</v>
      </c>
      <c r="B6" s="1">
        <f>23689/100001</f>
        <v>0.23688763112368877</v>
      </c>
      <c r="C6">
        <v>0</v>
      </c>
      <c r="D6" s="1">
        <f>22033/100001</f>
        <v>0.22032779672203279</v>
      </c>
      <c r="E6" s="1">
        <f>32337/100001</f>
        <v>0.32336676633233669</v>
      </c>
      <c r="F6" s="1">
        <f>1999/100001</f>
        <v>1.9989800101998981E-2</v>
      </c>
      <c r="G6">
        <f t="shared" si="2"/>
        <v>0</v>
      </c>
      <c r="H6" s="1">
        <f>7576/100001</f>
        <v>7.5759242407575922E-2</v>
      </c>
      <c r="I6" s="1">
        <f>7066/100001</f>
        <v>7.0659293407065935E-2</v>
      </c>
      <c r="J6">
        <f t="shared" si="3"/>
        <v>0</v>
      </c>
      <c r="K6">
        <f t="shared" ref="K6:K12" si="6">0/100001</f>
        <v>0</v>
      </c>
      <c r="L6" s="1">
        <f>13207/100001</f>
        <v>0.13206867931320687</v>
      </c>
      <c r="M6">
        <f t="shared" si="4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S6" s="1">
        <f>12549/100001</f>
        <v>0.12548874511254887</v>
      </c>
      <c r="T6" s="1">
        <f>26699/100001</f>
        <v>0.26698733012669873</v>
      </c>
      <c r="U6" s="1">
        <f>25412/100001</f>
        <v>0.25411745882541176</v>
      </c>
      <c r="V6" s="1">
        <f>23258/100001</f>
        <v>0.23257767422325776</v>
      </c>
      <c r="W6" s="1">
        <f t="shared" si="5"/>
        <v>0</v>
      </c>
      <c r="X6" s="1">
        <f t="shared" si="5"/>
        <v>0</v>
      </c>
      <c r="Y6" s="1">
        <f t="shared" si="5"/>
        <v>0</v>
      </c>
      <c r="Z6" s="1">
        <f t="shared" si="5"/>
        <v>0</v>
      </c>
    </row>
    <row r="7" spans="1:26" x14ac:dyDescent="0.2">
      <c r="A7" s="1">
        <v>8</v>
      </c>
      <c r="B7" s="1">
        <f>19577/100001</f>
        <v>0.19576804231957681</v>
      </c>
      <c r="C7">
        <v>0</v>
      </c>
      <c r="D7" s="1">
        <f>19007/100001</f>
        <v>0.19006809931900681</v>
      </c>
      <c r="E7" s="1">
        <f>24319/100001</f>
        <v>0.24318756812431877</v>
      </c>
      <c r="F7" s="1">
        <f>1293/100001</f>
        <v>1.2929870701292987E-2</v>
      </c>
      <c r="G7">
        <f t="shared" si="2"/>
        <v>0</v>
      </c>
      <c r="H7">
        <f t="shared" ref="H7:I12" si="7">0/100001</f>
        <v>0</v>
      </c>
      <c r="I7">
        <f t="shared" si="7"/>
        <v>0</v>
      </c>
      <c r="J7">
        <f t="shared" si="3"/>
        <v>0</v>
      </c>
      <c r="K7">
        <f t="shared" si="6"/>
        <v>0</v>
      </c>
      <c r="L7" s="1">
        <f>6572/100001</f>
        <v>6.5719342806571934E-2</v>
      </c>
      <c r="M7">
        <f t="shared" si="4"/>
        <v>0</v>
      </c>
      <c r="N7">
        <f>961/100001</f>
        <v>9.6099039009609911E-3</v>
      </c>
      <c r="O7">
        <f>0/100001</f>
        <v>0</v>
      </c>
      <c r="P7" s="1">
        <f>5/100001</f>
        <v>4.9999500004999949E-5</v>
      </c>
      <c r="Q7">
        <f>0/100001</f>
        <v>0</v>
      </c>
      <c r="S7" s="1">
        <f t="shared" ref="S7:S13" si="8">0/100001</f>
        <v>0</v>
      </c>
      <c r="T7" s="1">
        <f>20006/100001</f>
        <v>0.20005799942000579</v>
      </c>
      <c r="U7" s="1">
        <f>15165/100001</f>
        <v>0.15164848351516486</v>
      </c>
      <c r="V7" s="1">
        <f>13703/100001</f>
        <v>0.13702862971370286</v>
      </c>
      <c r="W7" s="1">
        <f>100001/100001</f>
        <v>1</v>
      </c>
      <c r="X7" s="1">
        <f>0/100001</f>
        <v>0</v>
      </c>
      <c r="Y7" s="1">
        <f>100001/100001</f>
        <v>1</v>
      </c>
      <c r="Z7" s="1">
        <f>41235/100001</f>
        <v>0.41234587654123461</v>
      </c>
    </row>
    <row r="8" spans="1:26" x14ac:dyDescent="0.2">
      <c r="A8" s="1">
        <v>9</v>
      </c>
      <c r="B8" s="1">
        <f>11844/100001</f>
        <v>0.11843881561184388</v>
      </c>
      <c r="C8">
        <v>0</v>
      </c>
      <c r="D8" s="1">
        <f>19522/100001</f>
        <v>0.19521804781952182</v>
      </c>
      <c r="E8" s="1">
        <f>13666/100001</f>
        <v>0.13665863341366585</v>
      </c>
      <c r="F8" s="1">
        <f>552/100001</f>
        <v>5.5199448005519942E-3</v>
      </c>
      <c r="G8">
        <f t="shared" si="2"/>
        <v>0</v>
      </c>
      <c r="H8">
        <f t="shared" si="7"/>
        <v>0</v>
      </c>
      <c r="I8">
        <f t="shared" si="7"/>
        <v>0</v>
      </c>
      <c r="J8">
        <f t="shared" si="3"/>
        <v>0</v>
      </c>
      <c r="K8">
        <f t="shared" si="6"/>
        <v>0</v>
      </c>
      <c r="L8" s="1">
        <f>0/100001</f>
        <v>0</v>
      </c>
      <c r="M8">
        <f t="shared" si="4"/>
        <v>0</v>
      </c>
      <c r="N8" s="1">
        <f>68957/100001</f>
        <v>0.68956310436895629</v>
      </c>
      <c r="O8" s="1">
        <f>57040/100001</f>
        <v>0.5703942960570394</v>
      </c>
      <c r="P8" s="1">
        <f>47994/100001</f>
        <v>0.4799352006479935</v>
      </c>
      <c r="Q8" s="1">
        <f>8287/100001</f>
        <v>8.2869171308286915E-2</v>
      </c>
      <c r="S8" s="1">
        <f t="shared" si="8"/>
        <v>0</v>
      </c>
      <c r="T8" s="1">
        <f>11903/100001</f>
        <v>0.11902880971190288</v>
      </c>
      <c r="U8" s="1">
        <f>7777/100001</f>
        <v>7.7769222307776928E-2</v>
      </c>
      <c r="V8" s="1">
        <f>7288/100001</f>
        <v>7.2879271207287932E-2</v>
      </c>
      <c r="W8" s="1">
        <f t="shared" ref="W8:W13" si="9">0/100001</f>
        <v>0</v>
      </c>
      <c r="X8" s="1">
        <f>25378/100001</f>
        <v>0.25377746222537773</v>
      </c>
      <c r="Y8" s="1">
        <f t="shared" ref="Y8:Y13" si="10">0/100001</f>
        <v>0</v>
      </c>
      <c r="Z8" s="1">
        <f>58766/100001</f>
        <v>0.58765412345876544</v>
      </c>
    </row>
    <row r="9" spans="1:26" x14ac:dyDescent="0.2">
      <c r="A9" s="1">
        <v>10</v>
      </c>
      <c r="B9" s="1">
        <f>5553/100001</f>
        <v>5.5529444705552947E-2</v>
      </c>
      <c r="C9">
        <v>0</v>
      </c>
      <c r="D9" s="1">
        <f>14248/100001</f>
        <v>0.14247857521424787</v>
      </c>
      <c r="E9" s="1">
        <f>5892/100001</f>
        <v>5.8919410805891942E-2</v>
      </c>
      <c r="F9">
        <f>0/100001</f>
        <v>0</v>
      </c>
      <c r="G9">
        <f t="shared" si="2"/>
        <v>0</v>
      </c>
      <c r="H9">
        <f t="shared" si="7"/>
        <v>0</v>
      </c>
      <c r="I9">
        <f t="shared" si="7"/>
        <v>0</v>
      </c>
      <c r="J9">
        <f t="shared" si="3"/>
        <v>0</v>
      </c>
      <c r="K9">
        <f t="shared" si="6"/>
        <v>0</v>
      </c>
      <c r="L9">
        <f>0/100001</f>
        <v>0</v>
      </c>
      <c r="M9">
        <f t="shared" si="4"/>
        <v>0</v>
      </c>
      <c r="N9" s="1">
        <f>281/100001</f>
        <v>2.8099719002809974E-3</v>
      </c>
      <c r="O9" s="1">
        <f>1269/100001</f>
        <v>1.2689873101268987E-2</v>
      </c>
      <c r="P9">
        <f>52002/100001</f>
        <v>0.5200147998520015</v>
      </c>
      <c r="Q9" s="1">
        <f>4217/100001</f>
        <v>4.2169578304216956E-2</v>
      </c>
      <c r="S9" s="1">
        <f t="shared" si="8"/>
        <v>0</v>
      </c>
      <c r="T9" s="1">
        <f>4699/100001</f>
        <v>4.6989530104698952E-2</v>
      </c>
      <c r="U9" s="1">
        <f>2658/100001</f>
        <v>2.6579734202657974E-2</v>
      </c>
      <c r="V9" s="1">
        <f>0/100001</f>
        <v>0</v>
      </c>
      <c r="W9" s="1">
        <f t="shared" si="9"/>
        <v>0</v>
      </c>
      <c r="X9" s="1">
        <f>12645/100001</f>
        <v>0.12644873551264488</v>
      </c>
      <c r="Y9" s="1">
        <f t="shared" si="10"/>
        <v>0</v>
      </c>
      <c r="Z9" s="1">
        <f>0/100001</f>
        <v>0</v>
      </c>
    </row>
    <row r="10" spans="1:26" x14ac:dyDescent="0.2">
      <c r="A10" s="1">
        <v>11</v>
      </c>
      <c r="B10" s="1">
        <f>1939/100001</f>
        <v>1.9389806101938981E-2</v>
      </c>
      <c r="C10">
        <v>0</v>
      </c>
      <c r="D10" s="1">
        <f>7151/100001</f>
        <v>7.150928490715093E-2</v>
      </c>
      <c r="E10" s="1">
        <f>1971/100001</f>
        <v>1.9709802901970979E-2</v>
      </c>
      <c r="F10">
        <f>0/100001</f>
        <v>0</v>
      </c>
      <c r="G10">
        <f t="shared" si="2"/>
        <v>0</v>
      </c>
      <c r="H10">
        <f t="shared" si="7"/>
        <v>0</v>
      </c>
      <c r="I10">
        <f t="shared" si="7"/>
        <v>0</v>
      </c>
      <c r="J10">
        <f t="shared" si="3"/>
        <v>0</v>
      </c>
      <c r="K10">
        <f t="shared" si="6"/>
        <v>0</v>
      </c>
      <c r="L10">
        <f>0/100001</f>
        <v>0</v>
      </c>
      <c r="M10">
        <f t="shared" si="4"/>
        <v>0</v>
      </c>
      <c r="N10" s="1">
        <f>29802/100001</f>
        <v>0.29801701982980172</v>
      </c>
      <c r="O10" s="1">
        <f>41692/100001</f>
        <v>0.41691583084169159</v>
      </c>
      <c r="P10">
        <f>0/100001</f>
        <v>0</v>
      </c>
      <c r="Q10" s="1">
        <f>48805/100001</f>
        <v>0.48804511954880453</v>
      </c>
      <c r="S10" s="1">
        <f t="shared" si="8"/>
        <v>0</v>
      </c>
      <c r="T10" s="1">
        <f>678/100001</f>
        <v>6.7799322006779931E-3</v>
      </c>
      <c r="U10" s="1">
        <f>248/100001</f>
        <v>2.4799752002479976E-3</v>
      </c>
      <c r="V10" s="1">
        <f>0/100001</f>
        <v>0</v>
      </c>
      <c r="W10" s="1">
        <f t="shared" si="9"/>
        <v>0</v>
      </c>
      <c r="X10" s="1">
        <f>39197/100001</f>
        <v>0.39196608033919661</v>
      </c>
      <c r="Y10" s="1">
        <f t="shared" si="10"/>
        <v>0</v>
      </c>
      <c r="Z10" s="1">
        <f>0/100001</f>
        <v>0</v>
      </c>
    </row>
    <row r="11" spans="1:26" x14ac:dyDescent="0.2">
      <c r="A11" s="1">
        <v>12</v>
      </c>
      <c r="B11" s="1">
        <f>458/100001</f>
        <v>4.5799542004579955E-3</v>
      </c>
      <c r="C11">
        <v>0</v>
      </c>
      <c r="D11" s="1">
        <f>1453/100001</f>
        <v>1.4529854701452986E-2</v>
      </c>
      <c r="E11" s="1">
        <f>364/100001</f>
        <v>3.6399636003639963E-3</v>
      </c>
      <c r="F11">
        <f>0/100001</f>
        <v>0</v>
      </c>
      <c r="G11">
        <f t="shared" si="2"/>
        <v>0</v>
      </c>
      <c r="H11">
        <f t="shared" si="7"/>
        <v>0</v>
      </c>
      <c r="I11">
        <f t="shared" si="7"/>
        <v>0</v>
      </c>
      <c r="J11">
        <f t="shared" si="3"/>
        <v>0</v>
      </c>
      <c r="K11">
        <f t="shared" si="6"/>
        <v>0</v>
      </c>
      <c r="L11">
        <f>0/100001</f>
        <v>0</v>
      </c>
      <c r="M11">
        <f t="shared" si="4"/>
        <v>0</v>
      </c>
      <c r="N11">
        <f>0/100001</f>
        <v>0</v>
      </c>
      <c r="O11">
        <f>0/100001</f>
        <v>0</v>
      </c>
      <c r="P11">
        <f>0/100001</f>
        <v>0</v>
      </c>
      <c r="Q11" s="1">
        <f>30100/100001</f>
        <v>0.30099699003009972</v>
      </c>
      <c r="S11" s="1">
        <f t="shared" si="8"/>
        <v>0</v>
      </c>
      <c r="T11" s="1">
        <f t="shared" ref="T11:U13" si="11">0/100001</f>
        <v>0</v>
      </c>
      <c r="U11" s="1">
        <f t="shared" si="11"/>
        <v>0</v>
      </c>
      <c r="V11" s="1">
        <f>0/100001</f>
        <v>0</v>
      </c>
      <c r="W11" s="1">
        <f t="shared" si="9"/>
        <v>0</v>
      </c>
      <c r="X11" s="1">
        <f>17420/100001</f>
        <v>0.17419825801741984</v>
      </c>
      <c r="Y11" s="1">
        <f t="shared" si="10"/>
        <v>0</v>
      </c>
      <c r="Z11" s="1">
        <f>0/100001</f>
        <v>0</v>
      </c>
    </row>
    <row r="12" spans="1:26" x14ac:dyDescent="0.2">
      <c r="A12" s="1">
        <v>13</v>
      </c>
      <c r="B12">
        <v>0</v>
      </c>
      <c r="C12">
        <v>0</v>
      </c>
      <c r="D12">
        <v>0</v>
      </c>
      <c r="E12">
        <f>0/100001</f>
        <v>0</v>
      </c>
      <c r="F12">
        <f>0/100001</f>
        <v>0</v>
      </c>
      <c r="G12">
        <f t="shared" si="2"/>
        <v>0</v>
      </c>
      <c r="H12">
        <f t="shared" si="7"/>
        <v>0</v>
      </c>
      <c r="I12">
        <f t="shared" si="7"/>
        <v>0</v>
      </c>
      <c r="J12">
        <f t="shared" si="3"/>
        <v>0</v>
      </c>
      <c r="K12">
        <f t="shared" si="6"/>
        <v>0</v>
      </c>
      <c r="L12">
        <f>0/100001</f>
        <v>0</v>
      </c>
      <c r="M12">
        <f t="shared" si="4"/>
        <v>0</v>
      </c>
      <c r="N12">
        <f>0/100001</f>
        <v>0</v>
      </c>
      <c r="O12">
        <f>0/100001</f>
        <v>0</v>
      </c>
      <c r="P12">
        <f>0/100001</f>
        <v>0</v>
      </c>
      <c r="Q12" s="1">
        <f>8592/100001</f>
        <v>8.5919140808591921E-2</v>
      </c>
      <c r="S12" s="1">
        <f t="shared" si="8"/>
        <v>0</v>
      </c>
      <c r="T12" s="1">
        <f t="shared" si="11"/>
        <v>0</v>
      </c>
      <c r="U12" s="1">
        <f t="shared" si="11"/>
        <v>0</v>
      </c>
      <c r="V12" s="1">
        <f>0/100001</f>
        <v>0</v>
      </c>
      <c r="W12" s="1">
        <f t="shared" si="9"/>
        <v>0</v>
      </c>
      <c r="X12" s="1">
        <f>5361/100001</f>
        <v>5.3609463905360949E-2</v>
      </c>
      <c r="Y12" s="1">
        <f t="shared" si="10"/>
        <v>0</v>
      </c>
      <c r="Z12" s="1">
        <f>0/100001</f>
        <v>0</v>
      </c>
    </row>
    <row r="13" spans="1:26" x14ac:dyDescent="0.2">
      <c r="A13" s="1">
        <v>14</v>
      </c>
      <c r="B13">
        <f t="shared" ref="B13:Q13" si="12">0/100001</f>
        <v>0</v>
      </c>
      <c r="C13">
        <f t="shared" si="12"/>
        <v>0</v>
      </c>
      <c r="D13">
        <f t="shared" si="12"/>
        <v>0</v>
      </c>
      <c r="E13">
        <f t="shared" si="12"/>
        <v>0</v>
      </c>
      <c r="F13">
        <f t="shared" si="12"/>
        <v>0</v>
      </c>
      <c r="G13">
        <f t="shared" si="12"/>
        <v>0</v>
      </c>
      <c r="H13">
        <f t="shared" si="12"/>
        <v>0</v>
      </c>
      <c r="I13">
        <f t="shared" si="12"/>
        <v>0</v>
      </c>
      <c r="J13">
        <f t="shared" si="12"/>
        <v>0</v>
      </c>
      <c r="K13">
        <f t="shared" si="12"/>
        <v>0</v>
      </c>
      <c r="L13">
        <f t="shared" si="12"/>
        <v>0</v>
      </c>
      <c r="M13">
        <f t="shared" si="12"/>
        <v>0</v>
      </c>
      <c r="N13">
        <f t="shared" si="12"/>
        <v>0</v>
      </c>
      <c r="O13">
        <f t="shared" si="12"/>
        <v>0</v>
      </c>
      <c r="P13">
        <f t="shared" si="12"/>
        <v>0</v>
      </c>
      <c r="Q13">
        <f t="shared" si="12"/>
        <v>0</v>
      </c>
      <c r="S13" s="1">
        <f t="shared" si="8"/>
        <v>0</v>
      </c>
      <c r="T13" s="1">
        <f t="shared" si="11"/>
        <v>0</v>
      </c>
      <c r="U13" s="1">
        <f t="shared" si="11"/>
        <v>0</v>
      </c>
      <c r="V13" s="1">
        <f>0/100001</f>
        <v>0</v>
      </c>
      <c r="W13" s="1">
        <f t="shared" si="9"/>
        <v>0</v>
      </c>
      <c r="X13" s="1">
        <f>0/100001</f>
        <v>0</v>
      </c>
      <c r="Y13" s="1">
        <f t="shared" si="10"/>
        <v>0</v>
      </c>
      <c r="Z13" s="1">
        <f>0/100001</f>
        <v>0</v>
      </c>
    </row>
    <row r="16" spans="1:26" x14ac:dyDescent="0.2">
      <c r="B16" s="1"/>
    </row>
  </sheetData>
  <conditionalFormatting sqref="B2:Q12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Q1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3:Q13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:Z12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:Z1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13:Z13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46878-AEAD-2142-BAA4-16D8AA7CA098}">
  <dimension ref="A1:V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U10" sqref="U10"/>
    </sheetView>
  </sheetViews>
  <sheetFormatPr baseColWidth="10" defaultRowHeight="16" x14ac:dyDescent="0.2"/>
  <cols>
    <col min="1" max="1" width="30" customWidth="1"/>
  </cols>
  <sheetData>
    <row r="1" spans="1:22" x14ac:dyDescent="0.2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14</v>
      </c>
      <c r="H1" t="s">
        <v>15</v>
      </c>
      <c r="I1" t="s">
        <v>16</v>
      </c>
      <c r="J1" t="s">
        <v>3</v>
      </c>
      <c r="K1" t="s">
        <v>8</v>
      </c>
      <c r="L1" t="s">
        <v>9</v>
      </c>
      <c r="M1" t="s">
        <v>10</v>
      </c>
      <c r="N1" t="s">
        <v>4</v>
      </c>
      <c r="O1" t="s">
        <v>11</v>
      </c>
      <c r="P1" s="2" t="s">
        <v>12</v>
      </c>
      <c r="Q1" t="s">
        <v>13</v>
      </c>
      <c r="S1" t="s">
        <v>21</v>
      </c>
      <c r="T1" t="s">
        <v>22</v>
      </c>
      <c r="U1" t="s">
        <v>23</v>
      </c>
      <c r="V1" t="s">
        <v>24</v>
      </c>
    </row>
    <row r="2" spans="1:22" x14ac:dyDescent="0.2">
      <c r="A2">
        <v>3</v>
      </c>
      <c r="B2">
        <f>0/100001</f>
        <v>0</v>
      </c>
      <c r="C2" s="1">
        <f>7732/100001</f>
        <v>7.7319226807731928E-2</v>
      </c>
      <c r="D2" s="1">
        <f>11955/100001</f>
        <v>0.11954880451195488</v>
      </c>
      <c r="E2" s="1">
        <f>8580/100001</f>
        <v>8.5799142008579909E-2</v>
      </c>
      <c r="F2" s="1">
        <f>53814/100001</f>
        <v>0.53813461865381351</v>
      </c>
      <c r="G2" s="1">
        <f>13184/100001</f>
        <v>0.13183868161318388</v>
      </c>
      <c r="H2" s="1">
        <f>14806/100001</f>
        <v>0.14805851941480586</v>
      </c>
      <c r="I2" s="1">
        <f>32303/100001</f>
        <v>0.32302676973230265</v>
      </c>
      <c r="J2" s="1">
        <f>100001/100001</f>
        <v>1</v>
      </c>
      <c r="K2">
        <f t="shared" ref="K2:Q2" si="0">0/100001</f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S2">
        <f t="shared" ref="S2:V5" si="1">0/100001</f>
        <v>0</v>
      </c>
      <c r="T2">
        <f t="shared" si="1"/>
        <v>0</v>
      </c>
      <c r="U2">
        <f t="shared" si="1"/>
        <v>0</v>
      </c>
      <c r="V2">
        <f t="shared" si="1"/>
        <v>0</v>
      </c>
    </row>
    <row r="3" spans="1:22" x14ac:dyDescent="0.2">
      <c r="A3">
        <v>4</v>
      </c>
      <c r="B3" s="1">
        <f>5/100001</f>
        <v>4.9999500004999949E-5</v>
      </c>
      <c r="C3" s="1">
        <f>33/100001</f>
        <v>3.2999670003299966E-4</v>
      </c>
      <c r="D3" s="1">
        <f>161/100001</f>
        <v>1.6099839001609984E-3</v>
      </c>
      <c r="E3" s="1">
        <f>517/100001</f>
        <v>5.1699483005169947E-3</v>
      </c>
      <c r="F3" s="1">
        <f>19802/100001</f>
        <v>0.1980180198198018</v>
      </c>
      <c r="G3" s="1">
        <f>12584/100001</f>
        <v>0.12583874161258388</v>
      </c>
      <c r="H3" s="1">
        <f>19970/100001</f>
        <v>0.19969800301996979</v>
      </c>
      <c r="I3" s="1">
        <f>24015/100001</f>
        <v>0.24014759852401477</v>
      </c>
      <c r="J3">
        <f t="shared" ref="J3:J13" si="2">0/100001</f>
        <v>0</v>
      </c>
      <c r="K3" s="1">
        <f>32787/100001</f>
        <v>0.32786672133278666</v>
      </c>
      <c r="L3" s="1">
        <f>100001/100001</f>
        <v>1</v>
      </c>
      <c r="M3" s="1">
        <f>28701/100001</f>
        <v>0.2870071299287007</v>
      </c>
      <c r="N3">
        <f t="shared" ref="N3:Q6" si="3">0/100001</f>
        <v>0</v>
      </c>
      <c r="O3">
        <f t="shared" si="3"/>
        <v>0</v>
      </c>
      <c r="P3">
        <f t="shared" si="3"/>
        <v>0</v>
      </c>
      <c r="Q3">
        <f t="shared" si="3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</row>
    <row r="4" spans="1:22" x14ac:dyDescent="0.2">
      <c r="A4" s="1">
        <v>5</v>
      </c>
      <c r="B4" s="1">
        <f>15/100001</f>
        <v>1.4999850001499985E-4</v>
      </c>
      <c r="C4" s="1">
        <f>77/100001</f>
        <v>7.6999230007699922E-4</v>
      </c>
      <c r="D4" s="1">
        <f>123/100001</f>
        <v>1.2299877001229987E-3</v>
      </c>
      <c r="E4" s="1">
        <f>96/100001</f>
        <v>9.5999040009599906E-4</v>
      </c>
      <c r="F4" s="1">
        <f>11314/100001</f>
        <v>0.11313886861131389</v>
      </c>
      <c r="G4" s="1">
        <f>13095/100001</f>
        <v>0.13094869051309488</v>
      </c>
      <c r="H4" s="1">
        <f>18038/100001</f>
        <v>0.18037819621803783</v>
      </c>
      <c r="I4" s="1">
        <f>15389/100001</f>
        <v>0.15388846111538884</v>
      </c>
      <c r="J4">
        <f t="shared" si="2"/>
        <v>0</v>
      </c>
      <c r="K4" s="1">
        <f>33934/100001</f>
        <v>0.33933660663393367</v>
      </c>
      <c r="L4">
        <f t="shared" ref="L4:L13" si="4">0/100001</f>
        <v>0</v>
      </c>
      <c r="M4" s="1">
        <f>33478/100001</f>
        <v>0.33477665223347769</v>
      </c>
      <c r="N4">
        <f t="shared" si="3"/>
        <v>0</v>
      </c>
      <c r="O4">
        <f t="shared" si="3"/>
        <v>0</v>
      </c>
      <c r="P4">
        <f t="shared" si="3"/>
        <v>0</v>
      </c>
      <c r="Q4">
        <f t="shared" si="3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</row>
    <row r="5" spans="1:22" x14ac:dyDescent="0.2">
      <c r="A5" s="1">
        <v>6</v>
      </c>
      <c r="B5" s="1">
        <f>32944/100001</f>
        <v>0.32943670563294369</v>
      </c>
      <c r="C5" s="1">
        <f>47358/100001</f>
        <v>0.47357526424735752</v>
      </c>
      <c r="D5" s="1">
        <f>45367/100001</f>
        <v>0.45366546334536656</v>
      </c>
      <c r="E5" s="1">
        <f>48120/100001</f>
        <v>0.4811951880481195</v>
      </c>
      <c r="F5" s="1">
        <f>15071/100001</f>
        <v>0.15070849291507085</v>
      </c>
      <c r="G5" s="1">
        <f>36070/100001</f>
        <v>0.36069639303606965</v>
      </c>
      <c r="H5" s="1">
        <f>14053/100001</f>
        <v>0.14052859471405285</v>
      </c>
      <c r="I5" s="1">
        <f>24419/100001</f>
        <v>0.24418755812441875</v>
      </c>
      <c r="J5">
        <f t="shared" si="2"/>
        <v>0</v>
      </c>
      <c r="K5" s="1">
        <f>21537/100001</f>
        <v>0.21536784632153677</v>
      </c>
      <c r="L5">
        <f t="shared" si="4"/>
        <v>0</v>
      </c>
      <c r="M5" s="1">
        <f>22949/100001</f>
        <v>0.22948770512294878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</row>
    <row r="6" spans="1:22" x14ac:dyDescent="0.2">
      <c r="A6" s="1">
        <v>7</v>
      </c>
      <c r="B6" s="1">
        <f>37779/100001</f>
        <v>0.37778622213777863</v>
      </c>
      <c r="C6" s="1">
        <f>30448/100001</f>
        <v>0.30447695523044771</v>
      </c>
      <c r="D6" s="1">
        <f>28263/100001</f>
        <v>0.28262717372826274</v>
      </c>
      <c r="E6" s="1">
        <f>29464/100001</f>
        <v>0.29463705362946369</v>
      </c>
      <c r="F6">
        <f t="shared" ref="F6:F13" si="5">0/100001</f>
        <v>0</v>
      </c>
      <c r="G6" s="1">
        <f>16893/100001</f>
        <v>0.16892831071689282</v>
      </c>
      <c r="H6" s="1">
        <f>32535/100001</f>
        <v>0.32534674653253465</v>
      </c>
      <c r="I6">
        <f t="shared" ref="I6:I13" si="6">0/100001</f>
        <v>0</v>
      </c>
      <c r="J6">
        <f t="shared" si="2"/>
        <v>0</v>
      </c>
      <c r="K6" s="1">
        <f>11743/100001</f>
        <v>0.11742882571174289</v>
      </c>
      <c r="L6">
        <f t="shared" si="4"/>
        <v>0</v>
      </c>
      <c r="M6" s="1">
        <f>14873/100001</f>
        <v>0.14872851271487286</v>
      </c>
      <c r="N6">
        <f t="shared" si="3"/>
        <v>0</v>
      </c>
      <c r="O6">
        <f t="shared" si="3"/>
        <v>0</v>
      </c>
      <c r="P6">
        <f t="shared" si="3"/>
        <v>0</v>
      </c>
      <c r="Q6">
        <f t="shared" si="3"/>
        <v>0</v>
      </c>
    </row>
    <row r="7" spans="1:22" x14ac:dyDescent="0.2">
      <c r="A7" s="1">
        <v>8</v>
      </c>
      <c r="B7" s="1">
        <f>29258/100001</f>
        <v>0.29257707422925772</v>
      </c>
      <c r="C7" s="1">
        <f>14353/100001</f>
        <v>0.14352856471435285</v>
      </c>
      <c r="D7" s="1">
        <f>14132/100001</f>
        <v>0.14131858681413187</v>
      </c>
      <c r="E7" s="1">
        <f>13224/100001</f>
        <v>0.13223867761322386</v>
      </c>
      <c r="F7">
        <f t="shared" si="5"/>
        <v>0</v>
      </c>
      <c r="G7">
        <f t="shared" ref="G7:G13" si="7">0/100001</f>
        <v>0</v>
      </c>
      <c r="H7" s="1">
        <f>599/100001</f>
        <v>5.9899401005989944E-3</v>
      </c>
      <c r="I7">
        <f t="shared" si="6"/>
        <v>0</v>
      </c>
      <c r="J7">
        <f t="shared" si="2"/>
        <v>0</v>
      </c>
      <c r="K7">
        <f t="shared" ref="K7:K13" si="8">0/100001</f>
        <v>0</v>
      </c>
      <c r="L7">
        <f t="shared" si="4"/>
        <v>0</v>
      </c>
      <c r="M7">
        <f>0/100001</f>
        <v>0</v>
      </c>
      <c r="N7">
        <f>0/100001</f>
        <v>0</v>
      </c>
      <c r="O7">
        <f>0/100001</f>
        <v>0</v>
      </c>
      <c r="P7">
        <f>0/100001</f>
        <v>0</v>
      </c>
      <c r="Q7" s="1">
        <f>100001/100001</f>
        <v>1</v>
      </c>
      <c r="S7" s="1">
        <f>100001/100001</f>
        <v>1</v>
      </c>
      <c r="T7" s="1">
        <f>37141/100001</f>
        <v>0.37140628593714065</v>
      </c>
      <c r="U7">
        <f>0/100001</f>
        <v>0</v>
      </c>
      <c r="V7" s="1">
        <f>100001/100001</f>
        <v>1</v>
      </c>
    </row>
    <row r="8" spans="1:22" x14ac:dyDescent="0.2">
      <c r="A8" s="1">
        <v>9</v>
      </c>
      <c r="B8">
        <f t="shared" ref="B8:E13" si="9">0/100001</f>
        <v>0</v>
      </c>
      <c r="C8">
        <f t="shared" si="9"/>
        <v>0</v>
      </c>
      <c r="D8">
        <f t="shared" si="9"/>
        <v>0</v>
      </c>
      <c r="E8">
        <f t="shared" si="9"/>
        <v>0</v>
      </c>
      <c r="F8">
        <f t="shared" si="5"/>
        <v>0</v>
      </c>
      <c r="G8">
        <f t="shared" si="7"/>
        <v>0</v>
      </c>
      <c r="H8">
        <f t="shared" ref="H8:H13" si="10">0/100001</f>
        <v>0</v>
      </c>
      <c r="I8">
        <f t="shared" si="6"/>
        <v>0</v>
      </c>
      <c r="J8">
        <f t="shared" si="2"/>
        <v>0</v>
      </c>
      <c r="K8">
        <f t="shared" si="8"/>
        <v>0</v>
      </c>
      <c r="L8">
        <f t="shared" si="4"/>
        <v>0</v>
      </c>
      <c r="M8">
        <f>0/100001</f>
        <v>0</v>
      </c>
      <c r="N8">
        <f>0/100001</f>
        <v>0</v>
      </c>
      <c r="O8" s="1">
        <f>5965/100001</f>
        <v>5.964940350596494E-2</v>
      </c>
      <c r="P8">
        <f t="shared" ref="P8:Q13" si="11">0/100001</f>
        <v>0</v>
      </c>
      <c r="Q8">
        <f t="shared" si="11"/>
        <v>0</v>
      </c>
      <c r="S8">
        <f t="shared" ref="S8:S13" si="12">0/100001</f>
        <v>0</v>
      </c>
      <c r="T8" s="1">
        <f>36212/100001</f>
        <v>0.36211637883621162</v>
      </c>
      <c r="U8" s="1">
        <f>46289/100001</f>
        <v>0.46288537114628853</v>
      </c>
      <c r="V8">
        <f t="shared" ref="V8:V13" si="13">0/100001</f>
        <v>0</v>
      </c>
    </row>
    <row r="9" spans="1:22" x14ac:dyDescent="0.2">
      <c r="A9" s="1">
        <v>10</v>
      </c>
      <c r="B9">
        <f t="shared" si="9"/>
        <v>0</v>
      </c>
      <c r="C9">
        <f t="shared" si="9"/>
        <v>0</v>
      </c>
      <c r="D9">
        <f t="shared" si="9"/>
        <v>0</v>
      </c>
      <c r="E9">
        <f t="shared" si="9"/>
        <v>0</v>
      </c>
      <c r="F9">
        <f t="shared" si="5"/>
        <v>0</v>
      </c>
      <c r="G9">
        <f t="shared" si="7"/>
        <v>0</v>
      </c>
      <c r="H9">
        <f t="shared" si="10"/>
        <v>0</v>
      </c>
      <c r="I9">
        <f t="shared" si="6"/>
        <v>0</v>
      </c>
      <c r="J9">
        <f t="shared" si="2"/>
        <v>0</v>
      </c>
      <c r="K9">
        <f t="shared" si="8"/>
        <v>0</v>
      </c>
      <c r="L9">
        <f t="shared" si="4"/>
        <v>0</v>
      </c>
      <c r="M9">
        <f>0/100001</f>
        <v>0</v>
      </c>
      <c r="N9" s="1">
        <f>652/100001</f>
        <v>6.5199348006519933E-3</v>
      </c>
      <c r="O9" s="1">
        <f>1567/100001</f>
        <v>1.5669843301566986E-2</v>
      </c>
      <c r="P9">
        <f t="shared" si="11"/>
        <v>0</v>
      </c>
      <c r="Q9">
        <f t="shared" si="11"/>
        <v>0</v>
      </c>
      <c r="S9">
        <f t="shared" si="12"/>
        <v>0</v>
      </c>
      <c r="T9" s="1">
        <f>20972/100001</f>
        <v>0.2097179028209718</v>
      </c>
      <c r="U9" s="1">
        <f>14358/100001</f>
        <v>0.14357856421435786</v>
      </c>
      <c r="V9">
        <f t="shared" si="13"/>
        <v>0</v>
      </c>
    </row>
    <row r="10" spans="1:22" x14ac:dyDescent="0.2">
      <c r="A10" s="1">
        <v>11</v>
      </c>
      <c r="B10">
        <f t="shared" si="9"/>
        <v>0</v>
      </c>
      <c r="C10">
        <f t="shared" si="9"/>
        <v>0</v>
      </c>
      <c r="D10">
        <f t="shared" si="9"/>
        <v>0</v>
      </c>
      <c r="E10">
        <f t="shared" si="9"/>
        <v>0</v>
      </c>
      <c r="F10">
        <f t="shared" si="5"/>
        <v>0</v>
      </c>
      <c r="G10">
        <f t="shared" si="7"/>
        <v>0</v>
      </c>
      <c r="H10">
        <f t="shared" si="10"/>
        <v>0</v>
      </c>
      <c r="I10">
        <f t="shared" si="6"/>
        <v>0</v>
      </c>
      <c r="J10">
        <f t="shared" si="2"/>
        <v>0</v>
      </c>
      <c r="K10">
        <f t="shared" si="8"/>
        <v>0</v>
      </c>
      <c r="L10">
        <f t="shared" si="4"/>
        <v>0</v>
      </c>
      <c r="M10">
        <f>0/100001</f>
        <v>0</v>
      </c>
      <c r="N10" s="1">
        <f>99349/100001</f>
        <v>0.99348006519934806</v>
      </c>
      <c r="O10" s="1">
        <f>92469/100001</f>
        <v>0.92468075319246812</v>
      </c>
      <c r="P10">
        <f t="shared" si="11"/>
        <v>0</v>
      </c>
      <c r="Q10">
        <f t="shared" si="11"/>
        <v>0</v>
      </c>
      <c r="S10">
        <f t="shared" si="12"/>
        <v>0</v>
      </c>
      <c r="T10" s="1">
        <f>4905/100001</f>
        <v>4.9049509504904949E-2</v>
      </c>
      <c r="U10" s="1">
        <f>39354/100001</f>
        <v>0.39353606463935359</v>
      </c>
      <c r="V10">
        <f t="shared" si="13"/>
        <v>0</v>
      </c>
    </row>
    <row r="11" spans="1:22" x14ac:dyDescent="0.2">
      <c r="A11" s="1">
        <v>12</v>
      </c>
      <c r="B11">
        <f t="shared" si="9"/>
        <v>0</v>
      </c>
      <c r="C11">
        <f t="shared" si="9"/>
        <v>0</v>
      </c>
      <c r="D11">
        <f t="shared" si="9"/>
        <v>0</v>
      </c>
      <c r="E11">
        <f t="shared" si="9"/>
        <v>0</v>
      </c>
      <c r="F11">
        <f t="shared" si="5"/>
        <v>0</v>
      </c>
      <c r="G11">
        <f t="shared" si="7"/>
        <v>0</v>
      </c>
      <c r="H11">
        <f t="shared" si="10"/>
        <v>0</v>
      </c>
      <c r="I11">
        <f t="shared" si="6"/>
        <v>0</v>
      </c>
      <c r="J11">
        <f t="shared" si="2"/>
        <v>0</v>
      </c>
      <c r="K11">
        <f t="shared" si="8"/>
        <v>0</v>
      </c>
      <c r="L11">
        <f t="shared" si="4"/>
        <v>0</v>
      </c>
      <c r="M11">
        <f>0/100001</f>
        <v>0</v>
      </c>
      <c r="N11">
        <f t="shared" ref="N11:O13" si="14">0/100001</f>
        <v>0</v>
      </c>
      <c r="O11">
        <f t="shared" si="14"/>
        <v>0</v>
      </c>
      <c r="P11">
        <f t="shared" si="11"/>
        <v>0</v>
      </c>
      <c r="Q11">
        <f t="shared" si="11"/>
        <v>0</v>
      </c>
      <c r="S11">
        <f t="shared" si="12"/>
        <v>0</v>
      </c>
      <c r="T11" s="1">
        <f>771/100001</f>
        <v>7.7099229007709926E-3</v>
      </c>
      <c r="U11">
        <f>0/100001</f>
        <v>0</v>
      </c>
      <c r="V11">
        <f t="shared" si="13"/>
        <v>0</v>
      </c>
    </row>
    <row r="12" spans="1:22" x14ac:dyDescent="0.2">
      <c r="A12" s="1">
        <v>13</v>
      </c>
      <c r="B12">
        <f t="shared" si="9"/>
        <v>0</v>
      </c>
      <c r="C12">
        <f t="shared" si="9"/>
        <v>0</v>
      </c>
      <c r="D12">
        <f t="shared" si="9"/>
        <v>0</v>
      </c>
      <c r="E12">
        <f t="shared" si="9"/>
        <v>0</v>
      </c>
      <c r="F12">
        <f t="shared" si="5"/>
        <v>0</v>
      </c>
      <c r="G12">
        <f t="shared" si="7"/>
        <v>0</v>
      </c>
      <c r="H12">
        <f t="shared" si="10"/>
        <v>0</v>
      </c>
      <c r="I12">
        <f t="shared" si="6"/>
        <v>0</v>
      </c>
      <c r="J12">
        <f t="shared" si="2"/>
        <v>0</v>
      </c>
      <c r="K12">
        <f t="shared" si="8"/>
        <v>0</v>
      </c>
      <c r="L12">
        <f t="shared" si="4"/>
        <v>0</v>
      </c>
      <c r="M12">
        <f>0/100001</f>
        <v>0</v>
      </c>
      <c r="N12">
        <f t="shared" si="14"/>
        <v>0</v>
      </c>
      <c r="O12">
        <f t="shared" si="14"/>
        <v>0</v>
      </c>
      <c r="P12">
        <f t="shared" si="11"/>
        <v>0</v>
      </c>
      <c r="Q12">
        <f t="shared" si="11"/>
        <v>0</v>
      </c>
      <c r="S12">
        <f t="shared" si="12"/>
        <v>0</v>
      </c>
      <c r="T12">
        <f>0/100001</f>
        <v>0</v>
      </c>
      <c r="U12">
        <f>0/100001</f>
        <v>0</v>
      </c>
      <c r="V12">
        <f t="shared" si="13"/>
        <v>0</v>
      </c>
    </row>
    <row r="13" spans="1:22" x14ac:dyDescent="0.2">
      <c r="A13" s="1">
        <v>14</v>
      </c>
      <c r="B13">
        <f t="shared" si="9"/>
        <v>0</v>
      </c>
      <c r="C13">
        <f t="shared" si="9"/>
        <v>0</v>
      </c>
      <c r="D13">
        <f t="shared" si="9"/>
        <v>0</v>
      </c>
      <c r="E13">
        <f t="shared" si="9"/>
        <v>0</v>
      </c>
      <c r="F13">
        <f t="shared" si="5"/>
        <v>0</v>
      </c>
      <c r="G13">
        <f t="shared" si="7"/>
        <v>0</v>
      </c>
      <c r="H13">
        <f t="shared" si="10"/>
        <v>0</v>
      </c>
      <c r="I13">
        <f t="shared" si="6"/>
        <v>0</v>
      </c>
      <c r="J13">
        <f t="shared" si="2"/>
        <v>0</v>
      </c>
      <c r="K13">
        <f t="shared" si="8"/>
        <v>0</v>
      </c>
      <c r="L13">
        <f t="shared" si="4"/>
        <v>0</v>
      </c>
      <c r="M13">
        <f>0/100001</f>
        <v>0</v>
      </c>
      <c r="N13">
        <f t="shared" si="14"/>
        <v>0</v>
      </c>
      <c r="O13">
        <f t="shared" si="14"/>
        <v>0</v>
      </c>
      <c r="P13">
        <f t="shared" si="11"/>
        <v>0</v>
      </c>
      <c r="Q13">
        <f t="shared" si="11"/>
        <v>0</v>
      </c>
      <c r="S13">
        <f t="shared" si="12"/>
        <v>0</v>
      </c>
      <c r="T13">
        <f>0/100001</f>
        <v>0</v>
      </c>
      <c r="U13">
        <f>0/100001</f>
        <v>0</v>
      </c>
      <c r="V13">
        <f t="shared" si="13"/>
        <v>0</v>
      </c>
    </row>
  </sheetData>
  <conditionalFormatting sqref="B2:Q1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:V5 S7:V1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AECE-F286-AA44-9445-0D6AF3C5AB92}">
  <dimension ref="A1:W15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J24" sqref="J24"/>
    </sheetView>
  </sheetViews>
  <sheetFormatPr baseColWidth="10" defaultRowHeight="16" x14ac:dyDescent="0.2"/>
  <cols>
    <col min="1" max="1" width="16.5" customWidth="1"/>
    <col min="2" max="2" width="17.6640625" customWidth="1"/>
    <col min="3" max="3" width="11.1640625" bestFit="1" customWidth="1"/>
    <col min="4" max="4" width="14" bestFit="1" customWidth="1"/>
  </cols>
  <sheetData>
    <row r="1" spans="1:23" x14ac:dyDescent="0.2">
      <c r="A1" t="s">
        <v>45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T1" t="s">
        <v>41</v>
      </c>
      <c r="U1" t="s">
        <v>42</v>
      </c>
      <c r="V1" t="s">
        <v>43</v>
      </c>
      <c r="W1" t="s">
        <v>44</v>
      </c>
    </row>
    <row r="2" spans="1:23" x14ac:dyDescent="0.2">
      <c r="A2" s="1">
        <v>1</v>
      </c>
      <c r="B2">
        <v>2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T2">
        <v>0</v>
      </c>
      <c r="U2">
        <v>0</v>
      </c>
      <c r="V2">
        <v>0</v>
      </c>
      <c r="W2">
        <v>0</v>
      </c>
    </row>
    <row r="3" spans="1:23" x14ac:dyDescent="0.2">
      <c r="A3" s="1">
        <v>2</v>
      </c>
      <c r="B3">
        <v>3</v>
      </c>
      <c r="C3">
        <v>0</v>
      </c>
      <c r="D3">
        <v>0</v>
      </c>
      <c r="E3">
        <v>0</v>
      </c>
      <c r="F3">
        <v>1.5999680006399872E-3</v>
      </c>
      <c r="G3">
        <v>0</v>
      </c>
      <c r="H3">
        <v>0.44348113037739245</v>
      </c>
      <c r="I3">
        <v>0</v>
      </c>
      <c r="J3">
        <v>0</v>
      </c>
      <c r="K3">
        <v>0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T3">
        <v>0</v>
      </c>
      <c r="U3">
        <v>0</v>
      </c>
      <c r="V3">
        <v>0</v>
      </c>
      <c r="W3">
        <v>0</v>
      </c>
    </row>
    <row r="4" spans="1:23" x14ac:dyDescent="0.2">
      <c r="A4">
        <v>3</v>
      </c>
      <c r="B4">
        <v>4</v>
      </c>
      <c r="C4">
        <v>0.44711105777884441</v>
      </c>
      <c r="D4">
        <v>9.9998000039999203E-6</v>
      </c>
      <c r="E4">
        <v>3.5999280014399713E-4</v>
      </c>
      <c r="F4">
        <v>2.3199536009279815E-3</v>
      </c>
      <c r="G4">
        <v>0</v>
      </c>
      <c r="H4">
        <v>0.28836423271534567</v>
      </c>
      <c r="I4">
        <v>0</v>
      </c>
      <c r="J4">
        <v>0</v>
      </c>
      <c r="K4">
        <v>0.24158516829663407</v>
      </c>
      <c r="L4">
        <v>0</v>
      </c>
      <c r="M4">
        <v>0</v>
      </c>
      <c r="N4">
        <v>0.372332553348933</v>
      </c>
      <c r="O4">
        <v>0</v>
      </c>
      <c r="P4">
        <v>0</v>
      </c>
      <c r="Q4">
        <v>0</v>
      </c>
      <c r="R4">
        <v>0</v>
      </c>
      <c r="T4">
        <v>0</v>
      </c>
      <c r="U4">
        <v>0</v>
      </c>
      <c r="V4">
        <v>0</v>
      </c>
      <c r="W4">
        <v>0</v>
      </c>
    </row>
    <row r="5" spans="1:23" x14ac:dyDescent="0.2">
      <c r="A5">
        <v>4</v>
      </c>
      <c r="B5">
        <v>5</v>
      </c>
      <c r="C5">
        <v>0.55288894222115559</v>
      </c>
      <c r="D5">
        <v>1.5999680006399873E-4</v>
      </c>
      <c r="E5">
        <v>1.0499790004199917E-3</v>
      </c>
      <c r="F5">
        <v>2.9099418011639768E-3</v>
      </c>
      <c r="G5">
        <v>0</v>
      </c>
      <c r="H5">
        <v>0.14616707665846684</v>
      </c>
      <c r="I5">
        <v>0</v>
      </c>
      <c r="J5">
        <v>0</v>
      </c>
      <c r="K5">
        <v>0.30219395612087757</v>
      </c>
      <c r="L5">
        <v>0</v>
      </c>
      <c r="M5">
        <v>0</v>
      </c>
      <c r="N5">
        <v>0.50735985280294393</v>
      </c>
      <c r="O5">
        <v>0</v>
      </c>
      <c r="P5">
        <v>0</v>
      </c>
      <c r="Q5">
        <v>0</v>
      </c>
      <c r="R5">
        <v>0</v>
      </c>
      <c r="T5">
        <v>0</v>
      </c>
      <c r="U5">
        <v>0</v>
      </c>
      <c r="V5">
        <v>0</v>
      </c>
      <c r="W5">
        <v>0</v>
      </c>
    </row>
    <row r="6" spans="1:23" x14ac:dyDescent="0.2">
      <c r="A6" s="1">
        <v>5</v>
      </c>
      <c r="B6">
        <v>6</v>
      </c>
      <c r="C6">
        <v>0</v>
      </c>
      <c r="D6">
        <v>0.19972600547989039</v>
      </c>
      <c r="E6">
        <v>0.21096578068438632</v>
      </c>
      <c r="F6">
        <v>0.17092658146837064</v>
      </c>
      <c r="G6">
        <v>0</v>
      </c>
      <c r="H6">
        <v>6.6548669026619461E-2</v>
      </c>
      <c r="I6">
        <v>0</v>
      </c>
      <c r="J6">
        <v>0</v>
      </c>
      <c r="K6">
        <v>0.24329513409731807</v>
      </c>
      <c r="L6">
        <v>0</v>
      </c>
      <c r="M6">
        <v>0</v>
      </c>
      <c r="N6">
        <v>0.12030759384812303</v>
      </c>
      <c r="O6">
        <v>0</v>
      </c>
      <c r="P6">
        <v>0</v>
      </c>
      <c r="Q6">
        <v>0</v>
      </c>
      <c r="R6">
        <v>0</v>
      </c>
      <c r="T6">
        <v>0</v>
      </c>
      <c r="U6">
        <v>0</v>
      </c>
      <c r="V6">
        <v>0</v>
      </c>
      <c r="W6">
        <v>0</v>
      </c>
    </row>
    <row r="7" spans="1:23" x14ac:dyDescent="0.2">
      <c r="A7" s="1">
        <v>6</v>
      </c>
      <c r="B7">
        <v>7</v>
      </c>
      <c r="C7">
        <v>0</v>
      </c>
      <c r="D7">
        <v>0.32022359552808943</v>
      </c>
      <c r="E7">
        <v>0.32264354712905741</v>
      </c>
      <c r="F7">
        <v>0.26865462690746184</v>
      </c>
      <c r="G7">
        <v>0</v>
      </c>
      <c r="H7">
        <v>5.543889122217556E-2</v>
      </c>
      <c r="I7">
        <v>0</v>
      </c>
      <c r="J7">
        <v>0</v>
      </c>
      <c r="K7">
        <v>0.14493710125797485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T7">
        <v>0</v>
      </c>
      <c r="U7">
        <v>0</v>
      </c>
      <c r="V7">
        <v>0</v>
      </c>
      <c r="W7">
        <v>0</v>
      </c>
    </row>
    <row r="8" spans="1:23" x14ac:dyDescent="0.2">
      <c r="A8" s="1">
        <v>7</v>
      </c>
      <c r="B8">
        <v>8</v>
      </c>
      <c r="C8">
        <v>0</v>
      </c>
      <c r="D8">
        <v>0.248515029699406</v>
      </c>
      <c r="E8">
        <v>0.23748525029499409</v>
      </c>
      <c r="F8">
        <v>0.25261494770104598</v>
      </c>
      <c r="G8">
        <v>0</v>
      </c>
      <c r="H8">
        <v>0</v>
      </c>
      <c r="I8">
        <v>0</v>
      </c>
      <c r="J8">
        <v>0</v>
      </c>
      <c r="K8">
        <v>6.798864022719546E-2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T8">
        <v>0</v>
      </c>
      <c r="U8">
        <v>1</v>
      </c>
      <c r="V8">
        <v>1</v>
      </c>
      <c r="W8">
        <v>1</v>
      </c>
    </row>
    <row r="9" spans="1:23" x14ac:dyDescent="0.2">
      <c r="A9" s="1">
        <v>8</v>
      </c>
      <c r="B9">
        <v>9</v>
      </c>
      <c r="C9">
        <v>0</v>
      </c>
      <c r="D9">
        <v>0.14319713605727885</v>
      </c>
      <c r="E9">
        <v>0.14060718785624288</v>
      </c>
      <c r="F9">
        <v>0.18064638707225855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0.44010559894401058</v>
      </c>
      <c r="P9">
        <v>0</v>
      </c>
      <c r="Q9">
        <v>1</v>
      </c>
      <c r="R9">
        <v>0</v>
      </c>
      <c r="T9">
        <v>0</v>
      </c>
      <c r="U9">
        <v>0</v>
      </c>
      <c r="V9">
        <v>0</v>
      </c>
      <c r="W9">
        <v>0</v>
      </c>
    </row>
    <row r="10" spans="1:23" x14ac:dyDescent="0.2">
      <c r="A10" s="1">
        <v>9</v>
      </c>
      <c r="B10">
        <v>10</v>
      </c>
      <c r="C10">
        <v>0</v>
      </c>
      <c r="D10">
        <v>6.2638747225055497E-2</v>
      </c>
      <c r="E10">
        <v>6.2518749625007503E-2</v>
      </c>
      <c r="F10">
        <v>8.642827143457131E-2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2.2269777302226977E-2</v>
      </c>
      <c r="P10">
        <v>0</v>
      </c>
      <c r="Q10">
        <v>0</v>
      </c>
      <c r="R10">
        <v>0</v>
      </c>
      <c r="T10">
        <v>1.6169838301616984E-2</v>
      </c>
      <c r="U10">
        <v>0</v>
      </c>
      <c r="V10">
        <v>0</v>
      </c>
      <c r="W10">
        <v>0</v>
      </c>
    </row>
    <row r="11" spans="1:23" x14ac:dyDescent="0.2">
      <c r="A11" s="1">
        <v>10</v>
      </c>
      <c r="B11">
        <v>11</v>
      </c>
      <c r="C11">
        <v>0</v>
      </c>
      <c r="D11">
        <v>2.1249575008499829E-2</v>
      </c>
      <c r="E11">
        <v>2.0479590408191837E-2</v>
      </c>
      <c r="F11">
        <v>2.8709425811483769E-2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0.53762462375376241</v>
      </c>
      <c r="P11">
        <v>1</v>
      </c>
      <c r="Q11">
        <v>0</v>
      </c>
      <c r="R11">
        <v>1</v>
      </c>
      <c r="T11">
        <v>0.983830161698383</v>
      </c>
      <c r="U11">
        <v>0</v>
      </c>
      <c r="V11">
        <v>0</v>
      </c>
      <c r="W11">
        <v>0</v>
      </c>
    </row>
    <row r="12" spans="1:23" x14ac:dyDescent="0.2">
      <c r="A12" s="1">
        <v>11</v>
      </c>
      <c r="B12">
        <v>12</v>
      </c>
      <c r="C12">
        <v>0</v>
      </c>
      <c r="D12">
        <v>4.2799144017119659E-3</v>
      </c>
      <c r="E12">
        <v>3.889922201555969E-3</v>
      </c>
      <c r="F12">
        <v>5.1898962020759587E-3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T12">
        <v>0</v>
      </c>
      <c r="U12">
        <v>0</v>
      </c>
      <c r="V12">
        <v>0</v>
      </c>
      <c r="W12">
        <v>0</v>
      </c>
    </row>
    <row r="13" spans="1:23" x14ac:dyDescent="0.2">
      <c r="A13" s="1">
        <v>12</v>
      </c>
      <c r="B13">
        <v>13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>
        <v>0</v>
      </c>
      <c r="U13">
        <v>0</v>
      </c>
      <c r="V13">
        <v>0</v>
      </c>
      <c r="W13">
        <v>0</v>
      </c>
    </row>
    <row r="14" spans="1:23" x14ac:dyDescent="0.2">
      <c r="A14" s="1">
        <v>13</v>
      </c>
      <c r="B14">
        <v>14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T14">
        <v>0</v>
      </c>
      <c r="U14">
        <v>0</v>
      </c>
      <c r="V14">
        <v>0</v>
      </c>
      <c r="W14">
        <v>0</v>
      </c>
    </row>
    <row r="15" spans="1:23" x14ac:dyDescent="0.2">
      <c r="A15" s="1">
        <v>14</v>
      </c>
      <c r="B15">
        <v>15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T15">
        <v>0</v>
      </c>
      <c r="U15">
        <v>0</v>
      </c>
      <c r="V15">
        <v>0</v>
      </c>
      <c r="W15">
        <v>0</v>
      </c>
    </row>
  </sheetData>
  <conditionalFormatting sqref="C2:R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W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BF5A8-3112-764D-9738-1E6B894222B9}">
  <dimension ref="A1:Q1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"/>
    </sheetView>
  </sheetViews>
  <sheetFormatPr baseColWidth="10" defaultRowHeight="16" x14ac:dyDescent="0.2"/>
  <cols>
    <col min="2" max="2" width="16.5" style="3" customWidth="1"/>
  </cols>
  <sheetData>
    <row r="1" spans="1:17" s="3" customFormat="1" x14ac:dyDescent="0.2">
      <c r="A1" s="3" t="s">
        <v>45</v>
      </c>
      <c r="B1" s="3" t="s">
        <v>0</v>
      </c>
      <c r="C1" s="3" t="s">
        <v>46</v>
      </c>
      <c r="D1" s="3" t="s">
        <v>26</v>
      </c>
      <c r="E1" s="3" t="s">
        <v>27</v>
      </c>
      <c r="F1" s="3" t="s">
        <v>28</v>
      </c>
      <c r="G1" s="3" t="s">
        <v>47</v>
      </c>
      <c r="H1" s="3" t="s">
        <v>30</v>
      </c>
      <c r="I1" s="3" t="s">
        <v>48</v>
      </c>
      <c r="J1" s="3" t="s">
        <v>49</v>
      </c>
      <c r="K1" s="3" t="s">
        <v>33</v>
      </c>
      <c r="L1" s="3" t="s">
        <v>50</v>
      </c>
      <c r="M1" s="3" t="s">
        <v>51</v>
      </c>
      <c r="N1" s="3" t="s">
        <v>36</v>
      </c>
      <c r="O1" s="3" t="s">
        <v>41</v>
      </c>
      <c r="P1" s="3" t="s">
        <v>52</v>
      </c>
      <c r="Q1" s="3" t="s">
        <v>53</v>
      </c>
    </row>
    <row r="2" spans="1:17" x14ac:dyDescent="0.2">
      <c r="A2" s="1">
        <v>1</v>
      </c>
      <c r="B2" s="3">
        <v>2</v>
      </c>
      <c r="C2">
        <v>0</v>
      </c>
      <c r="D2">
        <v>0</v>
      </c>
      <c r="E2">
        <v>0</v>
      </c>
      <c r="F2">
        <v>0</v>
      </c>
      <c r="G2">
        <v>6.0398792024159518E-3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">
      <c r="A3" s="1">
        <v>2</v>
      </c>
      <c r="B3" s="3">
        <v>3</v>
      </c>
      <c r="C3">
        <v>0</v>
      </c>
      <c r="D3">
        <v>0</v>
      </c>
      <c r="E3">
        <v>0</v>
      </c>
      <c r="F3">
        <v>1.5999680006399872E-3</v>
      </c>
      <c r="G3">
        <v>1.9479610407791843E-2</v>
      </c>
      <c r="H3">
        <v>0.44348113037739245</v>
      </c>
      <c r="I3">
        <v>0.39561208775824486</v>
      </c>
      <c r="J3">
        <v>0.45949081018379634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">
      <c r="A4">
        <v>3</v>
      </c>
      <c r="B4" s="3">
        <v>4</v>
      </c>
      <c r="C4">
        <v>9.6306541673070022E-4</v>
      </c>
      <c r="D4">
        <v>9.9998000039999203E-6</v>
      </c>
      <c r="E4">
        <v>3.5999280014399713E-4</v>
      </c>
      <c r="F4">
        <v>2.3199536009279815E-3</v>
      </c>
      <c r="G4">
        <v>0.5488890222195556</v>
      </c>
      <c r="H4">
        <v>0.28836423271534567</v>
      </c>
      <c r="I4">
        <v>0.2879942401151977</v>
      </c>
      <c r="J4">
        <v>0.25269494610107796</v>
      </c>
      <c r="K4">
        <v>0.24158516829663407</v>
      </c>
      <c r="L4">
        <v>0.5059698806023879</v>
      </c>
      <c r="M4">
        <v>0.29655406891862163</v>
      </c>
      <c r="N4">
        <v>0.372332553348933</v>
      </c>
      <c r="O4">
        <v>0</v>
      </c>
      <c r="P4">
        <v>0</v>
      </c>
      <c r="Q4">
        <v>0</v>
      </c>
    </row>
    <row r="5" spans="1:17" x14ac:dyDescent="0.2">
      <c r="A5">
        <v>4</v>
      </c>
      <c r="B5" s="3">
        <v>5</v>
      </c>
      <c r="C5">
        <v>0.10690026125710773</v>
      </c>
      <c r="D5">
        <v>1.5999680006399873E-4</v>
      </c>
      <c r="E5">
        <v>1.0499790004199917E-3</v>
      </c>
      <c r="F5">
        <v>2.9099418011639768E-3</v>
      </c>
      <c r="G5">
        <v>0.37141257174856501</v>
      </c>
      <c r="H5">
        <v>0.14616707665846684</v>
      </c>
      <c r="I5">
        <v>0.15956680866382672</v>
      </c>
      <c r="J5">
        <v>0.13433731325373494</v>
      </c>
      <c r="K5">
        <v>0.30219395612087757</v>
      </c>
      <c r="L5">
        <v>0.43341133177336455</v>
      </c>
      <c r="M5">
        <v>0.28900421991560171</v>
      </c>
      <c r="N5">
        <v>0.50735985280294393</v>
      </c>
      <c r="O5">
        <v>0</v>
      </c>
      <c r="P5">
        <v>0</v>
      </c>
      <c r="Q5">
        <v>0</v>
      </c>
    </row>
    <row r="6" spans="1:17" x14ac:dyDescent="0.2">
      <c r="A6" s="1">
        <v>5</v>
      </c>
      <c r="B6" s="3">
        <v>6</v>
      </c>
      <c r="C6">
        <v>0.2706213821013268</v>
      </c>
      <c r="D6">
        <v>0.19972600547989039</v>
      </c>
      <c r="E6">
        <v>0.21096578068438632</v>
      </c>
      <c r="F6">
        <v>0.17092658146837064</v>
      </c>
      <c r="G6">
        <v>1.5739685206295873E-2</v>
      </c>
      <c r="H6">
        <v>6.6548669026619461E-2</v>
      </c>
      <c r="I6">
        <v>8.1068378632427357E-2</v>
      </c>
      <c r="J6">
        <v>8.2818343633127331E-2</v>
      </c>
      <c r="K6">
        <v>0.24329513409731807</v>
      </c>
      <c r="L6">
        <v>6.0618787624247515E-2</v>
      </c>
      <c r="M6">
        <v>0.21665566688666227</v>
      </c>
      <c r="N6">
        <v>0.12030759384812303</v>
      </c>
      <c r="O6">
        <v>0</v>
      </c>
      <c r="P6">
        <v>0</v>
      </c>
      <c r="Q6">
        <v>0</v>
      </c>
    </row>
    <row r="7" spans="1:17" x14ac:dyDescent="0.2">
      <c r="A7" s="1">
        <v>6</v>
      </c>
      <c r="B7" s="3">
        <v>7</v>
      </c>
      <c r="C7">
        <v>0.24270273039291021</v>
      </c>
      <c r="D7">
        <v>0.32022359552808943</v>
      </c>
      <c r="E7">
        <v>0.32264354712905741</v>
      </c>
      <c r="F7">
        <v>0.26865462690746184</v>
      </c>
      <c r="G7">
        <v>1.9989600207995839E-2</v>
      </c>
      <c r="H7">
        <v>5.543889122217556E-2</v>
      </c>
      <c r="I7">
        <v>7.5758484830303396E-2</v>
      </c>
      <c r="J7">
        <v>7.0658586828263439E-2</v>
      </c>
      <c r="K7">
        <v>0.14493710125797485</v>
      </c>
      <c r="L7">
        <v>0</v>
      </c>
      <c r="M7">
        <v>0.13206735865282695</v>
      </c>
      <c r="N7">
        <v>0</v>
      </c>
      <c r="O7">
        <v>0</v>
      </c>
      <c r="P7">
        <v>0</v>
      </c>
      <c r="Q7">
        <v>0</v>
      </c>
    </row>
    <row r="8" spans="1:17" x14ac:dyDescent="0.2">
      <c r="A8" s="1">
        <v>7</v>
      </c>
      <c r="B8" s="3">
        <v>8</v>
      </c>
      <c r="C8">
        <v>0.20057374109932893</v>
      </c>
      <c r="D8">
        <v>0.248515029699406</v>
      </c>
      <c r="E8">
        <v>0.23748525029499409</v>
      </c>
      <c r="F8">
        <v>0.25261494770104598</v>
      </c>
      <c r="G8">
        <v>1.2929741405171896E-2</v>
      </c>
      <c r="H8">
        <v>0</v>
      </c>
      <c r="I8">
        <v>0</v>
      </c>
      <c r="J8">
        <v>0</v>
      </c>
      <c r="K8">
        <v>6.798864022719546E-2</v>
      </c>
      <c r="L8">
        <v>0</v>
      </c>
      <c r="M8">
        <v>6.5718685626287479E-2</v>
      </c>
      <c r="N8">
        <v>0</v>
      </c>
      <c r="O8">
        <v>0</v>
      </c>
      <c r="P8">
        <v>0.37140628593714065</v>
      </c>
      <c r="Q8">
        <v>0</v>
      </c>
    </row>
    <row r="9" spans="1:17" x14ac:dyDescent="0.2">
      <c r="A9" s="1">
        <v>8</v>
      </c>
      <c r="B9" s="3">
        <v>9</v>
      </c>
      <c r="C9">
        <v>0.12134624250806823</v>
      </c>
      <c r="D9">
        <v>0.14319713605727885</v>
      </c>
      <c r="E9">
        <v>0.14060718785624288</v>
      </c>
      <c r="F9">
        <v>0.18064638707225855</v>
      </c>
      <c r="G9">
        <v>5.5198896022079554E-3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0.36211637883621162</v>
      </c>
      <c r="Q9">
        <v>0.46288537114628853</v>
      </c>
    </row>
    <row r="10" spans="1:17" x14ac:dyDescent="0.2">
      <c r="A10" s="1">
        <v>9</v>
      </c>
      <c r="B10" s="3">
        <v>10</v>
      </c>
      <c r="C10">
        <v>5.6892577224527431E-2</v>
      </c>
      <c r="D10">
        <v>6.2638747225055497E-2</v>
      </c>
      <c r="E10">
        <v>6.2518749625007503E-2</v>
      </c>
      <c r="F10">
        <v>8.642827143457131E-2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1.6169838301616984E-2</v>
      </c>
      <c r="P10">
        <v>0.2097179028209718</v>
      </c>
      <c r="Q10">
        <v>0.14357856421435786</v>
      </c>
    </row>
    <row r="11" spans="1:17" x14ac:dyDescent="0.2">
      <c r="A11" s="1">
        <v>10</v>
      </c>
      <c r="B11" s="3">
        <v>11</v>
      </c>
      <c r="C11">
        <v>0</v>
      </c>
      <c r="D11">
        <v>2.1249575008499829E-2</v>
      </c>
      <c r="E11">
        <v>2.0479590408191837E-2</v>
      </c>
      <c r="F11">
        <v>2.8709425811483769E-2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0.983830161698383</v>
      </c>
      <c r="P11">
        <v>4.9049509504904949E-2</v>
      </c>
      <c r="Q11">
        <v>0.39353606463935359</v>
      </c>
    </row>
    <row r="12" spans="1:17" x14ac:dyDescent="0.2">
      <c r="A12" s="1">
        <v>11</v>
      </c>
      <c r="B12" s="3">
        <v>12</v>
      </c>
      <c r="C12">
        <v>0</v>
      </c>
      <c r="D12">
        <v>4.2799144017119659E-3</v>
      </c>
      <c r="E12">
        <v>3.889922201555969E-3</v>
      </c>
      <c r="F12">
        <v>5.1898962020759587E-3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7.7099229007709926E-3</v>
      </c>
      <c r="Q12">
        <v>0</v>
      </c>
    </row>
    <row r="13" spans="1:17" x14ac:dyDescent="0.2">
      <c r="A13" s="1">
        <v>12</v>
      </c>
      <c r="B13" s="3">
        <v>13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">
      <c r="A14" s="1">
        <v>13</v>
      </c>
      <c r="B14" s="3">
        <v>14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">
      <c r="A15" s="1">
        <v>14</v>
      </c>
      <c r="B15" s="3">
        <v>15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</sheetData>
  <conditionalFormatting sqref="C2:N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Q15 S2:S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BPP</vt:lpstr>
      <vt:lpstr>iBPP full molecular</vt:lpstr>
      <vt:lpstr>iBPP trait matched molecular</vt:lpstr>
      <vt:lpstr>iBPP trait matched more generat</vt:lpstr>
      <vt:lpstr>iBPP trait combined good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Folk, Ryan</cp:lastModifiedBy>
  <dcterms:created xsi:type="dcterms:W3CDTF">2021-08-10T18:00:13Z</dcterms:created>
  <dcterms:modified xsi:type="dcterms:W3CDTF">2024-07-15T18:41:16Z</dcterms:modified>
</cp:coreProperties>
</file>