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equinixinc-my.sharepoint.com/personal/rfrigo_equinix_com/Documents/netzero/"/>
    </mc:Choice>
  </mc:AlternateContent>
  <xr:revisionPtr revIDLastSave="30" documentId="8_{3C4BBB57-3EF1-034D-A24F-4E79C6FD1ED2}" xr6:coauthVersionLast="47" xr6:coauthVersionMax="47" xr10:uidLastSave="{125A6A5B-4852-497F-9E2B-AA86D300C3A8}"/>
  <bookViews>
    <workbookView xWindow="22932" yWindow="-3072" windowWidth="30936" windowHeight="16896" xr2:uid="{57C33186-243D-4740-8DC6-563D73070746}"/>
  </bookViews>
  <sheets>
    <sheet name="MK2" sheetId="27" r:id="rId1"/>
    <sheet name="MK2 Modified" sheetId="28" r:id="rId2"/>
    <sheet name="2022 set 1 (copy)" sheetId="26" state="hidden" r:id="rId3"/>
  </sheets>
  <definedNames>
    <definedName name="CabGrowth">#REF!</definedName>
    <definedName name="CurPwrDens">#REF!</definedName>
    <definedName name="CurrITPwr">#REF!</definedName>
    <definedName name="DCoFCCHPCOffset">#REF!</definedName>
    <definedName name="DCoFCCHPPct">#REF!</definedName>
    <definedName name="DCoFEngCons">#REF!</definedName>
    <definedName name="DCoFITPwr">#REF!</definedName>
    <definedName name="DCoFPUE">#REF!</definedName>
    <definedName name="DCoFPwrDens">#REF!</definedName>
    <definedName name="DCoFPwrUtil">#REF!</definedName>
    <definedName name="DCoFRenewEngPct">#REF!</definedName>
    <definedName name="DCoFRewewEng">#REF!</definedName>
    <definedName name="DCoFStrndPwr">#REF!</definedName>
    <definedName name="DCoFTotPwr">#REF!</definedName>
    <definedName name="DCoFWCCPct">#REF!</definedName>
    <definedName name="FutITPwr">#REF!</definedName>
    <definedName name="FutPUE">#REF!</definedName>
    <definedName name="FutPwrDens">#REF!</definedName>
    <definedName name="Gruppe">#N/A</definedName>
    <definedName name="Metro">#REF!</definedName>
    <definedName name="PUELookup">#REF!</definedName>
    <definedName name="WaterUse">#REF!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63" i="26" l="1"/>
  <c r="AG63" i="26"/>
  <c r="AF63" i="26"/>
  <c r="AE63" i="26"/>
  <c r="AD63" i="26"/>
  <c r="AC63" i="26"/>
  <c r="AB63" i="26"/>
  <c r="AA63" i="26"/>
  <c r="Z63" i="26"/>
  <c r="Y63" i="26"/>
  <c r="X63" i="26"/>
  <c r="W63" i="26"/>
  <c r="V63" i="26"/>
  <c r="U63" i="26"/>
  <c r="T63" i="26"/>
  <c r="S63" i="26"/>
  <c r="R63" i="26"/>
  <c r="Q63" i="26"/>
  <c r="P63" i="26"/>
  <c r="O63" i="26"/>
  <c r="N63" i="26"/>
  <c r="M63" i="26"/>
  <c r="L63" i="26"/>
  <c r="K63" i="26"/>
  <c r="J63" i="26"/>
  <c r="I63" i="26"/>
  <c r="H63" i="26"/>
  <c r="G63" i="26"/>
  <c r="F63" i="26"/>
  <c r="E63" i="26"/>
  <c r="AH62" i="26"/>
  <c r="AG62" i="26"/>
  <c r="AF62" i="26"/>
  <c r="AE62" i="26"/>
  <c r="AD62" i="26"/>
  <c r="AC62" i="26"/>
  <c r="AB62" i="26"/>
  <c r="AA62" i="26"/>
  <c r="Z62" i="26"/>
  <c r="Y62" i="26"/>
  <c r="X62" i="26"/>
  <c r="W62" i="26"/>
  <c r="V62" i="26"/>
  <c r="U62" i="26"/>
  <c r="T62" i="26"/>
  <c r="S62" i="26"/>
  <c r="R62" i="26"/>
  <c r="Q62" i="26"/>
  <c r="P62" i="26"/>
  <c r="O62" i="26"/>
  <c r="N62" i="26"/>
  <c r="M62" i="26"/>
  <c r="L62" i="26"/>
  <c r="K62" i="26"/>
  <c r="J62" i="26"/>
  <c r="I62" i="26"/>
  <c r="H62" i="26"/>
  <c r="G62" i="26"/>
  <c r="F62" i="26"/>
  <c r="E62" i="26"/>
  <c r="P61" i="26"/>
  <c r="E54" i="26"/>
  <c r="F54" i="26" s="1"/>
  <c r="G54" i="26" s="1"/>
  <c r="E52" i="26"/>
  <c r="E44" i="26"/>
  <c r="E48" i="26" s="1"/>
  <c r="AH43" i="26"/>
  <c r="AG43" i="26"/>
  <c r="AF43" i="26"/>
  <c r="AE43" i="26"/>
  <c r="AD43" i="26"/>
  <c r="AC43" i="26"/>
  <c r="AB43" i="26"/>
  <c r="AA43" i="26"/>
  <c r="Z43" i="26"/>
  <c r="Y43" i="26"/>
  <c r="X43" i="26"/>
  <c r="W43" i="26"/>
  <c r="V43" i="26"/>
  <c r="U43" i="26"/>
  <c r="T43" i="26"/>
  <c r="S43" i="26"/>
  <c r="R43" i="26"/>
  <c r="Q43" i="26"/>
  <c r="P43" i="26"/>
  <c r="O43" i="26"/>
  <c r="N43" i="26"/>
  <c r="M43" i="26"/>
  <c r="L43" i="26"/>
  <c r="K43" i="26"/>
  <c r="J43" i="26"/>
  <c r="I43" i="26"/>
  <c r="H43" i="26"/>
  <c r="G43" i="26"/>
  <c r="F43" i="26"/>
  <c r="E43" i="26"/>
  <c r="E42" i="26"/>
  <c r="F42" i="26" s="1"/>
  <c r="AH41" i="26"/>
  <c r="AH61" i="26" s="1"/>
  <c r="AG41" i="26"/>
  <c r="AG61" i="26" s="1"/>
  <c r="AF41" i="26"/>
  <c r="AF61" i="26" s="1"/>
  <c r="AE41" i="26"/>
  <c r="AE61" i="26" s="1"/>
  <c r="AD41" i="26"/>
  <c r="AD61" i="26" s="1"/>
  <c r="AC41" i="26"/>
  <c r="AC61" i="26" s="1"/>
  <c r="AB41" i="26"/>
  <c r="AB61" i="26" s="1"/>
  <c r="AA41" i="26"/>
  <c r="AA61" i="26" s="1"/>
  <c r="Z41" i="26"/>
  <c r="Z61" i="26" s="1"/>
  <c r="Y41" i="26"/>
  <c r="Y61" i="26" s="1"/>
  <c r="X41" i="26"/>
  <c r="X61" i="26" s="1"/>
  <c r="W41" i="26"/>
  <c r="W61" i="26" s="1"/>
  <c r="V41" i="26"/>
  <c r="V61" i="26" s="1"/>
  <c r="U41" i="26"/>
  <c r="U61" i="26" s="1"/>
  <c r="T41" i="26"/>
  <c r="T61" i="26" s="1"/>
  <c r="S41" i="26"/>
  <c r="S61" i="26" s="1"/>
  <c r="R41" i="26"/>
  <c r="R61" i="26" s="1"/>
  <c r="Q41" i="26"/>
  <c r="Q61" i="26" s="1"/>
  <c r="P41" i="26"/>
  <c r="O41" i="26"/>
  <c r="O61" i="26" s="1"/>
  <c r="N41" i="26"/>
  <c r="N61" i="26" s="1"/>
  <c r="M41" i="26"/>
  <c r="M61" i="26" s="1"/>
  <c r="L41" i="26"/>
  <c r="L61" i="26" s="1"/>
  <c r="K41" i="26"/>
  <c r="K61" i="26" s="1"/>
  <c r="J41" i="26"/>
  <c r="J61" i="26" s="1"/>
  <c r="I41" i="26"/>
  <c r="I61" i="26" s="1"/>
  <c r="H41" i="26"/>
  <c r="H61" i="26" s="1"/>
  <c r="G41" i="26"/>
  <c r="G61" i="26" s="1"/>
  <c r="F41" i="26"/>
  <c r="F61" i="26" s="1"/>
  <c r="E41" i="26"/>
  <c r="E61" i="26" s="1"/>
  <c r="E40" i="26"/>
  <c r="M34" i="26"/>
  <c r="M33" i="26"/>
  <c r="E74" i="26" s="1"/>
  <c r="M32" i="26"/>
  <c r="M31" i="26"/>
  <c r="E72" i="26" s="1"/>
  <c r="G28" i="26"/>
  <c r="M27" i="26"/>
  <c r="M26" i="26"/>
  <c r="M25" i="26"/>
  <c r="G25" i="26"/>
  <c r="G24" i="26"/>
  <c r="G21" i="26"/>
  <c r="G23" i="26" s="1"/>
  <c r="AB20" i="26"/>
  <c r="Z20" i="26"/>
  <c r="G20" i="26"/>
  <c r="M18" i="26"/>
  <c r="M17" i="26"/>
  <c r="M20" i="26" s="1"/>
  <c r="M14" i="26"/>
  <c r="M13" i="26"/>
  <c r="G8" i="26"/>
  <c r="M7" i="26"/>
  <c r="M6" i="26"/>
  <c r="S4" i="26"/>
  <c r="T50" i="26" l="1"/>
  <c r="G42" i="26"/>
  <c r="H42" i="26" s="1"/>
  <c r="I42" i="26" s="1"/>
  <c r="J42" i="26" s="1"/>
  <c r="K42" i="26" s="1"/>
  <c r="L42" i="26" s="1"/>
  <c r="M42" i="26" s="1"/>
  <c r="F44" i="26"/>
  <c r="F45" i="26" s="1"/>
  <c r="AB50" i="26"/>
  <c r="H44" i="26"/>
  <c r="H45" i="26" s="1"/>
  <c r="L50" i="26"/>
  <c r="J50" i="26"/>
  <c r="R50" i="26"/>
  <c r="Z50" i="26"/>
  <c r="AH50" i="26"/>
  <c r="L44" i="26"/>
  <c r="H54" i="26"/>
  <c r="K70" i="26"/>
  <c r="S70" i="26"/>
  <c r="AA70" i="26"/>
  <c r="M28" i="26"/>
  <c r="K50" i="26"/>
  <c r="S50" i="26"/>
  <c r="AA50" i="26"/>
  <c r="L70" i="26"/>
  <c r="L64" i="26"/>
  <c r="L65" i="26" s="1"/>
  <c r="L71" i="26" s="1"/>
  <c r="T70" i="26"/>
  <c r="T64" i="26"/>
  <c r="T65" i="26" s="1"/>
  <c r="AB70" i="26"/>
  <c r="M8" i="26"/>
  <c r="Z16" i="26"/>
  <c r="E50" i="26"/>
  <c r="M50" i="26"/>
  <c r="U50" i="26"/>
  <c r="AC50" i="26"/>
  <c r="F70" i="26"/>
  <c r="N70" i="26"/>
  <c r="V70" i="26"/>
  <c r="AD70" i="26"/>
  <c r="AG65" i="26"/>
  <c r="AG71" i="26" s="1"/>
  <c r="Z18" i="26"/>
  <c r="M21" i="26"/>
  <c r="M23" i="26" s="1"/>
  <c r="F72" i="26"/>
  <c r="E70" i="26"/>
  <c r="M70" i="26"/>
  <c r="U70" i="26"/>
  <c r="AC70" i="26"/>
  <c r="F74" i="26"/>
  <c r="F50" i="26"/>
  <c r="N50" i="26"/>
  <c r="V50" i="26"/>
  <c r="AD50" i="26"/>
  <c r="G70" i="26"/>
  <c r="O70" i="26"/>
  <c r="W70" i="26"/>
  <c r="AE70" i="26"/>
  <c r="G50" i="26"/>
  <c r="O50" i="26"/>
  <c r="W50" i="26"/>
  <c r="AE50" i="26"/>
  <c r="E46" i="26"/>
  <c r="E49" i="26" s="1"/>
  <c r="F49" i="26" s="1"/>
  <c r="G46" i="26" s="1"/>
  <c r="H70" i="26"/>
  <c r="P70" i="26"/>
  <c r="X70" i="26"/>
  <c r="AF70" i="26"/>
  <c r="Z17" i="26"/>
  <c r="Z19" i="26" s="1"/>
  <c r="H50" i="26"/>
  <c r="P50" i="26"/>
  <c r="X50" i="26"/>
  <c r="AF50" i="26"/>
  <c r="L45" i="26"/>
  <c r="L51" i="26" s="1"/>
  <c r="F46" i="26"/>
  <c r="G47" i="26"/>
  <c r="I64" i="26"/>
  <c r="I65" i="26" s="1"/>
  <c r="I71" i="26" s="1"/>
  <c r="Q64" i="26"/>
  <c r="Q65" i="26" s="1"/>
  <c r="Q71" i="26" s="1"/>
  <c r="Y64" i="26"/>
  <c r="Y65" i="26" s="1"/>
  <c r="Y71" i="26" s="1"/>
  <c r="AG64" i="26"/>
  <c r="I50" i="26"/>
  <c r="Q50" i="26"/>
  <c r="Y50" i="26"/>
  <c r="AG50" i="26"/>
  <c r="K44" i="26"/>
  <c r="K45" i="26" s="1"/>
  <c r="E45" i="26"/>
  <c r="E51" i="26" s="1"/>
  <c r="E53" i="26" s="1"/>
  <c r="J64" i="26"/>
  <c r="J65" i="26" s="1"/>
  <c r="R64" i="26"/>
  <c r="R65" i="26" s="1"/>
  <c r="Z64" i="26"/>
  <c r="Z65" i="26" s="1"/>
  <c r="AH64" i="26"/>
  <c r="AH65" i="26" s="1"/>
  <c r="K64" i="26"/>
  <c r="K65" i="26" s="1"/>
  <c r="K71" i="26" s="1"/>
  <c r="S64" i="26"/>
  <c r="S65" i="26" s="1"/>
  <c r="S71" i="26" s="1"/>
  <c r="AA64" i="26"/>
  <c r="AA65" i="26" s="1"/>
  <c r="AA71" i="26" s="1"/>
  <c r="I70" i="26"/>
  <c r="Q70" i="26"/>
  <c r="Y70" i="26"/>
  <c r="AG70" i="26"/>
  <c r="F52" i="26"/>
  <c r="AB64" i="26"/>
  <c r="AB65" i="26" s="1"/>
  <c r="J70" i="26"/>
  <c r="R70" i="26"/>
  <c r="Z70" i="26"/>
  <c r="AH70" i="26"/>
  <c r="E64" i="26"/>
  <c r="E68" i="26" s="1"/>
  <c r="M64" i="26"/>
  <c r="M65" i="26" s="1"/>
  <c r="U64" i="26"/>
  <c r="U65" i="26" s="1"/>
  <c r="AC64" i="26"/>
  <c r="AC65" i="26" s="1"/>
  <c r="F64" i="26"/>
  <c r="F65" i="26" s="1"/>
  <c r="N64" i="26"/>
  <c r="N65" i="26" s="1"/>
  <c r="V64" i="26"/>
  <c r="V65" i="26" s="1"/>
  <c r="AD64" i="26"/>
  <c r="AD65" i="26" s="1"/>
  <c r="G64" i="26"/>
  <c r="G65" i="26" s="1"/>
  <c r="O64" i="26"/>
  <c r="O65" i="26" s="1"/>
  <c r="O71" i="26" s="1"/>
  <c r="W64" i="26"/>
  <c r="W65" i="26" s="1"/>
  <c r="W71" i="26" s="1"/>
  <c r="AE64" i="26"/>
  <c r="AE65" i="26" s="1"/>
  <c r="AE71" i="26" s="1"/>
  <c r="H64" i="26"/>
  <c r="H65" i="26" s="1"/>
  <c r="H71" i="26" s="1"/>
  <c r="P64" i="26"/>
  <c r="P65" i="26" s="1"/>
  <c r="X64" i="26"/>
  <c r="X65" i="26" s="1"/>
  <c r="AF64" i="26"/>
  <c r="AF65" i="26" s="1"/>
  <c r="AD71" i="26" l="1"/>
  <c r="X71" i="26"/>
  <c r="N71" i="26"/>
  <c r="AB8" i="26" s="1"/>
  <c r="K51" i="26"/>
  <c r="F71" i="26"/>
  <c r="P71" i="26"/>
  <c r="T71" i="26"/>
  <c r="AH71" i="26"/>
  <c r="R71" i="26"/>
  <c r="J71" i="26"/>
  <c r="V71" i="26"/>
  <c r="H51" i="26"/>
  <c r="AB71" i="26"/>
  <c r="Z71" i="26"/>
  <c r="G71" i="26"/>
  <c r="AF71" i="26"/>
  <c r="AC71" i="26"/>
  <c r="U71" i="26"/>
  <c r="M71" i="26"/>
  <c r="AB9" i="26"/>
  <c r="AB15" i="26"/>
  <c r="AB12" i="26"/>
  <c r="AB14" i="26"/>
  <c r="AB10" i="26"/>
  <c r="F51" i="26"/>
  <c r="F53" i="26" s="1"/>
  <c r="F55" i="26"/>
  <c r="G74" i="26"/>
  <c r="F75" i="26"/>
  <c r="F66" i="26"/>
  <c r="F68" i="26" s="1"/>
  <c r="E66" i="26"/>
  <c r="E69" i="26" s="1"/>
  <c r="F69" i="26" s="1"/>
  <c r="G66" i="26"/>
  <c r="AB17" i="26"/>
  <c r="AB19" i="26" s="1"/>
  <c r="AB11" i="26" s="1"/>
  <c r="AB16" i="26"/>
  <c r="AB18" i="26"/>
  <c r="F73" i="26"/>
  <c r="G72" i="26"/>
  <c r="AB6" i="26"/>
  <c r="AB7" i="26"/>
  <c r="N42" i="26"/>
  <c r="M44" i="26"/>
  <c r="M45" i="26" s="1"/>
  <c r="M51" i="26" s="1"/>
  <c r="G52" i="26"/>
  <c r="I44" i="26"/>
  <c r="I45" i="26" s="1"/>
  <c r="I51" i="26" s="1"/>
  <c r="E55" i="26"/>
  <c r="G49" i="26"/>
  <c r="Z7" i="26"/>
  <c r="Z6" i="26"/>
  <c r="E65" i="26"/>
  <c r="F48" i="26"/>
  <c r="H55" i="26"/>
  <c r="I54" i="26"/>
  <c r="G44" i="26"/>
  <c r="G45" i="26" s="1"/>
  <c r="J44" i="26"/>
  <c r="J45" i="26" s="1"/>
  <c r="J51" i="26" s="1"/>
  <c r="O42" i="26" l="1"/>
  <c r="N44" i="26"/>
  <c r="N45" i="26" s="1"/>
  <c r="N51" i="26" s="1"/>
  <c r="I55" i="26"/>
  <c r="J54" i="26"/>
  <c r="H72" i="26"/>
  <c r="G73" i="26"/>
  <c r="H49" i="26"/>
  <c r="H46" i="26"/>
  <c r="H47" i="26"/>
  <c r="G51" i="26"/>
  <c r="G53" i="26" s="1"/>
  <c r="G55" i="26"/>
  <c r="G48" i="26"/>
  <c r="H52" i="26"/>
  <c r="E71" i="26"/>
  <c r="E73" i="26" s="1"/>
  <c r="E75" i="26"/>
  <c r="G69" i="26"/>
  <c r="G67" i="26"/>
  <c r="G68" i="26" s="1"/>
  <c r="H74" i="26"/>
  <c r="G75" i="26"/>
  <c r="H48" i="26" l="1"/>
  <c r="J55" i="26"/>
  <c r="K54" i="26"/>
  <c r="H75" i="26"/>
  <c r="I74" i="26"/>
  <c r="I52" i="26"/>
  <c r="H53" i="26"/>
  <c r="H69" i="26"/>
  <c r="H67" i="26"/>
  <c r="H66" i="26"/>
  <c r="H68" i="26" s="1"/>
  <c r="Z13" i="26"/>
  <c r="Z8" i="26"/>
  <c r="P42" i="26"/>
  <c r="O44" i="26"/>
  <c r="O45" i="26" s="1"/>
  <c r="O51" i="26" s="1"/>
  <c r="I72" i="26"/>
  <c r="H73" i="26"/>
  <c r="I49" i="26"/>
  <c r="I47" i="26"/>
  <c r="I46" i="26"/>
  <c r="Q42" i="26" l="1"/>
  <c r="P44" i="26"/>
  <c r="P45" i="26" s="1"/>
  <c r="P51" i="26" s="1"/>
  <c r="J52" i="26"/>
  <c r="I53" i="26"/>
  <c r="I75" i="26"/>
  <c r="J74" i="26"/>
  <c r="Z10" i="26"/>
  <c r="Z9" i="26"/>
  <c r="Z12" i="26"/>
  <c r="J49" i="26"/>
  <c r="J46" i="26"/>
  <c r="J47" i="26"/>
  <c r="Z14" i="26"/>
  <c r="Z15" i="26"/>
  <c r="K55" i="26"/>
  <c r="L54" i="26"/>
  <c r="I48" i="26"/>
  <c r="J72" i="26"/>
  <c r="I73" i="26"/>
  <c r="I69" i="26"/>
  <c r="I67" i="26"/>
  <c r="I66" i="26"/>
  <c r="I68" i="26" s="1"/>
  <c r="J75" i="26" l="1"/>
  <c r="K74" i="26"/>
  <c r="J69" i="26"/>
  <c r="J67" i="26"/>
  <c r="J66" i="26"/>
  <c r="J68" i="26" s="1"/>
  <c r="K52" i="26"/>
  <c r="J53" i="26"/>
  <c r="K72" i="26"/>
  <c r="J73" i="26"/>
  <c r="K49" i="26"/>
  <c r="K47" i="26"/>
  <c r="K46" i="26"/>
  <c r="J48" i="26"/>
  <c r="K48" i="26" s="1"/>
  <c r="R42" i="26"/>
  <c r="Q44" i="26"/>
  <c r="Q45" i="26" s="1"/>
  <c r="Q51" i="26" s="1"/>
  <c r="M54" i="26"/>
  <c r="L55" i="26"/>
  <c r="L49" i="26" l="1"/>
  <c r="L46" i="26"/>
  <c r="L48" i="26" s="1"/>
  <c r="L47" i="26"/>
  <c r="K69" i="26"/>
  <c r="K67" i="26"/>
  <c r="K66" i="26"/>
  <c r="K68" i="26" s="1"/>
  <c r="N54" i="26"/>
  <c r="M55" i="26"/>
  <c r="L72" i="26"/>
  <c r="K73" i="26"/>
  <c r="L74" i="26"/>
  <c r="K75" i="26"/>
  <c r="S42" i="26"/>
  <c r="R44" i="26"/>
  <c r="R45" i="26" s="1"/>
  <c r="R51" i="26" s="1"/>
  <c r="L52" i="26"/>
  <c r="K53" i="26"/>
  <c r="L69" i="26" l="1"/>
  <c r="L67" i="26"/>
  <c r="L66" i="26"/>
  <c r="L68" i="26" s="1"/>
  <c r="M74" i="26"/>
  <c r="L75" i="26"/>
  <c r="T42" i="26"/>
  <c r="S44" i="26"/>
  <c r="S45" i="26" s="1"/>
  <c r="S51" i="26" s="1"/>
  <c r="L73" i="26"/>
  <c r="M72" i="26"/>
  <c r="M49" i="26"/>
  <c r="M47" i="26"/>
  <c r="M46" i="26"/>
  <c r="M48" i="26" s="1"/>
  <c r="L53" i="26"/>
  <c r="M52" i="26"/>
  <c r="O54" i="26"/>
  <c r="N55" i="26"/>
  <c r="Z23" i="26" s="1"/>
  <c r="N74" i="26" l="1"/>
  <c r="M75" i="26"/>
  <c r="N49" i="26"/>
  <c r="N46" i="26"/>
  <c r="N48" i="26" s="1"/>
  <c r="N47" i="26"/>
  <c r="M73" i="26"/>
  <c r="N72" i="26"/>
  <c r="P54" i="26"/>
  <c r="O55" i="26"/>
  <c r="M69" i="26"/>
  <c r="M67" i="26"/>
  <c r="M66" i="26"/>
  <c r="M68" i="26" s="1"/>
  <c r="M53" i="26"/>
  <c r="N52" i="26"/>
  <c r="U42" i="26"/>
  <c r="T44" i="26"/>
  <c r="T45" i="26" s="1"/>
  <c r="T51" i="26" s="1"/>
  <c r="N53" i="26" l="1"/>
  <c r="Z21" i="26" s="1"/>
  <c r="Z22" i="26" s="1"/>
  <c r="O52" i="26"/>
  <c r="O49" i="26"/>
  <c r="O47" i="26"/>
  <c r="O46" i="26"/>
  <c r="O48" i="26" s="1"/>
  <c r="N69" i="26"/>
  <c r="N67" i="26"/>
  <c r="N66" i="26"/>
  <c r="N68" i="26" s="1"/>
  <c r="O74" i="26"/>
  <c r="N75" i="26"/>
  <c r="AB23" i="26" s="1"/>
  <c r="P55" i="26"/>
  <c r="Q54" i="26"/>
  <c r="V42" i="26"/>
  <c r="U44" i="26"/>
  <c r="U45" i="26" s="1"/>
  <c r="U51" i="26" s="1"/>
  <c r="N73" i="26"/>
  <c r="AB21" i="26" s="1"/>
  <c r="AB22" i="26" s="1"/>
  <c r="O72" i="26"/>
  <c r="O69" i="26" l="1"/>
  <c r="O67" i="26"/>
  <c r="O66" i="26"/>
  <c r="O68" i="26" s="1"/>
  <c r="W42" i="26"/>
  <c r="V44" i="26"/>
  <c r="V45" i="26" s="1"/>
  <c r="V51" i="26" s="1"/>
  <c r="Q55" i="26"/>
  <c r="R54" i="26"/>
  <c r="P49" i="26"/>
  <c r="P46" i="26"/>
  <c r="P48" i="26" s="1"/>
  <c r="P47" i="26"/>
  <c r="O53" i="26"/>
  <c r="P52" i="26"/>
  <c r="P74" i="26"/>
  <c r="O75" i="26"/>
  <c r="P72" i="26"/>
  <c r="O73" i="26"/>
  <c r="Q52" i="26" l="1"/>
  <c r="P53" i="26"/>
  <c r="X42" i="26"/>
  <c r="W44" i="26"/>
  <c r="W45" i="26" s="1"/>
  <c r="W51" i="26" s="1"/>
  <c r="P75" i="26"/>
  <c r="Q74" i="26"/>
  <c r="P69" i="26"/>
  <c r="P67" i="26"/>
  <c r="P66" i="26"/>
  <c r="P68" i="26" s="1"/>
  <c r="Q49" i="26"/>
  <c r="Q46" i="26"/>
  <c r="Q48" i="26" s="1"/>
  <c r="Q47" i="26"/>
  <c r="Q72" i="26"/>
  <c r="P73" i="26"/>
  <c r="R55" i="26"/>
  <c r="S54" i="26"/>
  <c r="Q75" i="26" l="1"/>
  <c r="R74" i="26"/>
  <c r="R72" i="26"/>
  <c r="Q73" i="26"/>
  <c r="Y42" i="26"/>
  <c r="X44" i="26"/>
  <c r="X45" i="26" s="1"/>
  <c r="X51" i="26" s="1"/>
  <c r="R49" i="26"/>
  <c r="R46" i="26"/>
  <c r="R48" i="26" s="1"/>
  <c r="R47" i="26"/>
  <c r="R52" i="26"/>
  <c r="Q53" i="26"/>
  <c r="S55" i="26"/>
  <c r="T54" i="26"/>
  <c r="Q69" i="26"/>
  <c r="Q67" i="26"/>
  <c r="Q66" i="26"/>
  <c r="Q68" i="26" s="1"/>
  <c r="Z42" i="26" l="1"/>
  <c r="Y44" i="26"/>
  <c r="Y45" i="26" s="1"/>
  <c r="Y51" i="26" s="1"/>
  <c r="S72" i="26"/>
  <c r="R73" i="26"/>
  <c r="R69" i="26"/>
  <c r="R67" i="26"/>
  <c r="R66" i="26"/>
  <c r="R68" i="26" s="1"/>
  <c r="S52" i="26"/>
  <c r="R53" i="26"/>
  <c r="R75" i="26"/>
  <c r="S74" i="26"/>
  <c r="U54" i="26"/>
  <c r="T55" i="26"/>
  <c r="S49" i="26"/>
  <c r="S46" i="26"/>
  <c r="S48" i="26" s="1"/>
  <c r="S47" i="26"/>
  <c r="T49" i="26" l="1"/>
  <c r="T46" i="26"/>
  <c r="T48" i="26" s="1"/>
  <c r="T47" i="26"/>
  <c r="V54" i="26"/>
  <c r="U55" i="26"/>
  <c r="T74" i="26"/>
  <c r="S75" i="26"/>
  <c r="T72" i="26"/>
  <c r="S73" i="26"/>
  <c r="AA42" i="26"/>
  <c r="Z44" i="26"/>
  <c r="Z45" i="26" s="1"/>
  <c r="Z51" i="26" s="1"/>
  <c r="S69" i="26"/>
  <c r="S67" i="26"/>
  <c r="S66" i="26"/>
  <c r="S68" i="26" s="1"/>
  <c r="T52" i="26"/>
  <c r="S53" i="26"/>
  <c r="U74" i="26" l="1"/>
  <c r="T75" i="26"/>
  <c r="W54" i="26"/>
  <c r="V55" i="26"/>
  <c r="AB42" i="26"/>
  <c r="AA44" i="26"/>
  <c r="AA45" i="26" s="1"/>
  <c r="AA51" i="26" s="1"/>
  <c r="U49" i="26"/>
  <c r="U46" i="26"/>
  <c r="U48" i="26" s="1"/>
  <c r="U47" i="26"/>
  <c r="T73" i="26"/>
  <c r="U72" i="26"/>
  <c r="T69" i="26"/>
  <c r="T67" i="26"/>
  <c r="T66" i="26"/>
  <c r="T68" i="26" s="1"/>
  <c r="T53" i="26"/>
  <c r="U52" i="26"/>
  <c r="AC42" i="26" l="1"/>
  <c r="AB44" i="26"/>
  <c r="AB45" i="26" s="1"/>
  <c r="AB51" i="26" s="1"/>
  <c r="U73" i="26"/>
  <c r="V72" i="26"/>
  <c r="X54" i="26"/>
  <c r="W55" i="26"/>
  <c r="V74" i="26"/>
  <c r="U75" i="26"/>
  <c r="U69" i="26"/>
  <c r="U67" i="26"/>
  <c r="U66" i="26"/>
  <c r="U68" i="26" s="1"/>
  <c r="U53" i="26"/>
  <c r="V52" i="26"/>
  <c r="V49" i="26"/>
  <c r="V47" i="26"/>
  <c r="V46" i="26"/>
  <c r="V48" i="26" s="1"/>
  <c r="V73" i="26" l="1"/>
  <c r="W72" i="26"/>
  <c r="W49" i="26"/>
  <c r="W47" i="26"/>
  <c r="W46" i="26"/>
  <c r="W48" i="26" s="1"/>
  <c r="X55" i="26"/>
  <c r="Y54" i="26"/>
  <c r="V69" i="26"/>
  <c r="V67" i="26"/>
  <c r="V66" i="26"/>
  <c r="V68" i="26" s="1"/>
  <c r="AD42" i="26"/>
  <c r="AC44" i="26"/>
  <c r="AC45" i="26" s="1"/>
  <c r="AC51" i="26" s="1"/>
  <c r="V53" i="26"/>
  <c r="W52" i="26"/>
  <c r="W74" i="26"/>
  <c r="V75" i="26"/>
  <c r="W53" i="26" l="1"/>
  <c r="X52" i="26"/>
  <c r="X49" i="26"/>
  <c r="X46" i="26"/>
  <c r="X48" i="26" s="1"/>
  <c r="X47" i="26"/>
  <c r="X72" i="26"/>
  <c r="W73" i="26"/>
  <c r="AE42" i="26"/>
  <c r="AD44" i="26"/>
  <c r="AD45" i="26" s="1"/>
  <c r="AD51" i="26" s="1"/>
  <c r="W69" i="26"/>
  <c r="W67" i="26"/>
  <c r="W66" i="26"/>
  <c r="W68" i="26" s="1"/>
  <c r="X74" i="26"/>
  <c r="W75" i="26"/>
  <c r="Y55" i="26"/>
  <c r="Z54" i="26"/>
  <c r="Y72" i="26" l="1"/>
  <c r="X73" i="26"/>
  <c r="Y49" i="26"/>
  <c r="Y46" i="26"/>
  <c r="Y48" i="26" s="1"/>
  <c r="Y47" i="26"/>
  <c r="Y52" i="26"/>
  <c r="X53" i="26"/>
  <c r="X75" i="26"/>
  <c r="Y74" i="26"/>
  <c r="AF42" i="26"/>
  <c r="AE44" i="26"/>
  <c r="AE45" i="26" s="1"/>
  <c r="AE51" i="26" s="1"/>
  <c r="X69" i="26"/>
  <c r="X67" i="26"/>
  <c r="X66" i="26"/>
  <c r="X68" i="26" s="1"/>
  <c r="Z55" i="26"/>
  <c r="AA54" i="26"/>
  <c r="Z49" i="26" l="1"/>
  <c r="Z47" i="26"/>
  <c r="Z46" i="26"/>
  <c r="Z48" i="26" s="1"/>
  <c r="AG42" i="26"/>
  <c r="AF44" i="26"/>
  <c r="AF45" i="26" s="1"/>
  <c r="AF51" i="26" s="1"/>
  <c r="Y75" i="26"/>
  <c r="Z74" i="26"/>
  <c r="Z72" i="26"/>
  <c r="Y73" i="26"/>
  <c r="Y69" i="26"/>
  <c r="Y67" i="26"/>
  <c r="Y66" i="26"/>
  <c r="Y68" i="26" s="1"/>
  <c r="AA55" i="26"/>
  <c r="AB54" i="26"/>
  <c r="Z52" i="26"/>
  <c r="Y53" i="26"/>
  <c r="Z69" i="26" l="1"/>
  <c r="Z67" i="26"/>
  <c r="Z66" i="26"/>
  <c r="Z68" i="26" s="1"/>
  <c r="AA49" i="26"/>
  <c r="AA46" i="26"/>
  <c r="AA48" i="26" s="1"/>
  <c r="AA47" i="26"/>
  <c r="AA72" i="26"/>
  <c r="Z73" i="26"/>
  <c r="AC54" i="26"/>
  <c r="AB55" i="26"/>
  <c r="AH42" i="26"/>
  <c r="AH44" i="26" s="1"/>
  <c r="AH45" i="26" s="1"/>
  <c r="AH51" i="26" s="1"/>
  <c r="AG44" i="26"/>
  <c r="AG45" i="26" s="1"/>
  <c r="AG51" i="26" s="1"/>
  <c r="AA52" i="26"/>
  <c r="Z53" i="26"/>
  <c r="Z75" i="26"/>
  <c r="AA74" i="26"/>
  <c r="AB52" i="26" l="1"/>
  <c r="AA53" i="26"/>
  <c r="AD54" i="26"/>
  <c r="AC55" i="26"/>
  <c r="AA69" i="26"/>
  <c r="AA67" i="26"/>
  <c r="AA66" i="26"/>
  <c r="AA68" i="26" s="1"/>
  <c r="AB74" i="26"/>
  <c r="AA75" i="26"/>
  <c r="AB49" i="26"/>
  <c r="AB46" i="26"/>
  <c r="AB48" i="26" s="1"/>
  <c r="AB47" i="26"/>
  <c r="AB72" i="26"/>
  <c r="AA73" i="26"/>
  <c r="AE54" i="26" l="1"/>
  <c r="AD55" i="26"/>
  <c r="AB69" i="26"/>
  <c r="AB67" i="26"/>
  <c r="AB66" i="26"/>
  <c r="AB68" i="26" s="1"/>
  <c r="AC49" i="26"/>
  <c r="AC46" i="26"/>
  <c r="AC48" i="26" s="1"/>
  <c r="AC47" i="26"/>
  <c r="AB73" i="26"/>
  <c r="AC72" i="26"/>
  <c r="AB53" i="26"/>
  <c r="AC52" i="26"/>
  <c r="AC74" i="26"/>
  <c r="AB75" i="26"/>
  <c r="AD74" i="26" l="1"/>
  <c r="AC75" i="26"/>
  <c r="AC69" i="26"/>
  <c r="AC67" i="26"/>
  <c r="AC66" i="26"/>
  <c r="AC68" i="26" s="1"/>
  <c r="AC73" i="26"/>
  <c r="AD72" i="26"/>
  <c r="AC53" i="26"/>
  <c r="AD52" i="26"/>
  <c r="AF54" i="26"/>
  <c r="AE55" i="26"/>
  <c r="AD49" i="26"/>
  <c r="AD46" i="26"/>
  <c r="AD48" i="26" s="1"/>
  <c r="AD47" i="26"/>
  <c r="AD69" i="26" l="1"/>
  <c r="AD67" i="26"/>
  <c r="AD66" i="26"/>
  <c r="AD68" i="26" s="1"/>
  <c r="AE49" i="26"/>
  <c r="AE47" i="26"/>
  <c r="AE46" i="26"/>
  <c r="AE48" i="26" s="1"/>
  <c r="AE74" i="26"/>
  <c r="AD75" i="26"/>
  <c r="AF55" i="26"/>
  <c r="AG54" i="26"/>
  <c r="AD53" i="26"/>
  <c r="AE52" i="26"/>
  <c r="AD73" i="26"/>
  <c r="AE72" i="26"/>
  <c r="AF72" i="26" l="1"/>
  <c r="AE73" i="26"/>
  <c r="AE53" i="26"/>
  <c r="AF52" i="26"/>
  <c r="AG55" i="26"/>
  <c r="AH54" i="26"/>
  <c r="AH55" i="26" s="1"/>
  <c r="AE69" i="26"/>
  <c r="AE67" i="26"/>
  <c r="AE66" i="26"/>
  <c r="AE68" i="26" s="1"/>
  <c r="AF49" i="26"/>
  <c r="AF46" i="26"/>
  <c r="AF48" i="26" s="1"/>
  <c r="AF47" i="26"/>
  <c r="AF74" i="26"/>
  <c r="AE75" i="26"/>
  <c r="AG52" i="26" l="1"/>
  <c r="AF53" i="26"/>
  <c r="AF75" i="26"/>
  <c r="AG74" i="26"/>
  <c r="AG49" i="26"/>
  <c r="AG47" i="26"/>
  <c r="AG46" i="26"/>
  <c r="AG48" i="26" s="1"/>
  <c r="AG72" i="26"/>
  <c r="AF73" i="26"/>
  <c r="AF69" i="26"/>
  <c r="AF67" i="26"/>
  <c r="AF66" i="26"/>
  <c r="AF68" i="26" s="1"/>
  <c r="AG75" i="26" l="1"/>
  <c r="AH74" i="26"/>
  <c r="AH75" i="26" s="1"/>
  <c r="AH52" i="26"/>
  <c r="AH53" i="26" s="1"/>
  <c r="AG53" i="26"/>
  <c r="AG69" i="26"/>
  <c r="AG67" i="26"/>
  <c r="AG66" i="26"/>
  <c r="AG68" i="26" s="1"/>
  <c r="AH72" i="26"/>
  <c r="AH73" i="26" s="1"/>
  <c r="AG73" i="26"/>
  <c r="AH49" i="26"/>
  <c r="AH47" i="26"/>
  <c r="AH46" i="26"/>
  <c r="AH48" i="26" s="1"/>
  <c r="AH69" i="26" l="1"/>
  <c r="AH67" i="26"/>
  <c r="AH66" i="26"/>
  <c r="AH68" i="2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tc={6B8CDA19-9326-4A20-9CE2-B09ED811280E}</author>
    <author>tc={5C1D27B6-B190-4C1E-8366-9D35209D22B7}</author>
    <author>tc={0D97DDC2-D97F-4AA6-963E-FD107CFECAC6}</author>
    <author>tc={BBCABEB9-BEBC-4F8D-8788-94C50C4A6728}</author>
    <author>tc={52DCD211-2910-40D9-AAB6-F5B4B658D367}</author>
    <author>tc={5D644309-731B-484E-A4CE-DBE45E10B1EE}</author>
    <author>tc={97AD52C0-5D98-4CB6-A623-5A62BFBD071E}</author>
    <author>tc={BF05D81E-F5C3-4166-8A4B-0F7486605FBE}</author>
    <author>tc={18BCBEE1-81A5-40DC-9ACC-DF22E80521DC}</author>
    <author>tc={E7C10B32-DEE2-417E-BAB1-F927BFBE4043}</author>
    <author>tc={84426527-AEDF-4E8B-AD33-50BD105D32A5}</author>
    <author>tc={B83EB97F-41F8-48D0-B5A8-860420BE57AD}</author>
    <author>tc={7073DC21-906A-4B08-A113-4F605EA5C88F}</author>
    <author>tc={13A55F01-5AE3-45B4-99AB-303B2A093FC0}</author>
  </authors>
  <commentList>
    <comment ref="N8" authorId="0" shapeId="0" xr:uid="{6B8CDA19-9326-4A20-9CE2-B09ED811280E}">
      <text>
        <t xml:space="preserve">[Threaded comment]
Your version of Excel allows you to read this threaded comment; however, any edits to it will get removed if the file is opened in a newer version of Excel. Learn more: https://go.microsoft.com/fwlink/?linkid=870924
Comment:
    Allowance for miss in estimate of maximum average kW/cab - actual densities being lower than the input here.  Range for uncertainty can be 0%-50%
</t>
      </text>
    </comment>
    <comment ref="AB15" authorId="1" shapeId="0" xr:uid="{5C1D27B6-B190-4C1E-8366-9D35209D22B7}">
      <text>
        <t>[Threaded comment]
Your version of Excel allows you to read this threaded comment; however, any edits to it will get removed if the file is opened in a newer version of Excel. Learn more: https://go.microsoft.com/fwlink/?linkid=870924
Comment:
    @Doug Asay Please check formulas</t>
      </text>
    </comment>
    <comment ref="C20" authorId="2" shapeId="0" xr:uid="{0D97DDC2-D97F-4AA6-963E-FD107CFECAC6}">
      <text>
        <t>[Threaded comment]
Your version of Excel allows you to read this threaded comment; however, any edits to it will get removed if the file is opened in a newer version of Excel. Learn more: https://go.microsoft.com/fwlink/?linkid=870924
Comment:
    Single PUE number is used instead of average PUE, peak PUE, true PUE, etc. for simplicity at the moment.  Will need to add those distinctions in the future.</t>
      </text>
    </comment>
    <comment ref="Z20" authorId="3" shapeId="0" xr:uid="{BBCABEB9-BEBC-4F8D-8788-94C50C4A6728}">
      <text>
        <t xml:space="preserve">[Threaded comment]
Your version of Excel allows you to read this threaded comment; however, any edits to it will get removed if the file is opened in a newer version of Excel. Learn more: https://go.microsoft.com/fwlink/?linkid=870924
Comment:
    Based on derived formula on sheet ‘REF Capex Comparison’
</t>
      </text>
    </comment>
    <comment ref="AB20" authorId="4" shapeId="0" xr:uid="{52DCD211-2910-40D9-AAB6-F5B4B658D367}">
      <text>
        <t xml:space="preserve">[Threaded comment]
Your version of Excel allows you to read this threaded comment; however, any edits to it will get removed if the file is opened in a newer version of Excel. Learn more: https://go.microsoft.com/fwlink/?linkid=870924
Comment:
    Based on derived formula on sheet ‘REF Capex Comparison’.  Based on earlier research indicating that for new construction, for the same IT power liquid cooling capes costs are likely to be same or lower than for air cooling, with liquid cooling being greater in power density.
</t>
      </text>
    </comment>
    <comment ref="C23" authorId="5" shapeId="0" xr:uid="{5D644309-731B-484E-A4CE-DBE45E10B1EE}">
      <text>
        <t>[Threaded comment]
Your version of Excel allows you to read this threaded comment; however, any edits to it will get removed if the file is opened in a newer version of Excel. Learn more: https://go.microsoft.com/fwlink/?linkid=870924
Comment:
    True PUE includes server fan power as part of cooling plant power consumption.  We assume a 0.1 average contribution toward PUE, here which can be verified further and revised.
Reply:
    See description on REF TUE Description tab</t>
      </text>
    </comment>
    <comment ref="M28" authorId="6" shapeId="0" xr:uid="{97AD52C0-5D98-4CB6-A623-5A62BFBD071E}">
      <text>
        <t xml:space="preserve">[Threaded comment]
Your version of Excel allows you to read this threaded comment; however, any edits to it will get removed if the file is opened in a newer version of Excel. Learn more: https://go.microsoft.com/fwlink/?linkid=870924
Comment:
    This assumption needs to be verified.  MEP space is likely to increase with cabinet power density, whereas liquid cooling is likely to offer MEP space savings over air cooling.  </t>
      </text>
    </comment>
    <comment ref="G29" authorId="7" shapeId="0" xr:uid="{BF05D81E-F5C3-4166-8A4B-0F7486605FBE}">
      <text>
        <t xml:space="preserve">[Threaded comment]
Your version of Excel allows you to read this threaded comment; however, any edits to it will get removed if the file is opened in a newer version of Excel. Learn more: https://go.microsoft.com/fwlink/?linkid=870924
Comment:
    Typically zero for air cooling
</t>
      </text>
    </comment>
    <comment ref="M29" authorId="8" shapeId="0" xr:uid="{18BCBEE1-81A5-40DC-9ACC-DF22E80521DC}">
      <text>
        <t xml:space="preserve">[Threaded comment]
Your version of Excel allows you to read this threaded comment; however, any edits to it will get removed if the file is opened in a newer version of Excel. Learn more: https://go.microsoft.com/fwlink/?linkid=870924
Comment:
    Heat recovery for various uses such as district heating, domestic hot water, greenhouses, water purification, etc., can be significant due to high grade (&gt;60℃) heat available from heat rejection.
More reuse opportunities exist in colder climates.
</t>
      </text>
    </comment>
    <comment ref="M33" authorId="9" shapeId="0" xr:uid="{E7C10B32-DEE2-417E-BAB1-F927BFBE4043}">
      <text>
        <t>[Threaded comment]
Your version of Excel allows you to read this threaded comment; however, any edits to it will get removed if the file is opened in a newer version of Excel. Learn more: https://go.microsoft.com/fwlink/?linkid=870924
Comment:
    Assuming that there is no variation in pricing between air cooled and liquid cooled cabinets per kW.</t>
      </text>
    </comment>
    <comment ref="C41" authorId="10" shapeId="0" xr:uid="{84426527-AEDF-4E8B-AD33-50BD105D32A5}">
      <text>
        <t>[Threaded comment]
Your version of Excel allows you to read this threaded comment; however, any edits to it will get removed if the file is opened in a newer version of Excel. Learn more: https://go.microsoft.com/fwlink/?linkid=870924
Comment:
    Expected power density is for a refresh or new cabinet installed during a particular calendar year</t>
      </text>
    </comment>
    <comment ref="C42" authorId="11" shapeId="0" xr:uid="{B83EB97F-41F8-48D0-B5A8-860420BE57AD}">
      <text>
        <t>[Threaded comment]
Your version of Excel allows you to read this threaded comment; however, any edits to it will get removed if the file is opened in a newer version of Excel. Learn more: https://go.microsoft.com/fwlink/?linkid=870924
Comment:
    Expected power density is for a refresh or new cabinet installed during a particular calendar year</t>
      </text>
    </comment>
    <comment ref="C61" authorId="12" shapeId="0" xr:uid="{7073DC21-906A-4B08-A113-4F605EA5C88F}">
      <text>
        <t>[Threaded comment]
Your version of Excel allows you to read this threaded comment; however, any edits to it will get removed if the file is opened in a newer version of Excel. Learn more: https://go.microsoft.com/fwlink/?linkid=870924
Comment:
    Expected power density is for a refresh or new cabinet installed during a particular calendar year</t>
      </text>
    </comment>
    <comment ref="C62" authorId="13" shapeId="0" xr:uid="{13A55F01-5AE3-45B4-99AB-303B2A093FC0}">
      <text>
        <t>[Threaded comment]
Your version of Excel allows you to read this threaded comment; however, any edits to it will get removed if the file is opened in a newer version of Excel. Learn more: https://go.microsoft.com/fwlink/?linkid=870924
Comment:
    Expected power density is for a refresh or new cabinet installed during a particular calendar year</t>
      </text>
    </comment>
  </commentList>
</comments>
</file>

<file path=xl/sharedStrings.xml><?xml version="1.0" encoding="utf-8"?>
<sst xmlns="http://schemas.openxmlformats.org/spreadsheetml/2006/main" count="258" uniqueCount="121">
  <si>
    <t>MW</t>
  </si>
  <si>
    <t>GHG Emissions, Scope 1</t>
  </si>
  <si>
    <t>mtCO2e</t>
  </si>
  <si>
    <t>GHG Emissions, Scope 2 (market-based)</t>
  </si>
  <si>
    <t>Carbon Offset Against Local Grid Power</t>
  </si>
  <si>
    <t>WUE</t>
  </si>
  <si>
    <t>%</t>
  </si>
  <si>
    <t>kW/Cabinet</t>
  </si>
  <si>
    <t xml:space="preserve"> </t>
  </si>
  <si>
    <t>Peak PUE</t>
  </si>
  <si>
    <t>Average PUE</t>
  </si>
  <si>
    <t>Input</t>
  </si>
  <si>
    <t>Output</t>
  </si>
  <si>
    <t>Typical location</t>
  </si>
  <si>
    <t>Average annual PUE</t>
  </si>
  <si>
    <t>Heat rejection (Water or Air)</t>
  </si>
  <si>
    <t>% Heat recovery and reuse</t>
  </si>
  <si>
    <t>Net water metrics</t>
  </si>
  <si>
    <t>Singapore</t>
  </si>
  <si>
    <t>Air Cooled</t>
  </si>
  <si>
    <t>Liquid Cooled</t>
  </si>
  <si>
    <t>Air Cooled Cabinets</t>
  </si>
  <si>
    <t xml:space="preserve">Combined </t>
  </si>
  <si>
    <t>Connected Load*</t>
  </si>
  <si>
    <t>Set 1</t>
  </si>
  <si>
    <t>Year of Life</t>
  </si>
  <si>
    <t>Calendar Year</t>
  </si>
  <si>
    <t>Mk2</t>
  </si>
  <si>
    <t>Mk2 Modified</t>
  </si>
  <si>
    <t>Start Year of Life</t>
  </si>
  <si>
    <t>Total Life</t>
  </si>
  <si>
    <t>Air</t>
  </si>
  <si>
    <t>Cabinet ramp to 100%, years</t>
  </si>
  <si>
    <t>Max. Average kW/cab</t>
  </si>
  <si>
    <t>B</t>
  </si>
  <si>
    <t>Connected IT load</t>
  </si>
  <si>
    <t>Water</t>
  </si>
  <si>
    <t>Heat Rejection</t>
  </si>
  <si>
    <t>Max. kW/cab (any given cab)</t>
  </si>
  <si>
    <t>Min. kW/cab</t>
  </si>
  <si>
    <t>Max. IT Load, MW</t>
  </si>
  <si>
    <t>Max. number of cabinets</t>
  </si>
  <si>
    <t>Years to go from Min. to Max.kW/cab</t>
  </si>
  <si>
    <t>Installed Cabinets</t>
  </si>
  <si>
    <t>Newly installed cabinets</t>
  </si>
  <si>
    <t>Cabinet refresh x% of installed cabinets</t>
  </si>
  <si>
    <t>New+Refresh</t>
  </si>
  <si>
    <t>Combined Ave.</t>
  </si>
  <si>
    <t>No. of cabinets refreshed</t>
  </si>
  <si>
    <t>Total load</t>
  </si>
  <si>
    <t>Net space per Cabinet, SF</t>
  </si>
  <si>
    <t>Gross space per Cabinet, SF</t>
  </si>
  <si>
    <t>Gross MEP space per Cabinet, SF</t>
  </si>
  <si>
    <t>Air cooled optimized</t>
  </si>
  <si>
    <t>Annual power use, MWH</t>
  </si>
  <si>
    <t>Relative Carbon metrics - Scope 3</t>
  </si>
  <si>
    <t>ratio</t>
  </si>
  <si>
    <t>Annual (local) water use for cooling</t>
  </si>
  <si>
    <t>m3 per year</t>
  </si>
  <si>
    <t>l/kWH</t>
  </si>
  <si>
    <t>&lt;--WCC</t>
  </si>
  <si>
    <t>WCC/ACC/Heat pump</t>
  </si>
  <si>
    <t>&lt;--ACC or Heat recovery heat pump</t>
  </si>
  <si>
    <t>Heat recovery &amp; reuse %</t>
  </si>
  <si>
    <t>annual basis</t>
  </si>
  <si>
    <t>KSF</t>
  </si>
  <si>
    <t>Net space for all cabinets</t>
  </si>
  <si>
    <t>Gross space for all cabinets</t>
  </si>
  <si>
    <t>Gross MEP space of data center</t>
  </si>
  <si>
    <t>Air cooled %, Max.</t>
  </si>
  <si>
    <t>Air cooled %, Min.</t>
  </si>
  <si>
    <t>(100% offset)</t>
  </si>
  <si>
    <t>Uncertainty</t>
  </si>
  <si>
    <t>Approximate capex</t>
  </si>
  <si>
    <t>$M</t>
  </si>
  <si>
    <t>Total data center area</t>
  </si>
  <si>
    <t>$/kWH</t>
  </si>
  <si>
    <t>Average power cost, year 1 in $/kWH</t>
  </si>
  <si>
    <t>Energy cost</t>
  </si>
  <si>
    <t>Energy unit cost</t>
  </si>
  <si>
    <t>$ M</t>
  </si>
  <si>
    <t>Energy cost first 10 years</t>
  </si>
  <si>
    <t>Capex + energy cost first 10 years</t>
  </si>
  <si>
    <t>Revenue per kW/month, year 1 in $</t>
  </si>
  <si>
    <t>Revenue escalation per year</t>
  </si>
  <si>
    <t>$/kW/month</t>
  </si>
  <si>
    <t>Revenue</t>
  </si>
  <si>
    <t>Unit revenue</t>
  </si>
  <si>
    <t>Include = 'Y'; do not include = "N"</t>
  </si>
  <si>
    <t>Y</t>
  </si>
  <si>
    <t>Revenue first 10 years</t>
  </si>
  <si>
    <t>Input slider</t>
  </si>
  <si>
    <t>Max.</t>
  </si>
  <si>
    <t>Min.</t>
  </si>
  <si>
    <t>air cooled</t>
  </si>
  <si>
    <t>liquid cooled</t>
  </si>
  <si>
    <t>% of above used for water purification</t>
  </si>
  <si>
    <r>
      <t xml:space="preserve">Optimized for Air cooling, with min. hybrid cooling </t>
    </r>
    <r>
      <rPr>
        <b/>
        <sz val="12"/>
        <color rgb="FFFF0000"/>
        <rFont val="Calibri (Body)"/>
      </rPr>
      <t>(Current)</t>
    </r>
  </si>
  <si>
    <r>
      <t>Optimized for liquid cooling, with min. air cooling</t>
    </r>
    <r>
      <rPr>
        <b/>
        <sz val="12"/>
        <color rgb="FFFF0000"/>
        <rFont val="Calibri (Body)"/>
      </rPr>
      <t xml:space="preserve"> (Proposed)</t>
    </r>
  </si>
  <si>
    <t>Years to go from Max. to Min. air cooled cab %</t>
  </si>
  <si>
    <t>vs.</t>
  </si>
  <si>
    <t>A</t>
  </si>
  <si>
    <t>Mk2 Optimized for mostly Air cooled cabinets</t>
  </si>
  <si>
    <t>Years after Opening</t>
  </si>
  <si>
    <t>Mk2 modified and optimized for Liquid cooled cabinets</t>
  </si>
  <si>
    <t xml:space="preserve">Output graphic formats should strive to show the impact of variations on input in a dynamic fashion.  </t>
  </si>
  <si>
    <t>Side-by-side comparisons can be good.  Year by year change to output parameters in a time-lapse fashion may be interesting.</t>
  </si>
  <si>
    <t>Let us discuss once all of us are aligned on content and accuracy.</t>
  </si>
  <si>
    <t>Only Set 1 is included.  Depending on how long programming Set 1 takes, we can decide when to take on Sets 2 and 3.  Maybe next year!</t>
  </si>
  <si>
    <t>(Lookup table)</t>
  </si>
  <si>
    <t>Power cost escalation per year</t>
  </si>
  <si>
    <t>Annual PUE</t>
  </si>
  <si>
    <t>Annual TUE</t>
  </si>
  <si>
    <t>Server Fan Power (kW Fan/kW IT)</t>
  </si>
  <si>
    <t>Average annual TUE (server fan power added to cooling power)</t>
  </si>
  <si>
    <t>Mk2 (current design)</t>
  </si>
  <si>
    <t>Total load (MW)</t>
  </si>
  <si>
    <t>Energy cost ($M)</t>
  </si>
  <si>
    <t>Revenue ($M)</t>
  </si>
  <si>
    <t>Year</t>
  </si>
  <si>
    <t>Average TUE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</si>
</sst>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3">
    <numFmt numFmtId="44" formatCode="_(&quot;$&quot;* #,##0.00_);_(&quot;$&quot;* \(#,##0.00\);_(&quot;$&quot;* &quot;-&quot;??_);_(@_)"/>
    <numFmt numFmtId="164" formatCode="0.0"/>
    <numFmt numFmtId="165" formatCode="0.00%;\-0.00%;0.00%"/>
    <numFmt numFmtId="166" formatCode="_-[$€-2]* #,##0.00_-;\-[$€-2]* #,##0.00_-;_-[$€-2]* &quot;-&quot;??_-"/>
    <numFmt numFmtId="167" formatCode="&quot;$&quot;0.00\ &quot;/kWH&quot;"/>
    <numFmt numFmtId="168" formatCode="&quot;$&quot;#,###&quot;/SF&quot;"/>
    <numFmt numFmtId="169" formatCode="&quot;$&quot;#,###\ &quot;/Ton&quot;"/>
    <numFmt numFmtId="170" formatCode="&quot;±&quot;\ ##0"/>
    <numFmt numFmtId="171" formatCode="&quot;±&quot;\ ##0&quot;°F&quot;"/>
    <numFmt numFmtId="172" formatCode="##0\ &quot;+/-2°F&quot;"/>
    <numFmt numFmtId="173" formatCode="##0.00&quot;°F&quot;"/>
    <numFmt numFmtId="174" formatCode="#,##0.0\ &quot;Amps&quot;"/>
    <numFmt numFmtId="175" formatCode="##0.0\ &quot;BHP&quot;"/>
    <numFmt numFmtId="176" formatCode="#,##0\ &quot;BTU&quot;"/>
    <numFmt numFmtId="177" formatCode="#,##0\ &quot;BTU/Hr&quot;"/>
    <numFmt numFmtId="178" formatCode="0.00\ &quot;BTU/Hr-°F-SF&quot;"/>
    <numFmt numFmtId="179" formatCode="#,##0\ &quot;BTU/Lb&quot;"/>
    <numFmt numFmtId="180" formatCode="#,##0\ &quot;CFH&quot;"/>
    <numFmt numFmtId="181" formatCode="#,##0\ &quot;CFM&quot;"/>
    <numFmt numFmtId="182" formatCode="#,##0.00\ &quot;CFM/SF&quot;"/>
    <numFmt numFmtId="183" formatCode="[$-409]d\-mmm\-yy;@"/>
    <numFmt numFmtId="184" formatCode="##0.00\ &quot;EFF&quot;"/>
    <numFmt numFmtId="185" formatCode="##0\ &quot;FLA&quot;"/>
    <numFmt numFmtId="186" formatCode="#,##0\ &quot;FPM&quot;"/>
    <numFmt numFmtId="187" formatCode="#,##0&quot; FT&quot;"/>
    <numFmt numFmtId="188" formatCode="#,##0\ &quot;SF&quot;"/>
    <numFmt numFmtId="189" formatCode="#,##0\ &quot;CF&quot;"/>
    <numFmt numFmtId="190" formatCode="#,##0\ &quot;Gal&quot;"/>
    <numFmt numFmtId="191" formatCode="#,##0\ &quot;GPH&quot;"/>
    <numFmt numFmtId="192" formatCode="#,##0\ &quot;GPM&quot;"/>
    <numFmt numFmtId="193" formatCode="##0.0\ &quot;HP&quot;"/>
    <numFmt numFmtId="194" formatCode="##0.000\ &quot;HP/Ton&quot;"/>
    <numFmt numFmtId="195" formatCode="##0.00&quot;'' wg&quot;"/>
    <numFmt numFmtId="196" formatCode="#,##0&quot; Inch&quot;"/>
    <numFmt numFmtId="197" formatCode="#,##0\ &quot;kVA&quot;"/>
    <numFmt numFmtId="198" formatCode="#,##0\ &quot;kW&quot;"/>
    <numFmt numFmtId="199" formatCode="##0.00\ &quot;kW/Cab&quot;"/>
    <numFmt numFmtId="200" formatCode="##0.00\ &quot;kW/Ton&quot;"/>
    <numFmt numFmtId="201" formatCode="#,##0\ &quot;kWH&quot;"/>
    <numFmt numFmtId="202" formatCode="0.00\ &quot;Lb/Gal&quot;"/>
    <numFmt numFmtId="203" formatCode="#,##0\ &quot;Lb/Hr&quot;"/>
    <numFmt numFmtId="204" formatCode="#,##0.00\ &quot;Lb/SF&quot;"/>
    <numFmt numFmtId="205" formatCode="#,##0\ &quot;MBH&quot;"/>
    <numFmt numFmtId="206" formatCode="#,##0\ &quot;MWH&quot;"/>
    <numFmt numFmtId="207" formatCode="##0.00\ &quot;PF&quot;"/>
    <numFmt numFmtId="208" formatCode="#,##0\ &quot;SP&quot;"/>
    <numFmt numFmtId="209" formatCode="#,##0\ &quot;Ton-hrs&quot;"/>
    <numFmt numFmtId="210" formatCode="#,##0\ &quot;Tons&quot;"/>
    <numFmt numFmtId="211" formatCode="#,##0.00\ &quot;W&quot;"/>
    <numFmt numFmtId="212" formatCode="##0.0\ &quot;W/SF&quot;"/>
    <numFmt numFmtId="213" formatCode="#,##0\ &quot;m3/kW/yr&quot;"/>
    <numFmt numFmtId="214" formatCode="_(&quot;$&quot;* #,##0.0_);_(&quot;$&quot;* \(#,##0.0\);_(&quot;$&quot;* &quot;-&quot;??_);_(@_)"/>
    <numFmt numFmtId="215" formatCode="_(&quot;$&quot;* #,##0_);_(&quot;$&quot;* \(#,##0\);_(&quot;$&quot;* &quot;-&quot;??_);_(@_)"/>
  </numFmts>
  <fonts count="18">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theme="0"/>
      <name val="Calibri"/>
      <family val="2"/>
      <scheme val="minor"/>
    </font>
    <font>
      <b/>
      <sz val="16"/>
      <color theme="1"/>
      <name val="Calibri"/>
      <family val="2"/>
      <scheme val="minor"/>
    </font>
    <font>
      <b/>
      <sz val="12"/>
      <color theme="1"/>
      <name val="Calibri"/>
      <family val="2"/>
      <scheme val="minor"/>
    </font>
    <font>
      <sz val="10"/>
      <name val="Arial"/>
      <family val="2"/>
    </font>
    <font>
      <sz val="9"/>
      <name val="Arial"/>
      <family val="2"/>
    </font>
    <font>
      <sz val="11"/>
      <color rgb="FF3F3F76"/>
      <name val="Calibri"/>
      <family val="2"/>
      <scheme val="minor"/>
    </font>
    <font>
      <sz val="11"/>
      <color theme="3"/>
      <name val="Calibri"/>
      <family val="2"/>
      <scheme val="minor"/>
    </font>
    <font>
      <sz val="10"/>
      <name val="Arial"/>
      <family val="2"/>
    </font>
    <font>
      <b/>
      <sz val="10"/>
      <name val="Arial"/>
      <family val="2"/>
    </font>
    <font>
      <b/>
      <sz val="12"/>
      <color rgb="FFFF0000"/>
      <name val="Calibri (Body)"/>
    </font>
    <font>
      <b/>
      <sz val="12"/>
      <color rgb="FFFF0000"/>
      <name val="Arial"/>
      <family val="2"/>
    </font>
    <font>
      <sz val="10"/>
      <color rgb="FF000000"/>
      <name val="Arial"/>
      <family val="2"/>
    </font>
    <font>
      <b/>
      <sz val="12"/>
      <color rgb="FFFF0000"/>
      <name val="Calibri"/>
      <family val="2"/>
      <scheme val="minor"/>
    </font>
    <font>
      <sz val="12"/>
      <color rgb="FFFF0000"/>
      <name val="Calibri"/>
      <family val="2"/>
      <scheme val="minor"/>
    </font>
  </fonts>
  <fills count="12">
    <fill>
      <patternFill patternType="none"/>
    </fill>
    <fill>
      <patternFill patternType="gray125"/>
    </fill>
    <fill>
      <patternFill patternType="solid">
        <fgColor rgb="FFFFCC99"/>
      </patternFill>
    </fill>
    <fill>
      <patternFill patternType="solid">
        <fgColor theme="6"/>
      </patternFill>
    </fill>
    <fill>
      <patternFill patternType="solid">
        <fgColor theme="1"/>
        <bgColor indexed="64"/>
      </patternFill>
    </fill>
    <fill>
      <patternFill patternType="solid">
        <fgColor indexed="26"/>
        <bgColor indexed="64"/>
      </patternFill>
    </fill>
    <fill>
      <patternFill patternType="solid">
        <fgColor indexed="43"/>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9" tint="0.39997558519241921"/>
        <bgColor indexed="64"/>
      </patternFill>
    </fill>
    <fill>
      <patternFill patternType="solid">
        <fgColor rgb="FF92D050"/>
        <bgColor indexed="64"/>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auto="1"/>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59">
    <xf numFmtId="0" fontId="0" fillId="0" borderId="0"/>
    <xf numFmtId="0" fontId="9" fillId="2" borderId="1" applyNumberFormat="0" applyAlignment="0" applyProtection="0"/>
    <xf numFmtId="9" fontId="3" fillId="0" borderId="0" applyFont="0" applyFill="0" applyBorder="0" applyAlignment="0" applyProtection="0"/>
    <xf numFmtId="0" fontId="10" fillId="7" borderId="3" applyNumberFormat="0" applyAlignment="0" applyProtection="0"/>
    <xf numFmtId="165" fontId="3" fillId="4" borderId="2" applyFont="0">
      <alignment horizontal="center" vertical="center"/>
    </xf>
    <xf numFmtId="166" fontId="4" fillId="3" borderId="0" applyNumberFormat="0" applyBorder="0" applyAlignment="0" applyProtection="0"/>
    <xf numFmtId="167" fontId="7" fillId="0" borderId="0" applyFont="0" applyFill="0" applyBorder="0" applyAlignment="0" applyProtection="0"/>
    <xf numFmtId="168" fontId="7" fillId="0" borderId="0" applyFont="0" applyFill="0" applyBorder="0" applyAlignment="0" applyProtection="0"/>
    <xf numFmtId="169" fontId="7" fillId="0" borderId="0" applyFont="0" applyFill="0" applyBorder="0" applyAlignment="0" applyProtection="0"/>
    <xf numFmtId="170" fontId="7" fillId="5" borderId="0" applyFont="0" applyFill="0" applyBorder="0" applyAlignment="0" applyProtection="0">
      <protection locked="0"/>
    </xf>
    <xf numFmtId="171" fontId="7" fillId="5" borderId="0" applyFont="0" applyFill="0" applyBorder="0" applyAlignment="0" applyProtection="0">
      <protection locked="0"/>
    </xf>
    <xf numFmtId="172" fontId="7" fillId="5" borderId="0" applyFont="0" applyFill="0" applyBorder="0" applyAlignment="0" applyProtection="0">
      <protection locked="0"/>
    </xf>
    <xf numFmtId="173" fontId="8" fillId="5" borderId="0" applyFont="0" applyFill="0" applyBorder="0" applyAlignment="0" applyProtection="0">
      <protection locked="0"/>
    </xf>
    <xf numFmtId="174" fontId="7" fillId="0" borderId="0" applyFont="0" applyFill="0" applyBorder="0" applyAlignment="0" applyProtection="0">
      <alignment vertical="center"/>
    </xf>
    <xf numFmtId="175" fontId="7" fillId="0" borderId="0" applyFont="0" applyFill="0" applyBorder="0" applyAlignment="0" applyProtection="0"/>
    <xf numFmtId="176" fontId="7" fillId="0" borderId="0" applyFont="0" applyFill="0" applyBorder="0" applyAlignment="0" applyProtection="0"/>
    <xf numFmtId="177" fontId="7" fillId="0" borderId="0" applyFont="0" applyFill="0" applyBorder="0" applyAlignment="0" applyProtection="0"/>
    <xf numFmtId="178" fontId="7" fillId="0" borderId="0" applyFont="0" applyFill="0" applyBorder="0" applyAlignment="0" applyProtection="0"/>
    <xf numFmtId="179" fontId="7" fillId="0" borderId="0" applyFont="0" applyFill="0" applyBorder="0" applyAlignment="0" applyProtection="0"/>
    <xf numFmtId="180" fontId="7" fillId="0" borderId="0" applyFont="0" applyFill="0" applyBorder="0" applyAlignment="0" applyProtection="0"/>
    <xf numFmtId="181" fontId="7" fillId="0" borderId="0" applyFont="0" applyFill="0" applyBorder="0" applyAlignment="0" applyProtection="0"/>
    <xf numFmtId="182" fontId="7" fillId="0" borderId="0" applyFont="0" applyFill="0" applyBorder="0" applyAlignment="0" applyProtection="0"/>
    <xf numFmtId="183" fontId="7" fillId="0" borderId="0" applyFont="0" applyFill="0" applyBorder="0" applyAlignment="0" applyProtection="0">
      <alignment vertical="top"/>
    </xf>
    <xf numFmtId="184" fontId="7" fillId="0" borderId="0" applyFont="0" applyFill="0" applyBorder="0" applyAlignment="0" applyProtection="0"/>
    <xf numFmtId="2" fontId="7" fillId="0" borderId="0" applyFont="0" applyFill="0" applyBorder="0" applyAlignment="0" applyProtection="0">
      <alignment vertical="top"/>
    </xf>
    <xf numFmtId="185" fontId="7" fillId="0" borderId="0" applyFont="0" applyFill="0" applyBorder="0" applyAlignment="0" applyProtection="0"/>
    <xf numFmtId="186" fontId="7" fillId="5" borderId="0" applyFont="0" applyFill="0" applyBorder="0" applyAlignment="0" applyProtection="0">
      <protection locked="0"/>
    </xf>
    <xf numFmtId="187" fontId="7" fillId="0" borderId="0" applyFont="0" applyFill="0" applyBorder="0" applyAlignment="0" applyProtection="0"/>
    <xf numFmtId="188" fontId="7" fillId="0" borderId="0" applyFont="0" applyFill="0" applyBorder="0" applyAlignment="0" applyProtection="0"/>
    <xf numFmtId="189" fontId="7" fillId="0" borderId="0" applyFont="0" applyFill="0" applyBorder="0" applyAlignment="0" applyProtection="0"/>
    <xf numFmtId="190" fontId="7" fillId="0" borderId="0" applyFont="0" applyFill="0" applyBorder="0" applyAlignment="0" applyProtection="0"/>
    <xf numFmtId="191" fontId="7" fillId="0" borderId="0" applyFont="0" applyFill="0" applyBorder="0" applyAlignment="0" applyProtection="0"/>
    <xf numFmtId="192" fontId="7" fillId="0" borderId="0" applyFont="0" applyFill="0" applyBorder="0" applyAlignment="0" applyProtection="0"/>
    <xf numFmtId="193" fontId="8" fillId="0" borderId="0" applyFont="0" applyFill="0" applyBorder="0" applyAlignment="0" applyProtection="0"/>
    <xf numFmtId="194" fontId="7" fillId="5" borderId="0" applyFont="0" applyFill="0" applyBorder="0" applyAlignment="0" applyProtection="0">
      <protection locked="0"/>
    </xf>
    <xf numFmtId="195" fontId="7" fillId="0" borderId="0" applyFont="0" applyFill="0" applyBorder="0" applyAlignment="0" applyProtection="0">
      <alignment vertical="center"/>
    </xf>
    <xf numFmtId="196" fontId="7" fillId="6" borderId="0" applyFont="0" applyFill="0" applyBorder="0" applyAlignment="0" applyProtection="0">
      <alignment vertical="center"/>
      <protection locked="0"/>
    </xf>
    <xf numFmtId="197" fontId="7" fillId="0" borderId="0" applyFont="0" applyFill="0" applyBorder="0" applyAlignment="0" applyProtection="0"/>
    <xf numFmtId="198" fontId="7" fillId="0" borderId="0" applyFont="0" applyFill="0" applyBorder="0" applyAlignment="0" applyProtection="0"/>
    <xf numFmtId="199" fontId="7" fillId="5" borderId="0" applyFont="0" applyFill="0" applyBorder="0" applyAlignment="0" applyProtection="0">
      <protection locked="0"/>
    </xf>
    <xf numFmtId="200" fontId="7" fillId="5" borderId="0" applyFont="0" applyFill="0" applyBorder="0" applyAlignment="0" applyProtection="0">
      <protection locked="0"/>
    </xf>
    <xf numFmtId="201" fontId="7" fillId="5" borderId="0" applyFont="0" applyFill="0" applyBorder="0" applyAlignment="0" applyProtection="0">
      <protection locked="0"/>
    </xf>
    <xf numFmtId="202" fontId="7" fillId="0" borderId="0" applyFont="0" applyFill="0" applyBorder="0" applyAlignment="0" applyProtection="0">
      <alignment vertical="center"/>
    </xf>
    <xf numFmtId="203" fontId="7" fillId="0" borderId="0" applyFont="0" applyFill="0" applyBorder="0" applyAlignment="0" applyProtection="0">
      <alignment vertical="center"/>
    </xf>
    <xf numFmtId="204" fontId="7" fillId="0" borderId="0" applyFont="0" applyFill="0" applyBorder="0" applyAlignment="0" applyProtection="0">
      <alignment vertical="center"/>
    </xf>
    <xf numFmtId="205" fontId="8" fillId="5" borderId="0" applyFont="0" applyFill="0" applyBorder="0" applyAlignment="0" applyProtection="0">
      <protection locked="0"/>
    </xf>
    <xf numFmtId="206" fontId="7" fillId="0" borderId="0" applyFont="0" applyFill="0" applyBorder="0" applyAlignment="0" applyProtection="0"/>
    <xf numFmtId="0" fontId="8" fillId="0" borderId="0" applyNumberFormat="0" applyFont="0" applyBorder="0" applyAlignment="0"/>
    <xf numFmtId="207" fontId="7" fillId="0" borderId="0" applyFont="0" applyFill="0" applyBorder="0" applyAlignment="0" applyProtection="0"/>
    <xf numFmtId="208" fontId="7" fillId="5" borderId="0" applyFont="0" applyFill="0" applyBorder="0" applyAlignment="0" applyProtection="0">
      <protection locked="0"/>
    </xf>
    <xf numFmtId="209" fontId="7" fillId="0" borderId="0" applyFont="0" applyFill="0" applyBorder="0" applyAlignment="0" applyProtection="0"/>
    <xf numFmtId="210" fontId="7" fillId="0" borderId="0" applyFont="0" applyFill="0" applyBorder="0" applyAlignment="0" applyProtection="0"/>
    <xf numFmtId="211" fontId="7" fillId="6" borderId="0" applyFont="0" applyFill="0" applyBorder="0" applyAlignment="0" applyProtection="0">
      <alignment vertical="center"/>
      <protection locked="0"/>
    </xf>
    <xf numFmtId="212" fontId="7" fillId="0" borderId="0" applyFont="0" applyFill="0" applyBorder="0" applyAlignment="0" applyProtection="0"/>
    <xf numFmtId="213" fontId="7" fillId="0" borderId="0" applyFont="0" applyFill="0" applyBorder="0" applyAlignment="0" applyProtection="0"/>
    <xf numFmtId="0" fontId="11" fillId="0" borderId="0"/>
    <xf numFmtId="9" fontId="7" fillId="0" borderId="0" applyFont="0" applyFill="0" applyBorder="0" applyAlignment="0" applyProtection="0"/>
    <xf numFmtId="44" fontId="3" fillId="0" borderId="0" applyFont="0" applyFill="0" applyBorder="0" applyAlignment="0" applyProtection="0"/>
    <xf numFmtId="0" fontId="15" fillId="0" borderId="0"/>
  </cellStyleXfs>
  <cellXfs count="78">
    <xf numFmtId="0" fontId="0" fillId="0" borderId="0" xfId="0"/>
    <xf numFmtId="0" fontId="5" fillId="0" borderId="0" xfId="0" applyFont="1" applyAlignment="1">
      <alignment horizontal="center"/>
    </xf>
    <xf numFmtId="0" fontId="2" fillId="0" borderId="0" xfId="0" applyFont="1"/>
    <xf numFmtId="0" fontId="6" fillId="0" borderId="0" xfId="0" applyFont="1"/>
    <xf numFmtId="0" fontId="2" fillId="0" borderId="0" xfId="0" applyFont="1" applyAlignment="1">
      <alignment horizontal="center"/>
    </xf>
    <xf numFmtId="0" fontId="11" fillId="0" borderId="0" xfId="55"/>
    <xf numFmtId="0" fontId="12" fillId="0" borderId="0" xfId="55" applyFont="1"/>
    <xf numFmtId="0" fontId="7" fillId="0" borderId="0" xfId="55" applyFont="1"/>
    <xf numFmtId="9" fontId="0" fillId="0" borderId="0" xfId="56" applyFont="1"/>
    <xf numFmtId="0" fontId="1" fillId="0" borderId="0" xfId="0" applyFont="1"/>
    <xf numFmtId="0" fontId="1" fillId="9" borderId="0" xfId="0" applyFont="1" applyFill="1"/>
    <xf numFmtId="0" fontId="1" fillId="0" borderId="0" xfId="0" applyFont="1" applyAlignment="1">
      <alignment horizontal="center"/>
    </xf>
    <xf numFmtId="0" fontId="2" fillId="10" borderId="0" xfId="0" applyFont="1" applyFill="1" applyAlignment="1">
      <alignment horizontal="center"/>
    </xf>
    <xf numFmtId="9" fontId="2" fillId="10" borderId="0" xfId="0" applyNumberFormat="1" applyFont="1" applyFill="1" applyAlignment="1">
      <alignment horizontal="center"/>
    </xf>
    <xf numFmtId="0" fontId="1" fillId="10" borderId="0" xfId="0" applyFont="1" applyFill="1" applyAlignment="1">
      <alignment horizontal="center"/>
    </xf>
    <xf numFmtId="0" fontId="7" fillId="8" borderId="0" xfId="55" applyFont="1" applyFill="1"/>
    <xf numFmtId="0" fontId="11" fillId="8" borderId="0" xfId="55" applyFill="1"/>
    <xf numFmtId="0" fontId="6" fillId="0" borderId="0" xfId="0" applyFont="1" applyAlignment="1">
      <alignment horizontal="center"/>
    </xf>
    <xf numFmtId="0" fontId="12" fillId="8" borderId="0" xfId="55" applyFont="1" applyFill="1"/>
    <xf numFmtId="164" fontId="11" fillId="8" borderId="0" xfId="55" applyNumberFormat="1" applyFill="1"/>
    <xf numFmtId="9" fontId="11" fillId="8" borderId="0" xfId="55" applyNumberFormat="1" applyFill="1"/>
    <xf numFmtId="2" fontId="11" fillId="8" borderId="0" xfId="55" applyNumberFormat="1" applyFill="1"/>
    <xf numFmtId="1" fontId="11" fillId="8" borderId="0" xfId="55" applyNumberFormat="1" applyFill="1"/>
    <xf numFmtId="0" fontId="1" fillId="8" borderId="0" xfId="0" applyFont="1" applyFill="1"/>
    <xf numFmtId="0" fontId="1" fillId="0" borderId="0" xfId="0" applyFont="1" applyFill="1"/>
    <xf numFmtId="0" fontId="7" fillId="0" borderId="0" xfId="55" applyFont="1" applyFill="1"/>
    <xf numFmtId="0" fontId="11" fillId="0" borderId="0" xfId="55" applyFill="1"/>
    <xf numFmtId="9" fontId="0" fillId="0" borderId="0" xfId="56" applyFont="1" applyFill="1"/>
    <xf numFmtId="0" fontId="1" fillId="0" borderId="0" xfId="0" applyFont="1" applyAlignment="1">
      <alignment horizontal="left"/>
    </xf>
    <xf numFmtId="0" fontId="6" fillId="9" borderId="0" xfId="0" applyFont="1" applyFill="1"/>
    <xf numFmtId="0" fontId="6" fillId="11" borderId="0" xfId="0" applyFont="1" applyFill="1"/>
    <xf numFmtId="2" fontId="2" fillId="10" borderId="0" xfId="0" applyNumberFormat="1" applyFont="1" applyFill="1" applyAlignment="1">
      <alignment horizontal="center"/>
    </xf>
    <xf numFmtId="1" fontId="2" fillId="10" borderId="0" xfId="0" applyNumberFormat="1" applyFont="1" applyFill="1" applyAlignment="1">
      <alignment horizontal="center"/>
    </xf>
    <xf numFmtId="164" fontId="1" fillId="10" borderId="0" xfId="0" applyNumberFormat="1" applyFont="1" applyFill="1" applyAlignment="1">
      <alignment horizontal="center"/>
    </xf>
    <xf numFmtId="0" fontId="14" fillId="0" borderId="0" xfId="55" applyFont="1"/>
    <xf numFmtId="1" fontId="1" fillId="10" borderId="0" xfId="0" applyNumberFormat="1" applyFont="1" applyFill="1" applyAlignment="1">
      <alignment horizontal="center"/>
    </xf>
    <xf numFmtId="9" fontId="2" fillId="10" borderId="0" xfId="2" applyFont="1" applyFill="1" applyAlignment="1">
      <alignment horizontal="center"/>
    </xf>
    <xf numFmtId="44" fontId="11" fillId="8" borderId="0" xfId="57" applyFont="1" applyFill="1"/>
    <xf numFmtId="214" fontId="1" fillId="8" borderId="0" xfId="57" applyNumberFormat="1" applyFont="1" applyFill="1"/>
    <xf numFmtId="215" fontId="1" fillId="8" borderId="0" xfId="57" applyNumberFormat="1" applyFont="1" applyFill="1"/>
    <xf numFmtId="215" fontId="1" fillId="8" borderId="0" xfId="0" applyNumberFormat="1" applyFont="1" applyFill="1"/>
    <xf numFmtId="0" fontId="6" fillId="0" borderId="6" xfId="0" applyFont="1" applyBorder="1"/>
    <xf numFmtId="0" fontId="6" fillId="0" borderId="7" xfId="0" applyFont="1" applyBorder="1"/>
    <xf numFmtId="0" fontId="1" fillId="0" borderId="7" xfId="0" applyFont="1" applyBorder="1"/>
    <xf numFmtId="0" fontId="1" fillId="0" borderId="8" xfId="0" applyFont="1" applyBorder="1"/>
    <xf numFmtId="0" fontId="6" fillId="0" borderId="9" xfId="0" applyFont="1" applyBorder="1"/>
    <xf numFmtId="0" fontId="6" fillId="0" borderId="0" xfId="0" applyFont="1" applyBorder="1"/>
    <xf numFmtId="0" fontId="1" fillId="0" borderId="0" xfId="0" applyFont="1" applyBorder="1"/>
    <xf numFmtId="0" fontId="1" fillId="0" borderId="10" xfId="0" applyFont="1" applyBorder="1"/>
    <xf numFmtId="0" fontId="1" fillId="0" borderId="0" xfId="0" applyFont="1" applyBorder="1" applyAlignment="1">
      <alignment horizontal="center" vertical="center"/>
    </xf>
    <xf numFmtId="0" fontId="6" fillId="9" borderId="9" xfId="0" applyFont="1" applyFill="1" applyBorder="1" applyAlignment="1">
      <alignment horizontal="center"/>
    </xf>
    <xf numFmtId="0" fontId="6" fillId="11" borderId="9" xfId="0" applyFont="1" applyFill="1" applyBorder="1" applyAlignment="1">
      <alignment horizontal="center"/>
    </xf>
    <xf numFmtId="0" fontId="2" fillId="9" borderId="9" xfId="0" applyFont="1" applyFill="1" applyBorder="1" applyAlignment="1">
      <alignment horizontal="center"/>
    </xf>
    <xf numFmtId="9" fontId="2" fillId="9" borderId="9" xfId="0" applyNumberFormat="1" applyFont="1" applyFill="1" applyBorder="1" applyAlignment="1">
      <alignment horizontal="center"/>
    </xf>
    <xf numFmtId="9" fontId="1" fillId="0" borderId="0" xfId="0" applyNumberFormat="1" applyFont="1" applyBorder="1" applyAlignment="1">
      <alignment horizontal="center" vertical="center"/>
    </xf>
    <xf numFmtId="0" fontId="1" fillId="9" borderId="9" xfId="0" applyFont="1" applyFill="1" applyBorder="1" applyAlignment="1">
      <alignment horizontal="center"/>
    </xf>
    <xf numFmtId="9" fontId="1" fillId="9" borderId="9" xfId="0" applyNumberFormat="1" applyFont="1" applyFill="1" applyBorder="1" applyAlignment="1">
      <alignment horizontal="center"/>
    </xf>
    <xf numFmtId="9" fontId="1" fillId="9" borderId="11" xfId="0" applyNumberFormat="1" applyFont="1" applyFill="1" applyBorder="1" applyAlignment="1">
      <alignment horizontal="center"/>
    </xf>
    <xf numFmtId="0" fontId="1" fillId="0" borderId="12" xfId="0" applyFont="1" applyBorder="1"/>
    <xf numFmtId="9" fontId="1" fillId="0" borderId="12" xfId="0" applyNumberFormat="1" applyFont="1" applyBorder="1" applyAlignment="1">
      <alignment horizontal="center" vertical="center"/>
    </xf>
    <xf numFmtId="0" fontId="1" fillId="0" borderId="5" xfId="0" applyFont="1" applyBorder="1"/>
    <xf numFmtId="0" fontId="6" fillId="0" borderId="8" xfId="0" applyFont="1" applyBorder="1"/>
    <xf numFmtId="0" fontId="1" fillId="0" borderId="10" xfId="0" applyFont="1" applyBorder="1" applyAlignment="1">
      <alignment horizontal="center" vertical="center"/>
    </xf>
    <xf numFmtId="9" fontId="1" fillId="9" borderId="0" xfId="0" applyNumberFormat="1" applyFont="1" applyFill="1" applyBorder="1"/>
    <xf numFmtId="0" fontId="2" fillId="0" borderId="0" xfId="0" applyFont="1" applyBorder="1"/>
    <xf numFmtId="9" fontId="1" fillId="0" borderId="10" xfId="0" applyNumberFormat="1" applyFont="1" applyBorder="1" applyAlignment="1">
      <alignment horizontal="center" vertical="center"/>
    </xf>
    <xf numFmtId="9" fontId="1" fillId="0" borderId="5" xfId="0" applyNumberFormat="1" applyFont="1" applyBorder="1" applyAlignment="1">
      <alignment horizontal="center" vertical="center"/>
    </xf>
    <xf numFmtId="0" fontId="6" fillId="8" borderId="13" xfId="0" applyFont="1" applyFill="1" applyBorder="1" applyAlignment="1">
      <alignment horizontal="center"/>
    </xf>
    <xf numFmtId="0" fontId="1" fillId="8" borderId="14" xfId="0" applyFont="1" applyFill="1" applyBorder="1"/>
    <xf numFmtId="0" fontId="1" fillId="8" borderId="14" xfId="0" applyFont="1" applyFill="1" applyBorder="1" applyAlignment="1">
      <alignment horizontal="center"/>
    </xf>
    <xf numFmtId="0" fontId="6" fillId="8" borderId="14" xfId="0" applyFont="1" applyFill="1" applyBorder="1" applyAlignment="1">
      <alignment horizontal="center"/>
    </xf>
    <xf numFmtId="0" fontId="1" fillId="8" borderId="4" xfId="0" applyFont="1" applyFill="1" applyBorder="1"/>
    <xf numFmtId="0" fontId="1" fillId="0" borderId="0" xfId="0" applyFont="1" applyBorder="1" applyAlignment="1">
      <alignment horizontal="center"/>
    </xf>
    <xf numFmtId="2" fontId="6" fillId="11" borderId="9" xfId="0" applyNumberFormat="1" applyFont="1" applyFill="1" applyBorder="1" applyAlignment="1">
      <alignment horizontal="center"/>
    </xf>
    <xf numFmtId="0" fontId="16" fillId="0" borderId="0" xfId="0" applyFont="1" applyAlignment="1">
      <alignment horizontal="center"/>
    </xf>
    <xf numFmtId="0" fontId="17" fillId="0" borderId="0" xfId="0" applyFont="1" applyAlignment="1">
      <alignment horizontal="center"/>
    </xf>
    <xf numFmtId="0" fontId="1" fillId="0" borderId="0" xfId="0" applyFont="1" applyBorder="1" applyAlignment="1">
      <alignment horizontal="center"/>
    </xf>
    <xf numFmtId="0" fontId="1" fillId="0" borderId="10" xfId="0" applyFont="1" applyBorder="1" applyAlignment="1">
      <alignment horizontal="center"/>
    </xf>
  </cellXfs>
  <cellStyles count="59">
    <cellStyle name="$/kWH" xfId="6" xr:uid="{6FFC676D-14F9-40D2-A8D7-F95A7A7AB75C}"/>
    <cellStyle name="$/SF" xfId="7" xr:uid="{25BB77AF-9D79-4E5B-B4A2-9EDE8A644ECD}"/>
    <cellStyle name="$/Ton" xfId="8" xr:uid="{E2C82416-158B-4D29-BDD4-F4A19337D56D}"/>
    <cellStyle name="+/-" xfId="9" xr:uid="{E44BDD31-C4AD-422C-837F-A83B6414B086}"/>
    <cellStyle name="+/- °F" xfId="10" xr:uid="{2149FA1B-425D-45B9-8082-B42C17242118}"/>
    <cellStyle name="+/-2°F" xfId="11" xr:uid="{E1219230-521F-42AB-B91B-17DF1C881F31}"/>
    <cellStyle name="°F" xfId="12" xr:uid="{8C568611-DF18-4776-96D5-942A36701306}"/>
    <cellStyle name="Accent3 2" xfId="5" xr:uid="{72C60489-40B4-488A-A03D-9A2993B1197E}"/>
    <cellStyle name="Amps" xfId="13" xr:uid="{0D465220-8A1F-4C66-95AB-195CC1A33A2D}"/>
    <cellStyle name="BHP" xfId="14" xr:uid="{DC18C214-5750-48E7-919C-30AF360E4C58}"/>
    <cellStyle name="BTU" xfId="15" xr:uid="{8675D80B-B80B-4009-B273-F66F7C9B9CEF}"/>
    <cellStyle name="BTU/Hr" xfId="16" xr:uid="{4C65E86B-7DEB-4E14-A101-F1FF487C983A}"/>
    <cellStyle name="BTU/Hr-°F-SF" xfId="17" xr:uid="{98626760-6D5C-446E-A95E-15657DF256A1}"/>
    <cellStyle name="BTU/Lb" xfId="18" xr:uid="{BB10C765-E2E5-4B3F-BBD8-D1F0A917489D}"/>
    <cellStyle name="CFH" xfId="19" xr:uid="{FD014A3B-F681-4A1B-AB13-EB87CA7CD5C3}"/>
    <cellStyle name="CFM" xfId="20" xr:uid="{345E037F-51FD-4537-94D9-5F3475DE6E72}"/>
    <cellStyle name="CFM/SF" xfId="21" xr:uid="{C434FADB-FCB3-4505-9D98-C1E9722DBE07}"/>
    <cellStyle name="Currency" xfId="57" builtinId="4"/>
    <cellStyle name="Date" xfId="22" xr:uid="{E66BD8B8-E3A2-4248-9CBA-C07B542D5589}"/>
    <cellStyle name="EFF" xfId="23" xr:uid="{A993C99E-8B6C-41A1-BC8C-8A4D41FB4FFF}"/>
    <cellStyle name="Fixed" xfId="24" xr:uid="{A274ADEB-78BA-46D2-9932-8C94C4677339}"/>
    <cellStyle name="FLA" xfId="25" xr:uid="{2671D632-610B-4427-B377-27E2CDEAA6D6}"/>
    <cellStyle name="FPM" xfId="26" xr:uid="{671A7912-44A2-4DEE-BBE0-2C6B87E45F1C}"/>
    <cellStyle name="FT" xfId="27" xr:uid="{9F526250-563D-464A-911F-08C94043DC5F}"/>
    <cellStyle name="FT2" xfId="28" xr:uid="{4FB043AC-943F-4A03-BCBC-C2B0398F3107}"/>
    <cellStyle name="FT3" xfId="29" xr:uid="{EB7ECA72-B535-4F25-8B28-065CF939772F}"/>
    <cellStyle name="Gal" xfId="30" xr:uid="{4B784EE9-B4F3-459D-9076-3939FFD1A379}"/>
    <cellStyle name="GPH" xfId="31" xr:uid="{0315C740-9814-45F0-A70C-0DB2D2A56FBA}"/>
    <cellStyle name="GPM" xfId="32" xr:uid="{F82A1E00-A95F-4BA8-BF58-2A2E36C00AFF}"/>
    <cellStyle name="HP" xfId="33" xr:uid="{E91D377E-50F7-4027-B1AA-59A5A8283178}"/>
    <cellStyle name="HP/Ton" xfId="34" xr:uid="{787A7E88-5CC4-43EB-A663-43E77AD58C3B}"/>
    <cellStyle name="in wg" xfId="35" xr:uid="{C74270DF-2F9B-4050-86B5-D6F207EEC7E6}"/>
    <cellStyle name="Inches" xfId="36" xr:uid="{47985095-DF5D-4F81-870E-A16745D9768D}"/>
    <cellStyle name="Input" xfId="1" builtinId="20" customBuiltin="1"/>
    <cellStyle name="kVA" xfId="37" xr:uid="{D50DCBF5-7EF5-42FB-B0D0-77EBA3B84378}"/>
    <cellStyle name="kW" xfId="38" xr:uid="{A9CA7FAF-BE56-40EE-8413-6E9720EDE8AE}"/>
    <cellStyle name="kW/Cab" xfId="39" xr:uid="{CF89D13A-39B1-4FAB-A6FE-9BC74F388669}"/>
    <cellStyle name="kW/Ton" xfId="40" xr:uid="{EB895A80-269B-4611-8C0B-4D00E5547095}"/>
    <cellStyle name="kWH" xfId="41" xr:uid="{EDB211D6-10D5-49B4-81B3-DF66645B0161}"/>
    <cellStyle name="Lb/Gal" xfId="42" xr:uid="{D6DA5160-83AB-4CAB-96E6-E2F5C1783617}"/>
    <cellStyle name="Lb/Hr" xfId="43" xr:uid="{6666B5A4-0DD8-41D6-80CE-79630A3E2969}"/>
    <cellStyle name="Lb/SF" xfId="44" xr:uid="{31FD9F2C-81B1-4A72-8841-1EEDAE15DCB6}"/>
    <cellStyle name="Linked Cell" xfId="3" builtinId="24" customBuiltin="1"/>
    <cellStyle name="m3/kW/yr" xfId="54" xr:uid="{F22F0CF3-6D7F-4B34-B5B1-F224259C9666}"/>
    <cellStyle name="MBH" xfId="45" xr:uid="{4BC8DD2E-618D-4C67-AD60-ECC597DCD19F}"/>
    <cellStyle name="MWH" xfId="46" xr:uid="{A54DC116-9264-4F15-B941-3DE858710FA7}"/>
    <cellStyle name="Non Input" xfId="47" xr:uid="{93505A4C-3BAC-4ED0-8B47-2FFEB95F4350}"/>
    <cellStyle name="Normal" xfId="0" builtinId="0"/>
    <cellStyle name="Normal 2" xfId="55" xr:uid="{3F000127-0CC7-3E43-827F-DC29668ED525}"/>
    <cellStyle name="Normal 3" xfId="58" xr:uid="{3815DF5A-A285-6D43-8D74-825C6297E255}"/>
    <cellStyle name="Percent" xfId="2" builtinId="5"/>
    <cellStyle name="Percent 2" xfId="56" xr:uid="{6BBE1392-9719-324B-949A-C5EE6E7CDBCF}"/>
    <cellStyle name="PF" xfId="48" xr:uid="{301E9D72-A70C-4A3A-9BA2-105906A27308}"/>
    <cellStyle name="SP" xfId="49" xr:uid="{FAA12F34-13D7-4FA9-8C55-4781D0A828BE}"/>
    <cellStyle name="Style 1" xfId="4" xr:uid="{8EC3EECE-59AC-4F6D-9D37-AE5D1A120A88}"/>
    <cellStyle name="Ton-Hrs" xfId="50" xr:uid="{348D7D11-A6D2-4EA9-B0D3-63310E908D8D}"/>
    <cellStyle name="Tons" xfId="51" xr:uid="{922C211C-EA3C-4120-B186-FE5CA06937D4}"/>
    <cellStyle name="Watts" xfId="52" xr:uid="{4F014241-1624-4BFE-AD80-1A286409FE84}"/>
    <cellStyle name="Watts/SF" xfId="53" xr:uid="{F0685B1E-73C8-478D-875A-EC09891D5F17}"/>
  </cellStyles>
  <dxfs count="4">
    <dxf>
      <fill>
        <patternFill>
          <bgColor theme="0" tint="-4.9989318521683403E-2"/>
        </patternFill>
      </fill>
    </dxf>
    <dxf>
      <font>
        <color theme="0"/>
      </font>
      <fill>
        <patternFill>
          <bgColor rgb="FFFF0000"/>
        </patternFill>
      </fill>
      <border>
        <left style="thick">
          <color auto="1"/>
        </left>
        <right style="thick">
          <color auto="1"/>
        </right>
        <top style="thick">
          <color auto="1"/>
        </top>
        <bottom style="thick">
          <color auto="1"/>
        </bottom>
      </border>
    </dxf>
    <dxf>
      <font>
        <color theme="0"/>
      </font>
      <fill>
        <patternFill>
          <bgColor rgb="FFFF0000"/>
        </patternFill>
      </fill>
      <border>
        <left style="thick">
          <color auto="1"/>
        </left>
        <right style="thick">
          <color auto="1"/>
        </right>
        <top style="thick">
          <color auto="1"/>
        </top>
        <bottom style="thick">
          <color auto="1"/>
        </bottom>
      </border>
    </dxf>
    <dxf>
      <font>
        <b val="0"/>
        <i val="0"/>
      </font>
      <border>
        <left style="medium">
          <color auto="1"/>
        </left>
        <right style="medium">
          <color auto="1"/>
        </right>
        <top style="medium">
          <color auto="1"/>
        </top>
        <bottom style="medium">
          <color auto="1"/>
        </bottom>
        <vertical style="thin">
          <color auto="1"/>
        </vertical>
        <horizontal style="thin">
          <color auto="1"/>
        </horizontal>
      </border>
    </dxf>
  </dxfs>
  <tableStyles count="1" defaultTableStyle="TableStyleMedium2" defaultPivotStyle="PivotStyleLight16">
    <tableStyle name="Equinix" pivot="0" count="4" xr9:uid="{2C9B13A3-0D41-4806-982C-4DDDF7ACBF88}">
      <tableStyleElement type="wholeTable" dxfId="3"/>
      <tableStyleElement type="headerRow" dxfId="2"/>
      <tableStyleElement type="firstColumn"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Doug Asay" id="{A63C6E4B-13FC-584B-88C3-58DC01FF1FA6}" userId="dasay@equinix.com" providerId="PeoplePicker"/>
  <person displayName="Doug Asay" id="{EDF9C229-EDC4-4E16-9B4A-2A243D345BF2}" userId="S::dasay@equinix.com::e91c2e77-1eb5-4f43-a763-bac7dcaeb91b" providerId="AD"/>
  <person displayName="Suresh Pichai" id="{18413AB8-E15D-424B-96A4-43F57A0E1100}" userId="S::spichai@equinix.com::838de725-925a-4ed0-9cb0-534e38f1130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8" dT="2022-09-19T00:21:05.94" personId="{18413AB8-E15D-424B-96A4-43F57A0E1100}" id="{6B8CDA19-9326-4A20-9CE2-B09ED811280E}">
    <text xml:space="preserve">Allowance for miss in estimate of maximum average kW/cab - actual densities being lower than the input here.  Range for uncertainty can be 0%-50%
</text>
  </threadedComment>
  <threadedComment ref="AB15" dT="2022-09-18T03:19:10.90" personId="{18413AB8-E15D-424B-96A4-43F57A0E1100}" id="{5C1D27B6-B190-4C1E-8366-9D35209D22B7}">
    <text>@Doug Asay Please check formulas</text>
    <mentions>
      <mention mentionpersonId="{A63C6E4B-13FC-584B-88C3-58DC01FF1FA6}" mentionId="{1E85859A-6569-410B-9CD5-6A4030AE1034}" startIndex="0" length="10"/>
    </mentions>
  </threadedComment>
  <threadedComment ref="C20" dT="2022-09-17T17:04:10.64" personId="{18413AB8-E15D-424B-96A4-43F57A0E1100}" id="{0D97DDC2-D97F-4AA6-963E-FD107CFECAC6}">
    <text>Single PUE number is used instead of average PUE, peak PUE, true PUE, etc. for simplicity at the moment.  Will need to add those distinctions in the future.</text>
  </threadedComment>
  <threadedComment ref="Z20" dT="2022-09-19T00:56:15.09" personId="{18413AB8-E15D-424B-96A4-43F57A0E1100}" id="{BBCABEB9-BEBC-4F8D-8788-94C50C4A6728}">
    <text xml:space="preserve">Based on derived formula on sheet ‘REF Capex Comparison’
</text>
  </threadedComment>
  <threadedComment ref="AB20" dT="2022-09-19T00:58:33.81" personId="{18413AB8-E15D-424B-96A4-43F57A0E1100}" id="{52DCD211-2910-40D9-AAB6-F5B4B658D367}">
    <text xml:space="preserve">Based on derived formula on sheet ‘REF Capex Comparison’.  Based on earlier research indicating that for new construction, for the same IT power liquid cooling capes costs are likely to be same or lower than for air cooling, with liquid cooling being greater in power density.
</text>
  </threadedComment>
  <threadedComment ref="C23" dT="2022-09-17T19:51:05.76" personId="{18413AB8-E15D-424B-96A4-43F57A0E1100}" id="{5D644309-731B-484E-A4CE-DBE45E10B1EE}">
    <text xml:space="preserve">True PUE includes server fan power as part of cooling plant power consumption.  We assume a 0.1 average contribution toward PUE, here which can be verified further and revised.
</text>
  </threadedComment>
  <threadedComment ref="C23" dT="2022-09-22T16:53:45.18" personId="{EDF9C229-EDC4-4E16-9B4A-2A243D345BF2}" id="{CF410A62-8226-470F-98B5-A5D7717B7FD4}" parentId="{5D644309-731B-484E-A4CE-DBE45E10B1EE}">
    <text>See description on REF TUE Description tab</text>
  </threadedComment>
  <threadedComment ref="M28" dT="2022-09-17T19:30:06.56" personId="{18413AB8-E15D-424B-96A4-43F57A0E1100}" id="{97AD52C0-5D98-4CB6-A623-5A62BFBD071E}">
    <text xml:space="preserve">This assumption needs to be verified.  MEP space is likely to increase with cabinet power density, whereas liquid cooling is likely to offer MEP space savings over air cooling.  </text>
  </threadedComment>
  <threadedComment ref="G29" dT="2022-09-18T02:22:57.94" personId="{18413AB8-E15D-424B-96A4-43F57A0E1100}" id="{BF05D81E-F5C3-4166-8A4B-0F7486605FBE}">
    <text xml:space="preserve">Typically zero for air cooling
</text>
  </threadedComment>
  <threadedComment ref="M29" dT="2022-09-18T02:26:19.98" personId="{18413AB8-E15D-424B-96A4-43F57A0E1100}" id="{18BCBEE1-81A5-40DC-9ACC-DF22E80521DC}">
    <text xml:space="preserve">Heat recovery for various uses such as district heating, domestic hot water, greenhouses, water purification, etc., can be significant due to high grade (&gt;60℃) heat available from heat rejection.
More reuse opportunities exist in colder climates.
</text>
  </threadedComment>
  <threadedComment ref="M33" dT="2022-09-19T01:45:59.08" personId="{18413AB8-E15D-424B-96A4-43F57A0E1100}" id="{E7C10B32-DEE2-417E-BAB1-F927BFBE4043}">
    <text>Assuming that there is no variation in pricing between air cooled and liquid cooled cabinets per kW.</text>
  </threadedComment>
  <threadedComment ref="C41" dT="2022-09-17T16:56:56.76" personId="{18413AB8-E15D-424B-96A4-43F57A0E1100}" id="{84426527-AEDF-4E8B-AD33-50BD105D32A5}">
    <text>Expected power density is for a refresh or new cabinet installed during a particular calendar year</text>
  </threadedComment>
  <threadedComment ref="C42" dT="2022-09-17T16:57:24.50" personId="{18413AB8-E15D-424B-96A4-43F57A0E1100}" id="{B83EB97F-41F8-48D0-B5A8-860420BE57AD}">
    <text>Expected power density is for a refresh or new cabinet installed during a particular calendar year</text>
  </threadedComment>
  <threadedComment ref="C61" dT="2022-09-17T16:56:56.76" personId="{18413AB8-E15D-424B-96A4-43F57A0E1100}" id="{7073DC21-906A-4B08-A113-4F605EA5C88F}">
    <text>Expected power density is for a refresh or new cabinet installed during a particular calendar year</text>
  </threadedComment>
  <threadedComment ref="C62" dT="2022-09-17T16:57:24.50" personId="{18413AB8-E15D-424B-96A4-43F57A0E1100}" id="{13A55F01-5AE3-45B4-99AB-303B2A093FC0}">
    <text>Expected power density is for a refresh or new cabinet installed during a particular calendar year</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7726F-1348-214C-9709-39DB799F82BE}">
  <dimension ref="A1:H31"/>
  <sheetViews>
    <sheetView tabSelected="1" workbookViewId="0">
      <selection activeCell="G17" sqref="G17"/>
    </sheetView>
  </sheetViews>
  <sheetFormatPr defaultColWidth="27.6640625" defaultRowHeight="14.4"/>
  <sheetData>
    <row r="1" spans="1:8">
      <c r="A1" t="s">
        <v>119</v>
      </c>
      <c r="B1" t="s">
        <v>7</v>
      </c>
      <c r="C1" t="s">
        <v>43</v>
      </c>
      <c r="D1" t="s">
        <v>10</v>
      </c>
      <c r="E1" t="s">
        <v>120</v>
      </c>
      <c r="F1" t="s">
        <v>116</v>
      </c>
      <c r="G1" t="s">
        <v>117</v>
      </c>
      <c r="H1" t="s">
        <v>118</v>
      </c>
    </row>
    <row r="2" spans="1:8">
      <c r="A2">
        <v>2025</v>
      </c>
      <c r="B2">
        <v>4.9024999999999999</v>
      </c>
      <c r="C2">
        <v>600</v>
      </c>
      <c r="D2">
        <v>1.4069</v>
      </c>
      <c r="E2">
        <v>1.6726494845360824</v>
      </c>
      <c r="F2">
        <v>4.1383963499999998</v>
      </c>
      <c r="G2">
        <v>7.2504704051999997</v>
      </c>
      <c r="H2">
        <v>17.649000000000001</v>
      </c>
    </row>
    <row r="3" spans="1:8">
      <c r="A3">
        <v>2026</v>
      </c>
      <c r="B3">
        <v>5.3622499999999995</v>
      </c>
      <c r="C3">
        <v>1200</v>
      </c>
      <c r="D3">
        <v>1.4037999999999999</v>
      </c>
      <c r="E3">
        <v>1.6675211912943873</v>
      </c>
      <c r="F3">
        <v>9.8075083199999984</v>
      </c>
      <c r="G3">
        <v>17.698237213939201</v>
      </c>
      <c r="H3">
        <v>42.756768000000001</v>
      </c>
    </row>
    <row r="4" spans="1:8">
      <c r="A4">
        <v>2027</v>
      </c>
      <c r="B4">
        <v>5.9456208333333347</v>
      </c>
      <c r="C4">
        <v>1800</v>
      </c>
      <c r="D4">
        <v>1.4007000000000001</v>
      </c>
      <c r="E4">
        <v>1.6623928980526919</v>
      </c>
      <c r="F4">
        <v>17.049617348400002</v>
      </c>
      <c r="G4">
        <v>31.690069206695572</v>
      </c>
      <c r="H4">
        <v>75.98381618880002</v>
      </c>
    </row>
    <row r="5" spans="1:8">
      <c r="A5">
        <v>2028</v>
      </c>
      <c r="B5">
        <v>6.5582344718750001</v>
      </c>
      <c r="C5">
        <v>2400</v>
      </c>
      <c r="D5">
        <v>1.3976</v>
      </c>
      <c r="E5">
        <v>1.6572646048109967</v>
      </c>
      <c r="F5">
        <v>25.920793903104006</v>
      </c>
      <c r="G5">
        <v>49.624263581593702</v>
      </c>
      <c r="H5">
        <v>118.09110127214596</v>
      </c>
    </row>
    <row r="6" spans="1:8">
      <c r="A6">
        <v>2029</v>
      </c>
      <c r="B6">
        <v>6.7384551628906246</v>
      </c>
      <c r="C6">
        <v>2400</v>
      </c>
      <c r="D6">
        <v>1.3945000000000001</v>
      </c>
      <c r="E6">
        <v>1.6521363115693013</v>
      </c>
      <c r="F6">
        <v>26.7744</v>
      </c>
      <c r="G6">
        <v>52.796210040476936</v>
      </c>
      <c r="H6">
        <v>124.696184832</v>
      </c>
    </row>
    <row r="7" spans="1:8">
      <c r="A7">
        <v>2030</v>
      </c>
      <c r="B7">
        <v>6.8961482675292958</v>
      </c>
      <c r="C7">
        <v>2400</v>
      </c>
      <c r="D7">
        <v>1.3914</v>
      </c>
      <c r="E7">
        <v>1.6470080183276059</v>
      </c>
      <c r="F7">
        <v>26.714879999999997</v>
      </c>
      <c r="G7">
        <v>54.259208354126343</v>
      </c>
      <c r="H7">
        <v>127.19010852863998</v>
      </c>
    </row>
    <row r="8" spans="1:8">
      <c r="A8">
        <v>2031</v>
      </c>
      <c r="B8">
        <v>7.0341297340881344</v>
      </c>
      <c r="C8">
        <v>2400</v>
      </c>
      <c r="D8">
        <v>1.3882999999999999</v>
      </c>
      <c r="E8">
        <v>1.6418797250859107</v>
      </c>
      <c r="F8">
        <v>26.655359999999998</v>
      </c>
      <c r="G8">
        <v>55.762469977558297</v>
      </c>
      <c r="H8">
        <v>129.73391069921277</v>
      </c>
    </row>
    <row r="9" spans="1:8">
      <c r="A9">
        <v>2032</v>
      </c>
      <c r="B9">
        <v>7.1548635173271187</v>
      </c>
      <c r="C9">
        <v>2400</v>
      </c>
      <c r="D9">
        <v>1.3851999999999998</v>
      </c>
      <c r="E9">
        <v>1.6367514318442153</v>
      </c>
      <c r="F9">
        <v>26.595839999999995</v>
      </c>
      <c r="G9">
        <v>57.307094010877449</v>
      </c>
      <c r="H9">
        <v>132.32858891319708</v>
      </c>
    </row>
    <row r="10" spans="1:8">
      <c r="A10">
        <v>2033</v>
      </c>
      <c r="B10">
        <v>7.2605055776612293</v>
      </c>
      <c r="C10">
        <v>2400</v>
      </c>
      <c r="D10">
        <v>1.3820999999999999</v>
      </c>
      <c r="E10">
        <v>1.63162313860252</v>
      </c>
      <c r="F10">
        <v>26.536319999999996</v>
      </c>
      <c r="G10">
        <v>58.894209263215956</v>
      </c>
      <c r="H10">
        <v>134.97516069146099</v>
      </c>
    </row>
    <row r="11" spans="1:8">
      <c r="A11">
        <v>2034</v>
      </c>
      <c r="B11">
        <v>7.352942380453575</v>
      </c>
      <c r="C11">
        <v>2400</v>
      </c>
      <c r="D11">
        <v>1.379</v>
      </c>
      <c r="E11">
        <v>1.6264948453608248</v>
      </c>
      <c r="F11">
        <v>26.476800000000001</v>
      </c>
      <c r="G11">
        <v>60.524975046084982</v>
      </c>
      <c r="H11">
        <v>137.67466390529026</v>
      </c>
    </row>
    <row r="12" spans="1:8">
      <c r="A12">
        <v>2035</v>
      </c>
      <c r="B12">
        <v>7.4338245828968779</v>
      </c>
      <c r="C12">
        <v>2400</v>
      </c>
      <c r="D12">
        <v>1.379</v>
      </c>
      <c r="E12">
        <v>1.6264948453608248</v>
      </c>
      <c r="F12">
        <v>26.476800000000001</v>
      </c>
      <c r="G12">
        <v>62.340724297467546</v>
      </c>
      <c r="H12">
        <v>140.42815718339605</v>
      </c>
    </row>
    <row r="13" spans="1:8">
      <c r="A13">
        <v>2036</v>
      </c>
      <c r="B13">
        <v>7.5045965100347685</v>
      </c>
      <c r="C13">
        <v>2400</v>
      </c>
      <c r="D13">
        <v>1.379</v>
      </c>
      <c r="E13">
        <v>1.6264948453608248</v>
      </c>
      <c r="F13">
        <v>26.476800000000001</v>
      </c>
      <c r="G13">
        <v>64.210946026391582</v>
      </c>
      <c r="H13">
        <v>143.23672032706395</v>
      </c>
    </row>
    <row r="14" spans="1:8">
      <c r="A14">
        <v>2037</v>
      </c>
      <c r="B14">
        <v>7.5665219462804227</v>
      </c>
      <c r="C14">
        <v>2400</v>
      </c>
      <c r="D14">
        <v>1.379</v>
      </c>
      <c r="E14">
        <v>1.6264948453608248</v>
      </c>
      <c r="F14">
        <v>26.476800000000001</v>
      </c>
      <c r="G14">
        <v>66.137274407183313</v>
      </c>
      <c r="H14">
        <v>146.10145473360527</v>
      </c>
    </row>
    <row r="15" spans="1:8">
      <c r="A15">
        <v>2038</v>
      </c>
      <c r="B15">
        <v>7.6207067029953697</v>
      </c>
      <c r="C15">
        <v>2400</v>
      </c>
      <c r="D15">
        <v>1.379</v>
      </c>
      <c r="E15">
        <v>1.6264948453608248</v>
      </c>
      <c r="F15">
        <v>26.476800000000001</v>
      </c>
      <c r="G15">
        <v>68.12139263939882</v>
      </c>
      <c r="H15">
        <v>149.02348382827739</v>
      </c>
    </row>
    <row r="16" spans="1:8">
      <c r="A16">
        <v>2039</v>
      </c>
      <c r="B16">
        <v>7.6681183651209475</v>
      </c>
      <c r="C16">
        <v>2400</v>
      </c>
      <c r="D16">
        <v>1.379</v>
      </c>
      <c r="E16">
        <v>1.6264948453608248</v>
      </c>
      <c r="F16">
        <v>26.476800000000001</v>
      </c>
      <c r="G16">
        <v>70.165034418580802</v>
      </c>
      <c r="H16">
        <v>152.00395350484294</v>
      </c>
    </row>
    <row r="17" spans="1:8">
      <c r="A17">
        <v>2040</v>
      </c>
      <c r="B17">
        <v>7.7096035694808291</v>
      </c>
      <c r="C17">
        <v>2400</v>
      </c>
      <c r="D17">
        <v>1.379</v>
      </c>
      <c r="E17">
        <v>1.6264948453608248</v>
      </c>
      <c r="F17">
        <v>26.476800000000001</v>
      </c>
      <c r="G17">
        <v>72.269985451138226</v>
      </c>
      <c r="H17">
        <v>155.04403257493982</v>
      </c>
    </row>
    <row r="18" spans="1:8">
      <c r="A18">
        <v>2041</v>
      </c>
      <c r="B18">
        <v>7.7459031232957267</v>
      </c>
      <c r="C18">
        <v>2400</v>
      </c>
      <c r="D18">
        <v>1.379</v>
      </c>
      <c r="E18">
        <v>1.6264948453608248</v>
      </c>
      <c r="F18">
        <v>26.476800000000001</v>
      </c>
      <c r="G18">
        <v>74.438085014672367</v>
      </c>
      <c r="H18">
        <v>158.1449132264386</v>
      </c>
    </row>
    <row r="19" spans="1:8">
      <c r="A19">
        <v>2042</v>
      </c>
      <c r="B19">
        <v>7.7776652328837619</v>
      </c>
      <c r="C19">
        <v>2400</v>
      </c>
      <c r="D19">
        <v>1.379</v>
      </c>
      <c r="E19">
        <v>1.6264948453608248</v>
      </c>
      <c r="F19">
        <v>26.476800000000001</v>
      </c>
      <c r="G19">
        <v>76.671227565112545</v>
      </c>
      <c r="H19">
        <v>161.30781149096737</v>
      </c>
    </row>
    <row r="20" spans="1:8">
      <c r="A20">
        <v>2043</v>
      </c>
      <c r="B20">
        <v>7.8054570787732915</v>
      </c>
      <c r="C20">
        <v>2400</v>
      </c>
      <c r="D20">
        <v>1.379</v>
      </c>
      <c r="E20">
        <v>1.6264948453608248</v>
      </c>
      <c r="F20">
        <v>26.476800000000001</v>
      </c>
      <c r="G20">
        <v>78.971364392065908</v>
      </c>
      <c r="H20">
        <v>164.53396772078673</v>
      </c>
    </row>
    <row r="21" spans="1:8">
      <c r="A21">
        <v>2044</v>
      </c>
      <c r="B21">
        <v>7.8297749439266306</v>
      </c>
      <c r="C21">
        <v>2400</v>
      </c>
      <c r="D21">
        <v>1.379</v>
      </c>
      <c r="E21">
        <v>1.6264948453608248</v>
      </c>
      <c r="F21">
        <v>26.476800000000001</v>
      </c>
      <c r="G21">
        <v>81.340505323827898</v>
      </c>
      <c r="H21">
        <v>167.82464707520245</v>
      </c>
    </row>
    <row r="22" spans="1:8">
      <c r="A22">
        <v>2045</v>
      </c>
      <c r="B22">
        <v>7.8510530759358019</v>
      </c>
      <c r="C22">
        <v>2400</v>
      </c>
      <c r="D22">
        <v>1.379</v>
      </c>
      <c r="E22">
        <v>1.6264948453608248</v>
      </c>
      <c r="F22">
        <v>26.476800000000001</v>
      </c>
      <c r="G22">
        <v>83.780720483542737</v>
      </c>
      <c r="H22">
        <v>171.18114001670648</v>
      </c>
    </row>
    <row r="23" spans="1:8">
      <c r="A23">
        <v>2046</v>
      </c>
      <c r="B23">
        <v>7.8696714414438267</v>
      </c>
      <c r="C23">
        <v>2400</v>
      </c>
      <c r="D23">
        <v>1.379</v>
      </c>
      <c r="E23">
        <v>1.6264948453608248</v>
      </c>
      <c r="F23">
        <v>26.476800000000001</v>
      </c>
      <c r="G23">
        <v>86.294142098049008</v>
      </c>
      <c r="H23">
        <v>174.60476281704067</v>
      </c>
    </row>
    <row r="24" spans="1:8">
      <c r="A24">
        <v>2047</v>
      </c>
      <c r="B24">
        <v>7.8859625112633482</v>
      </c>
      <c r="C24">
        <v>2400</v>
      </c>
      <c r="D24">
        <v>1.379</v>
      </c>
      <c r="E24">
        <v>1.6264948453608248</v>
      </c>
      <c r="F24">
        <v>26.476800000000001</v>
      </c>
      <c r="G24">
        <v>88.882966360990494</v>
      </c>
      <c r="H24">
        <v>178.09685807338144</v>
      </c>
    </row>
    <row r="25" spans="1:8">
      <c r="A25">
        <v>2048</v>
      </c>
      <c r="B25">
        <v>7.9002171973554294</v>
      </c>
      <c r="C25">
        <v>2400</v>
      </c>
      <c r="D25">
        <v>1.379</v>
      </c>
      <c r="E25">
        <v>1.6264948453608248</v>
      </c>
      <c r="F25">
        <v>26.476800000000001</v>
      </c>
      <c r="G25">
        <v>91.549455351820185</v>
      </c>
      <c r="H25">
        <v>181.65879523484907</v>
      </c>
    </row>
    <row r="26" spans="1:8">
      <c r="A26">
        <v>2049</v>
      </c>
      <c r="B26">
        <v>7.9126900476860014</v>
      </c>
      <c r="C26">
        <v>2400</v>
      </c>
      <c r="D26">
        <v>1.379</v>
      </c>
      <c r="E26">
        <v>1.6264948453608248</v>
      </c>
      <c r="F26">
        <v>26.476800000000001</v>
      </c>
      <c r="G26">
        <v>94.295939012374802</v>
      </c>
      <c r="H26">
        <v>185.29197113954606</v>
      </c>
    </row>
    <row r="27" spans="1:8">
      <c r="A27">
        <v>2050</v>
      </c>
      <c r="B27">
        <v>7.9236037917252515</v>
      </c>
      <c r="C27">
        <v>2400</v>
      </c>
      <c r="D27">
        <v>1.379</v>
      </c>
      <c r="E27">
        <v>1.6264948453608248</v>
      </c>
      <c r="F27">
        <v>26.476800000000001</v>
      </c>
      <c r="G27">
        <v>97.124817182746057</v>
      </c>
      <c r="H27">
        <v>188.99781056233695</v>
      </c>
    </row>
    <row r="28" spans="1:8">
      <c r="A28">
        <v>2051</v>
      </c>
      <c r="B28">
        <v>7.9331533177595945</v>
      </c>
      <c r="C28">
        <v>2400</v>
      </c>
      <c r="D28">
        <v>1.379</v>
      </c>
      <c r="E28">
        <v>1.6264948453608248</v>
      </c>
      <c r="F28">
        <v>26.476800000000001</v>
      </c>
      <c r="G28">
        <v>100.03856169822843</v>
      </c>
      <c r="H28">
        <v>192.77776677358372</v>
      </c>
    </row>
    <row r="29" spans="1:8">
      <c r="A29">
        <v>2052</v>
      </c>
      <c r="B29">
        <v>7.9415091530396449</v>
      </c>
      <c r="C29">
        <v>2400</v>
      </c>
      <c r="D29">
        <v>1.379</v>
      </c>
      <c r="E29">
        <v>1.6264948453608248</v>
      </c>
      <c r="F29">
        <v>26.476800000000001</v>
      </c>
      <c r="G29">
        <v>103.03971854917528</v>
      </c>
      <c r="H29">
        <v>196.6333221090554</v>
      </c>
    </row>
    <row r="30" spans="1:8">
      <c r="A30">
        <v>2053</v>
      </c>
      <c r="B30">
        <v>7.9488205089096891</v>
      </c>
      <c r="C30">
        <v>2400</v>
      </c>
      <c r="D30">
        <v>1.379</v>
      </c>
      <c r="E30">
        <v>1.6264948453608248</v>
      </c>
      <c r="F30">
        <v>26.476800000000001</v>
      </c>
      <c r="G30">
        <v>106.13091010565054</v>
      </c>
      <c r="H30">
        <v>200.56598855123647</v>
      </c>
    </row>
    <row r="31" spans="1:8">
      <c r="A31">
        <v>2054</v>
      </c>
      <c r="B31">
        <v>7.9552179452959777</v>
      </c>
      <c r="C31">
        <v>2400</v>
      </c>
      <c r="D31">
        <v>1.379</v>
      </c>
      <c r="E31">
        <v>1.6264948453608248</v>
      </c>
      <c r="F31">
        <v>26.476800000000001</v>
      </c>
      <c r="G31">
        <v>109.31483740882008</v>
      </c>
      <c r="H31">
        <v>204.57730832226125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38E7E-9FF7-5147-A4B3-E36B5857452E}">
  <dimension ref="A1:H31"/>
  <sheetViews>
    <sheetView workbookViewId="0">
      <selection activeCell="K30" sqref="K30"/>
    </sheetView>
  </sheetViews>
  <sheetFormatPr defaultColWidth="11.5546875" defaultRowHeight="14.4"/>
  <sheetData>
    <row r="1" spans="1:8">
      <c r="A1" t="s">
        <v>119</v>
      </c>
      <c r="B1" t="s">
        <v>7</v>
      </c>
      <c r="C1" t="s">
        <v>43</v>
      </c>
      <c r="D1" t="s">
        <v>10</v>
      </c>
      <c r="E1" t="s">
        <v>120</v>
      </c>
      <c r="F1" t="s">
        <v>116</v>
      </c>
      <c r="G1" t="s">
        <v>117</v>
      </c>
      <c r="H1" t="s">
        <v>118</v>
      </c>
    </row>
    <row r="2" spans="1:8">
      <c r="A2">
        <v>2025</v>
      </c>
      <c r="B2">
        <v>6.8849999999999998</v>
      </c>
      <c r="C2">
        <v>160</v>
      </c>
      <c r="D2">
        <v>1.4279999999999999</v>
      </c>
      <c r="E2">
        <v>1.5854684994272625</v>
      </c>
      <c r="F2">
        <v>6.4217159999999982</v>
      </c>
      <c r="G2">
        <v>11.250846431999996</v>
      </c>
      <c r="H2">
        <v>24.786000000000001</v>
      </c>
    </row>
    <row r="3" spans="1:8">
      <c r="A3">
        <v>2026</v>
      </c>
      <c r="B3">
        <v>7.7674999999999983</v>
      </c>
      <c r="C3">
        <v>320</v>
      </c>
      <c r="D3">
        <v>1.3959999999999999</v>
      </c>
      <c r="E3">
        <v>1.5444421534936998</v>
      </c>
      <c r="F3">
        <v>18.795743999999999</v>
      </c>
      <c r="G3">
        <v>33.918047792640003</v>
      </c>
      <c r="H3">
        <v>63.52559999999999</v>
      </c>
    </row>
    <row r="4" spans="1:8">
      <c r="A4">
        <v>2027</v>
      </c>
      <c r="B4">
        <v>8.9456249999999997</v>
      </c>
      <c r="C4">
        <v>480</v>
      </c>
      <c r="D4">
        <v>1.3639999999999999</v>
      </c>
      <c r="E4">
        <v>1.5034158075601376</v>
      </c>
      <c r="F4">
        <v>26.188799999999997</v>
      </c>
      <c r="G4">
        <v>48.677038755839995</v>
      </c>
      <c r="H4">
        <v>119.04881040000001</v>
      </c>
    </row>
    <row r="5" spans="1:8">
      <c r="A5">
        <v>2028</v>
      </c>
      <c r="B5">
        <v>10.243066406249998</v>
      </c>
      <c r="C5">
        <v>640</v>
      </c>
      <c r="D5">
        <v>1.3320000000000001</v>
      </c>
      <c r="E5">
        <v>1.4623894616265751</v>
      </c>
      <c r="F5">
        <v>25.574400000000001</v>
      </c>
      <c r="G5">
        <v>48.961107105177611</v>
      </c>
      <c r="H5">
        <v>122.2511616</v>
      </c>
    </row>
    <row r="6" spans="1:8">
      <c r="A6">
        <v>2029</v>
      </c>
      <c r="B6">
        <v>10.840808105468748</v>
      </c>
      <c r="C6">
        <v>640</v>
      </c>
      <c r="D6">
        <v>1.3</v>
      </c>
      <c r="E6">
        <v>1.4213631156930127</v>
      </c>
      <c r="F6">
        <v>24.96</v>
      </c>
      <c r="G6">
        <v>49.21841022059521</v>
      </c>
      <c r="H6">
        <v>124.696184832</v>
      </c>
    </row>
    <row r="7" spans="1:8">
      <c r="A7">
        <v>2030</v>
      </c>
      <c r="B7">
        <v>11.674457092285156</v>
      </c>
      <c r="C7">
        <v>640</v>
      </c>
      <c r="D7">
        <v>1.268</v>
      </c>
      <c r="E7">
        <v>1.3803367697594502</v>
      </c>
      <c r="F7">
        <v>24.345600000000001</v>
      </c>
      <c r="G7">
        <v>49.447086526543202</v>
      </c>
      <c r="H7">
        <v>127.19010852863998</v>
      </c>
    </row>
    <row r="8" spans="1:8">
      <c r="A8">
        <v>2031</v>
      </c>
      <c r="B8">
        <v>12.73702495574951</v>
      </c>
      <c r="C8">
        <v>640</v>
      </c>
      <c r="D8">
        <v>1.2360000000000002</v>
      </c>
      <c r="E8">
        <v>1.3393104238258879</v>
      </c>
      <c r="F8">
        <v>23.731200000000005</v>
      </c>
      <c r="G8">
        <v>49.645186841649561</v>
      </c>
      <c r="H8">
        <v>129.73391069921277</v>
      </c>
    </row>
    <row r="9" spans="1:8">
      <c r="A9">
        <v>2032</v>
      </c>
      <c r="B9">
        <v>14.022396836280823</v>
      </c>
      <c r="C9">
        <v>640</v>
      </c>
      <c r="D9">
        <v>1.2040000000000002</v>
      </c>
      <c r="E9">
        <v>1.2982840778923255</v>
      </c>
      <c r="F9">
        <v>23.116800000000001</v>
      </c>
      <c r="G9">
        <v>49.810670797788383</v>
      </c>
      <c r="H9">
        <v>132.32858891319708</v>
      </c>
    </row>
    <row r="10" spans="1:8">
      <c r="A10">
        <v>2033</v>
      </c>
      <c r="B10">
        <v>15.474597231745719</v>
      </c>
      <c r="C10">
        <v>640</v>
      </c>
      <c r="D10">
        <v>1.1720000000000002</v>
      </c>
      <c r="E10">
        <v>1.257257731958763</v>
      </c>
      <c r="F10">
        <v>22.502400000000002</v>
      </c>
      <c r="G10">
        <v>49.941403123138073</v>
      </c>
      <c r="H10">
        <v>134.97516069146099</v>
      </c>
    </row>
    <row r="11" spans="1:8">
      <c r="A11">
        <v>2034</v>
      </c>
      <c r="B11">
        <v>17.102772577777504</v>
      </c>
      <c r="C11">
        <v>640</v>
      </c>
      <c r="D11">
        <v>1.1400000000000001</v>
      </c>
      <c r="E11">
        <v>1.2162313860252005</v>
      </c>
      <c r="F11">
        <v>21.888000000000002</v>
      </c>
      <c r="G11">
        <v>50.035149784290709</v>
      </c>
      <c r="H11">
        <v>137.67466390529026</v>
      </c>
    </row>
    <row r="12" spans="1:8">
      <c r="A12">
        <v>2035</v>
      </c>
      <c r="B12">
        <v>18.714926005555316</v>
      </c>
      <c r="C12">
        <v>640</v>
      </c>
      <c r="D12">
        <v>1.1400000000000001</v>
      </c>
      <c r="E12">
        <v>1.2162313860252005</v>
      </c>
      <c r="F12">
        <v>21.888000000000002</v>
      </c>
      <c r="G12">
        <v>51.536204277819436</v>
      </c>
      <c r="H12">
        <v>140.42815718339605</v>
      </c>
    </row>
    <row r="13" spans="1:8">
      <c r="A13">
        <v>2036</v>
      </c>
      <c r="B13">
        <v>20.3130602548609</v>
      </c>
      <c r="C13">
        <v>640</v>
      </c>
      <c r="D13">
        <v>1.1400000000000001</v>
      </c>
      <c r="E13">
        <v>1.2162313860252005</v>
      </c>
      <c r="F13">
        <v>21.888000000000002</v>
      </c>
      <c r="G13">
        <v>53.082290406154023</v>
      </c>
      <c r="H13">
        <v>143.23672032706395</v>
      </c>
    </row>
    <row r="14" spans="1:8">
      <c r="A14">
        <v>2037</v>
      </c>
      <c r="B14">
        <v>21.89892772300329</v>
      </c>
      <c r="C14">
        <v>640</v>
      </c>
      <c r="D14">
        <v>1.1400000000000001</v>
      </c>
      <c r="E14">
        <v>1.2162313860252005</v>
      </c>
      <c r="F14">
        <v>21.888000000000002</v>
      </c>
      <c r="G14">
        <v>54.674759118338642</v>
      </c>
      <c r="H14">
        <v>146.10145473360527</v>
      </c>
    </row>
    <row r="15" spans="1:8">
      <c r="A15">
        <v>2038</v>
      </c>
      <c r="B15">
        <v>23.474061757627876</v>
      </c>
      <c r="C15">
        <v>640</v>
      </c>
      <c r="D15">
        <v>1.1400000000000001</v>
      </c>
      <c r="E15">
        <v>1.2162313860252005</v>
      </c>
      <c r="F15">
        <v>21.888000000000002</v>
      </c>
      <c r="G15">
        <v>56.315001891888805</v>
      </c>
      <c r="H15">
        <v>149.02348382827739</v>
      </c>
    </row>
    <row r="16" spans="1:8">
      <c r="A16">
        <v>2039</v>
      </c>
      <c r="B16">
        <v>25.039804037924391</v>
      </c>
      <c r="C16">
        <v>640</v>
      </c>
      <c r="D16">
        <v>1.1400000000000001</v>
      </c>
      <c r="E16">
        <v>1.2162313860252005</v>
      </c>
      <c r="F16">
        <v>21.888000000000002</v>
      </c>
      <c r="G16">
        <v>58.004451948645482</v>
      </c>
      <c r="H16">
        <v>152.00395350484294</v>
      </c>
    </row>
    <row r="17" spans="1:8">
      <c r="A17">
        <v>2040</v>
      </c>
      <c r="B17">
        <v>26.597328533183845</v>
      </c>
      <c r="C17">
        <v>640</v>
      </c>
      <c r="D17">
        <v>1.1400000000000001</v>
      </c>
      <c r="E17">
        <v>1.2162313860252005</v>
      </c>
      <c r="F17">
        <v>21.888000000000002</v>
      </c>
      <c r="G17">
        <v>59.744585507104844</v>
      </c>
      <c r="H17">
        <v>155.04403257493982</v>
      </c>
    </row>
    <row r="18" spans="1:8">
      <c r="A18">
        <v>2041</v>
      </c>
      <c r="B18">
        <v>28.147662466535866</v>
      </c>
      <c r="C18">
        <v>640</v>
      </c>
      <c r="D18">
        <v>1.1400000000000001</v>
      </c>
      <c r="E18">
        <v>1.2162313860252005</v>
      </c>
      <c r="F18">
        <v>21.888000000000002</v>
      </c>
      <c r="G18">
        <v>61.53692307231799</v>
      </c>
      <c r="H18">
        <v>158.1449132264386</v>
      </c>
    </row>
    <row r="19" spans="1:8">
      <c r="A19">
        <v>2042</v>
      </c>
      <c r="B19">
        <v>29.629204658218885</v>
      </c>
      <c r="C19">
        <v>640</v>
      </c>
      <c r="D19">
        <v>1.1400000000000001</v>
      </c>
      <c r="E19">
        <v>1.2162313860252005</v>
      </c>
      <c r="F19">
        <v>21.888000000000002</v>
      </c>
      <c r="G19">
        <v>63.383030764487522</v>
      </c>
      <c r="H19">
        <v>161.30781149096737</v>
      </c>
    </row>
    <row r="20" spans="1:8">
      <c r="A20">
        <v>2043</v>
      </c>
      <c r="B20">
        <v>30.925554075941523</v>
      </c>
      <c r="C20">
        <v>640</v>
      </c>
      <c r="D20">
        <v>1.1400000000000001</v>
      </c>
      <c r="E20">
        <v>1.2162313860252005</v>
      </c>
      <c r="F20">
        <v>21.888000000000002</v>
      </c>
      <c r="G20">
        <v>65.284521687422142</v>
      </c>
      <c r="H20">
        <v>164.53396772078673</v>
      </c>
    </row>
    <row r="21" spans="1:8">
      <c r="A21">
        <v>2044</v>
      </c>
      <c r="B21">
        <v>32.059859816448828</v>
      </c>
      <c r="C21">
        <v>640</v>
      </c>
      <c r="D21">
        <v>1.1400000000000001</v>
      </c>
      <c r="E21">
        <v>1.2162313860252005</v>
      </c>
      <c r="F21">
        <v>21.888000000000002</v>
      </c>
      <c r="G21">
        <v>67.243057338044821</v>
      </c>
      <c r="H21">
        <v>167.82464707520245</v>
      </c>
    </row>
    <row r="22" spans="1:8">
      <c r="A22">
        <v>2045</v>
      </c>
      <c r="B22">
        <v>33.052377339392727</v>
      </c>
      <c r="C22">
        <v>640</v>
      </c>
      <c r="D22">
        <v>1.1400000000000001</v>
      </c>
      <c r="E22">
        <v>1.2162313860252005</v>
      </c>
      <c r="F22">
        <v>21.888000000000002</v>
      </c>
      <c r="G22">
        <v>69.260349058186165</v>
      </c>
      <c r="H22">
        <v>171.18114001670648</v>
      </c>
    </row>
    <row r="23" spans="1:8">
      <c r="A23">
        <v>2046</v>
      </c>
      <c r="B23">
        <v>33.920830171968632</v>
      </c>
      <c r="C23">
        <v>640</v>
      </c>
      <c r="D23">
        <v>1.1400000000000001</v>
      </c>
      <c r="E23">
        <v>1.2162313860252005</v>
      </c>
      <c r="F23">
        <v>21.888000000000002</v>
      </c>
      <c r="G23">
        <v>71.338159529931758</v>
      </c>
      <c r="H23">
        <v>174.60476281704067</v>
      </c>
    </row>
    <row r="24" spans="1:8">
      <c r="A24">
        <v>2047</v>
      </c>
      <c r="B24">
        <v>34.680726400472551</v>
      </c>
      <c r="C24">
        <v>640</v>
      </c>
      <c r="D24">
        <v>1.1400000000000001</v>
      </c>
      <c r="E24">
        <v>1.2162313860252005</v>
      </c>
      <c r="F24">
        <v>21.888000000000002</v>
      </c>
      <c r="G24">
        <v>73.478304315829689</v>
      </c>
      <c r="H24">
        <v>178.09685807338144</v>
      </c>
    </row>
    <row r="25" spans="1:8">
      <c r="A25">
        <v>2048</v>
      </c>
      <c r="B25">
        <v>35.34563560041348</v>
      </c>
      <c r="C25">
        <v>640</v>
      </c>
      <c r="D25">
        <v>1.1400000000000001</v>
      </c>
      <c r="E25">
        <v>1.2162313860252005</v>
      </c>
      <c r="F25">
        <v>21.888000000000002</v>
      </c>
      <c r="G25">
        <v>75.682653445304581</v>
      </c>
      <c r="H25">
        <v>181.65879523484907</v>
      </c>
    </row>
    <row r="26" spans="1:8">
      <c r="A26">
        <v>2049</v>
      </c>
      <c r="B26">
        <v>35.927431150361798</v>
      </c>
      <c r="C26">
        <v>640</v>
      </c>
      <c r="D26">
        <v>1.1400000000000001</v>
      </c>
      <c r="E26">
        <v>1.2162313860252005</v>
      </c>
      <c r="F26">
        <v>21.888000000000002</v>
      </c>
      <c r="G26">
        <v>77.95313304866373</v>
      </c>
      <c r="H26">
        <v>185.29197113954606</v>
      </c>
    </row>
    <row r="27" spans="1:8">
      <c r="A27">
        <v>2050</v>
      </c>
      <c r="B27">
        <v>36.436502256566577</v>
      </c>
      <c r="C27">
        <v>640</v>
      </c>
      <c r="D27">
        <v>1.1400000000000001</v>
      </c>
      <c r="E27">
        <v>1.2162313860252005</v>
      </c>
      <c r="F27">
        <v>21.888000000000002</v>
      </c>
      <c r="G27">
        <v>80.291727040123646</v>
      </c>
      <c r="H27">
        <v>188.99781056233695</v>
      </c>
    </row>
    <row r="28" spans="1:8">
      <c r="A28">
        <v>2051</v>
      </c>
      <c r="B28">
        <v>36.881939474495752</v>
      </c>
      <c r="C28">
        <v>640</v>
      </c>
      <c r="D28">
        <v>1.1400000000000001</v>
      </c>
      <c r="E28">
        <v>1.2162313860252005</v>
      </c>
      <c r="F28">
        <v>21.888000000000002</v>
      </c>
      <c r="G28">
        <v>82.700478851327361</v>
      </c>
      <c r="H28">
        <v>192.77776677358372</v>
      </c>
    </row>
    <row r="29" spans="1:8">
      <c r="A29">
        <v>2052</v>
      </c>
      <c r="B29">
        <v>37.271697040183781</v>
      </c>
      <c r="C29">
        <v>640</v>
      </c>
      <c r="D29">
        <v>1.1400000000000001</v>
      </c>
      <c r="E29">
        <v>1.2162313860252005</v>
      </c>
      <c r="F29">
        <v>21.888000000000002</v>
      </c>
      <c r="G29">
        <v>85.181493216867182</v>
      </c>
      <c r="H29">
        <v>196.6333221090554</v>
      </c>
    </row>
    <row r="30" spans="1:8">
      <c r="A30">
        <v>2053</v>
      </c>
      <c r="B30">
        <v>37.612734910160803</v>
      </c>
      <c r="C30">
        <v>640</v>
      </c>
      <c r="D30">
        <v>1.1400000000000001</v>
      </c>
      <c r="E30">
        <v>1.2162313860252005</v>
      </c>
      <c r="F30">
        <v>21.888000000000002</v>
      </c>
      <c r="G30">
        <v>87.736938013373191</v>
      </c>
      <c r="H30">
        <v>200.56598855123647</v>
      </c>
    </row>
    <row r="31" spans="1:8">
      <c r="A31">
        <v>2054</v>
      </c>
      <c r="B31">
        <v>37.911143046390706</v>
      </c>
      <c r="C31">
        <v>640</v>
      </c>
      <c r="D31">
        <v>1.1400000000000001</v>
      </c>
      <c r="E31">
        <v>1.2162313860252005</v>
      </c>
      <c r="F31">
        <v>21.888000000000002</v>
      </c>
      <c r="G31">
        <v>90.369046153774391</v>
      </c>
      <c r="H31">
        <v>204.57730832226125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46B9C-E82D-4734-8F39-E77DB0F3080F}">
  <dimension ref="A1:AH75"/>
  <sheetViews>
    <sheetView topLeftCell="B1" zoomScaleNormal="100" workbookViewId="0">
      <selection activeCell="I6" sqref="I6:J34"/>
    </sheetView>
  </sheetViews>
  <sheetFormatPr defaultColWidth="10.77734375" defaultRowHeight="15.6"/>
  <cols>
    <col min="1" max="2" width="10.77734375" style="9"/>
    <col min="3" max="3" width="15.109375" style="9" customWidth="1"/>
    <col min="4" max="4" width="10.77734375" style="9"/>
    <col min="5" max="5" width="14" style="9" bestFit="1" customWidth="1"/>
    <col min="6" max="6" width="11" style="9" bestFit="1" customWidth="1"/>
    <col min="7" max="34" width="11.6640625" style="9" bestFit="1" customWidth="1"/>
    <col min="35" max="16384" width="10.77734375" style="9"/>
  </cols>
  <sheetData>
    <row r="1" spans="1:32" ht="21.6" thickBot="1">
      <c r="A1" s="1" t="s">
        <v>24</v>
      </c>
      <c r="C1" s="3"/>
      <c r="G1" s="67"/>
      <c r="H1" s="68"/>
      <c r="I1" s="69" t="s">
        <v>101</v>
      </c>
      <c r="J1" s="70"/>
      <c r="K1" s="71"/>
      <c r="L1" s="17" t="s">
        <v>100</v>
      </c>
      <c r="M1" s="67"/>
      <c r="N1" s="68"/>
      <c r="O1" s="70" t="s">
        <v>34</v>
      </c>
      <c r="P1" s="68"/>
      <c r="Q1" s="71"/>
    </row>
    <row r="2" spans="1:32">
      <c r="G2" s="41" t="s">
        <v>115</v>
      </c>
      <c r="H2" s="42"/>
      <c r="I2" s="43"/>
      <c r="J2" s="43"/>
      <c r="K2" s="44"/>
      <c r="M2" s="41" t="s">
        <v>28</v>
      </c>
      <c r="N2" s="42"/>
      <c r="O2" s="42"/>
      <c r="P2" s="42"/>
      <c r="Q2" s="61"/>
      <c r="R2" s="3"/>
      <c r="S2" s="3"/>
      <c r="T2" s="3"/>
      <c r="U2" s="3"/>
      <c r="V2" s="3"/>
    </row>
    <row r="3" spans="1:32">
      <c r="B3" s="29" t="s">
        <v>11</v>
      </c>
      <c r="C3" s="29" t="s">
        <v>8</v>
      </c>
      <c r="D3" s="3"/>
      <c r="E3" s="3"/>
      <c r="F3" s="3"/>
      <c r="G3" s="45" t="s">
        <v>97</v>
      </c>
      <c r="H3" s="46"/>
      <c r="I3" s="47"/>
      <c r="J3" s="47"/>
      <c r="K3" s="48"/>
      <c r="M3" s="45" t="s">
        <v>98</v>
      </c>
      <c r="N3" s="46"/>
      <c r="O3" s="46"/>
      <c r="P3" s="47"/>
      <c r="Q3" s="48"/>
      <c r="S3" s="30" t="s">
        <v>12</v>
      </c>
      <c r="T3" s="30">
        <v>10</v>
      </c>
      <c r="U3" s="3" t="s">
        <v>103</v>
      </c>
      <c r="V3" s="3"/>
      <c r="W3" s="3"/>
      <c r="X3" s="3"/>
      <c r="Y3" s="3"/>
      <c r="Z3" s="3" t="s">
        <v>27</v>
      </c>
      <c r="AA3" s="3"/>
      <c r="AB3" s="3" t="s">
        <v>28</v>
      </c>
      <c r="AC3" s="3"/>
    </row>
    <row r="4" spans="1:32">
      <c r="B4" s="3" t="s">
        <v>88</v>
      </c>
      <c r="D4" s="3"/>
      <c r="E4" s="3"/>
      <c r="F4" s="3"/>
      <c r="G4" s="45"/>
      <c r="H4" s="46"/>
      <c r="I4" s="76" t="s">
        <v>91</v>
      </c>
      <c r="J4" s="76"/>
      <c r="K4" s="48"/>
      <c r="M4" s="45"/>
      <c r="N4" s="46"/>
      <c r="O4" s="46"/>
      <c r="P4" s="76" t="s">
        <v>91</v>
      </c>
      <c r="Q4" s="77"/>
      <c r="S4" s="9" t="str">
        <f>B4</f>
        <v>Include = 'Y'; do not include = "N"</v>
      </c>
      <c r="V4" s="3"/>
      <c r="W4" s="3"/>
      <c r="X4" s="3"/>
      <c r="Y4" s="3"/>
      <c r="Z4" s="3" t="s">
        <v>53</v>
      </c>
      <c r="AA4" s="3"/>
      <c r="AB4" s="3" t="s">
        <v>12</v>
      </c>
      <c r="AC4" s="3"/>
    </row>
    <row r="5" spans="1:32">
      <c r="B5" s="3"/>
      <c r="D5" s="3"/>
      <c r="E5" s="3"/>
      <c r="F5" s="3"/>
      <c r="G5" s="45"/>
      <c r="H5" s="46"/>
      <c r="I5" s="49" t="s">
        <v>93</v>
      </c>
      <c r="J5" s="49" t="s">
        <v>92</v>
      </c>
      <c r="K5" s="48"/>
      <c r="M5" s="45"/>
      <c r="N5" s="46"/>
      <c r="O5" s="46"/>
      <c r="P5" s="49" t="s">
        <v>93</v>
      </c>
      <c r="Q5" s="62" t="s">
        <v>92</v>
      </c>
      <c r="V5" s="3"/>
      <c r="W5" s="3"/>
      <c r="X5" s="3"/>
      <c r="Y5" s="3"/>
      <c r="Z5" s="3"/>
      <c r="AA5" s="3"/>
      <c r="AB5" s="3"/>
      <c r="AC5" s="3"/>
    </row>
    <row r="6" spans="1:32">
      <c r="B6" s="17" t="s">
        <v>89</v>
      </c>
      <c r="C6" s="9" t="s">
        <v>32</v>
      </c>
      <c r="D6" s="3"/>
      <c r="E6" s="3"/>
      <c r="F6" s="3"/>
      <c r="G6" s="50">
        <v>4</v>
      </c>
      <c r="H6" s="46"/>
      <c r="I6" s="49">
        <v>2</v>
      </c>
      <c r="J6" s="49">
        <v>6</v>
      </c>
      <c r="K6" s="48"/>
      <c r="M6" s="50">
        <f>G6</f>
        <v>4</v>
      </c>
      <c r="N6" s="46"/>
      <c r="O6" s="46"/>
      <c r="P6" s="49">
        <v>2</v>
      </c>
      <c r="Q6" s="62">
        <v>6</v>
      </c>
      <c r="S6" s="11" t="s">
        <v>89</v>
      </c>
      <c r="T6" s="9" t="s">
        <v>114</v>
      </c>
      <c r="Z6" s="31" t="e">
        <f>N50+(G23-G20)</f>
        <v>#REF!</v>
      </c>
      <c r="AA6" s="11"/>
      <c r="AB6" s="31" t="e">
        <f>N70+(M23-M20)</f>
        <v>#REF!</v>
      </c>
    </row>
    <row r="7" spans="1:32">
      <c r="B7" s="17" t="s">
        <v>89</v>
      </c>
      <c r="C7" s="9" t="s">
        <v>40</v>
      </c>
      <c r="D7" s="3"/>
      <c r="E7" s="3"/>
      <c r="F7" s="3"/>
      <c r="G7" s="50">
        <v>19.2</v>
      </c>
      <c r="H7" s="47"/>
      <c r="I7" s="49">
        <v>10</v>
      </c>
      <c r="J7" s="49">
        <v>40</v>
      </c>
      <c r="K7" s="48"/>
      <c r="M7" s="50">
        <f>G7</f>
        <v>19.2</v>
      </c>
      <c r="N7" s="46"/>
      <c r="O7" s="47"/>
      <c r="P7" s="49">
        <v>10</v>
      </c>
      <c r="Q7" s="62">
        <v>40</v>
      </c>
      <c r="S7" s="11" t="s">
        <v>89</v>
      </c>
      <c r="T7" s="2" t="s">
        <v>14</v>
      </c>
      <c r="Z7" s="31" t="e">
        <f>N50</f>
        <v>#REF!</v>
      </c>
      <c r="AA7" s="11"/>
      <c r="AB7" s="31" t="e">
        <f>N70</f>
        <v>#REF!</v>
      </c>
    </row>
    <row r="8" spans="1:32">
      <c r="B8" s="17" t="s">
        <v>89</v>
      </c>
      <c r="C8" s="9" t="s">
        <v>41</v>
      </c>
      <c r="D8" s="3"/>
      <c r="E8" s="3"/>
      <c r="F8" s="3"/>
      <c r="G8" s="51">
        <f>ROUND(G7/G11*1000,0)</f>
        <v>2400</v>
      </c>
      <c r="H8" s="47"/>
      <c r="I8" s="49"/>
      <c r="J8" s="49"/>
      <c r="K8" s="48"/>
      <c r="M8" s="51">
        <f>ROUND(G8*G11/(M11*(1-N8)),0)</f>
        <v>640</v>
      </c>
      <c r="N8" s="63">
        <v>0.25</v>
      </c>
      <c r="O8" s="47" t="s">
        <v>72</v>
      </c>
      <c r="P8" s="49"/>
      <c r="Q8" s="62"/>
      <c r="S8" s="11" t="s">
        <v>89</v>
      </c>
      <c r="T8" s="9" t="s">
        <v>54</v>
      </c>
      <c r="Z8" s="12" t="e">
        <f>8760*N51</f>
        <v>#REF!</v>
      </c>
      <c r="AA8" s="11"/>
      <c r="AB8" s="32" t="e">
        <f>8760*N71</f>
        <v>#REF!</v>
      </c>
      <c r="AF8" s="9" t="s">
        <v>37</v>
      </c>
    </row>
    <row r="9" spans="1:32">
      <c r="B9" s="17" t="s">
        <v>89</v>
      </c>
      <c r="C9" s="9" t="s">
        <v>38</v>
      </c>
      <c r="D9" s="2"/>
      <c r="E9" s="2"/>
      <c r="F9" s="2"/>
      <c r="G9" s="52">
        <v>10</v>
      </c>
      <c r="H9" s="72" t="s">
        <v>94</v>
      </c>
      <c r="I9" s="49">
        <v>6</v>
      </c>
      <c r="J9" s="49">
        <v>12</v>
      </c>
      <c r="K9" s="48"/>
      <c r="M9" s="55">
        <v>80</v>
      </c>
      <c r="N9" s="47" t="s">
        <v>95</v>
      </c>
      <c r="O9" s="47"/>
      <c r="P9" s="49">
        <v>40</v>
      </c>
      <c r="Q9" s="62">
        <v>100</v>
      </c>
      <c r="S9" s="11" t="s">
        <v>89</v>
      </c>
      <c r="T9" s="2" t="s">
        <v>1</v>
      </c>
      <c r="W9" s="9" t="s">
        <v>2</v>
      </c>
      <c r="Z9" s="35" t="e">
        <f>Z8/1000/#REF!*#REF!</f>
        <v>#REF!</v>
      </c>
      <c r="AB9" s="35" t="e">
        <f>AB8/1000/#REF!*#REF!</f>
        <v>#REF!</v>
      </c>
      <c r="AF9" s="10" t="s">
        <v>31</v>
      </c>
    </row>
    <row r="10" spans="1:32">
      <c r="B10" s="17" t="s">
        <v>89</v>
      </c>
      <c r="C10" s="9" t="s">
        <v>39</v>
      </c>
      <c r="D10" s="2"/>
      <c r="E10" s="2"/>
      <c r="F10" s="2"/>
      <c r="G10" s="52">
        <v>4</v>
      </c>
      <c r="H10" s="72"/>
      <c r="I10" s="49">
        <v>3</v>
      </c>
      <c r="J10" s="49">
        <v>6</v>
      </c>
      <c r="K10" s="48"/>
      <c r="M10" s="55">
        <v>20</v>
      </c>
      <c r="N10" s="64"/>
      <c r="O10" s="47"/>
      <c r="P10" s="49">
        <v>10</v>
      </c>
      <c r="Q10" s="62">
        <v>20</v>
      </c>
      <c r="S10" s="11" t="s">
        <v>89</v>
      </c>
      <c r="T10" s="2" t="s">
        <v>3</v>
      </c>
      <c r="W10" s="9" t="s">
        <v>2</v>
      </c>
      <c r="Z10" s="35" t="e">
        <f>Z8/1000/#REF!*#REF!</f>
        <v>#REF!</v>
      </c>
      <c r="AB10" s="35" t="e">
        <f>(AB8/1000/#REF!*#REF!)*(1-M29)</f>
        <v>#REF!</v>
      </c>
      <c r="AF10" s="10" t="s">
        <v>36</v>
      </c>
    </row>
    <row r="11" spans="1:32">
      <c r="B11" s="17" t="s">
        <v>89</v>
      </c>
      <c r="C11" s="9" t="s">
        <v>33</v>
      </c>
      <c r="D11" s="2"/>
      <c r="E11" s="2"/>
      <c r="F11" s="2"/>
      <c r="G11" s="52">
        <v>8</v>
      </c>
      <c r="H11" s="72"/>
      <c r="I11" s="49">
        <v>7</v>
      </c>
      <c r="J11" s="49">
        <v>9</v>
      </c>
      <c r="K11" s="48"/>
      <c r="M11" s="55">
        <v>40</v>
      </c>
      <c r="N11" s="47"/>
      <c r="O11" s="47"/>
      <c r="P11" s="49">
        <v>30</v>
      </c>
      <c r="Q11" s="62">
        <v>60</v>
      </c>
      <c r="S11" s="11" t="s">
        <v>89</v>
      </c>
      <c r="T11" s="9" t="s">
        <v>55</v>
      </c>
      <c r="W11" s="9" t="s">
        <v>56</v>
      </c>
      <c r="Z11" s="13">
        <v>1</v>
      </c>
      <c r="AA11" s="11"/>
      <c r="AB11" s="36">
        <f>Z11*AB19/Z19</f>
        <v>0.56862745098039214</v>
      </c>
    </row>
    <row r="12" spans="1:32">
      <c r="B12" s="17" t="s">
        <v>89</v>
      </c>
      <c r="C12" s="9" t="s">
        <v>42</v>
      </c>
      <c r="D12" s="2"/>
      <c r="E12" s="2"/>
      <c r="F12" s="2"/>
      <c r="G12" s="52">
        <v>8</v>
      </c>
      <c r="H12" s="72"/>
      <c r="I12" s="49">
        <v>4</v>
      </c>
      <c r="J12" s="49">
        <v>10</v>
      </c>
      <c r="K12" s="48"/>
      <c r="M12" s="55">
        <v>20</v>
      </c>
      <c r="N12" s="64"/>
      <c r="O12" s="47"/>
      <c r="P12" s="49">
        <v>4</v>
      </c>
      <c r="Q12" s="62">
        <v>10</v>
      </c>
      <c r="S12" s="11" t="s">
        <v>89</v>
      </c>
      <c r="T12" s="2" t="s">
        <v>4</v>
      </c>
      <c r="W12" s="9" t="s">
        <v>2</v>
      </c>
      <c r="X12" s="9" t="s">
        <v>71</v>
      </c>
      <c r="Z12" s="35" t="e">
        <f>Z8/1000/#REF!*#REF!</f>
        <v>#REF!</v>
      </c>
      <c r="AB12" s="35" t="e">
        <f>AB8/1000/#REF!*#REF!</f>
        <v>#REF!</v>
      </c>
    </row>
    <row r="13" spans="1:32">
      <c r="B13" s="17" t="s">
        <v>89</v>
      </c>
      <c r="C13" s="9" t="s">
        <v>29</v>
      </c>
      <c r="E13" s="2"/>
      <c r="F13" s="2"/>
      <c r="G13" s="52">
        <v>2025</v>
      </c>
      <c r="H13" s="72"/>
      <c r="I13" s="49">
        <v>2023</v>
      </c>
      <c r="J13" s="49">
        <v>2025</v>
      </c>
      <c r="K13" s="48"/>
      <c r="M13" s="55">
        <f>G13</f>
        <v>2025</v>
      </c>
      <c r="N13" s="64"/>
      <c r="O13" s="47"/>
      <c r="P13" s="49">
        <v>2023</v>
      </c>
      <c r="Q13" s="62">
        <v>2025</v>
      </c>
      <c r="S13" s="11" t="s">
        <v>89</v>
      </c>
      <c r="T13" s="9" t="s">
        <v>57</v>
      </c>
      <c r="W13" s="9" t="s">
        <v>58</v>
      </c>
      <c r="X13" s="9" t="s">
        <v>61</v>
      </c>
      <c r="Z13" s="32" t="e">
        <f>#REF!*N51*1000</f>
        <v>#REF!</v>
      </c>
      <c r="AA13" s="11" t="s">
        <v>60</v>
      </c>
      <c r="AB13" s="32">
        <v>0</v>
      </c>
      <c r="AC13" s="9" t="s">
        <v>62</v>
      </c>
    </row>
    <row r="14" spans="1:32">
      <c r="B14" s="17" t="s">
        <v>89</v>
      </c>
      <c r="C14" s="9" t="s">
        <v>30</v>
      </c>
      <c r="E14" s="2"/>
      <c r="F14" s="2"/>
      <c r="G14" s="52">
        <v>30</v>
      </c>
      <c r="H14" s="72"/>
      <c r="I14" s="49"/>
      <c r="J14" s="49"/>
      <c r="K14" s="48"/>
      <c r="M14" s="55">
        <f>G14</f>
        <v>30</v>
      </c>
      <c r="N14" s="64"/>
      <c r="O14" s="47"/>
      <c r="P14" s="49"/>
      <c r="Q14" s="62"/>
      <c r="S14" s="11" t="s">
        <v>89</v>
      </c>
      <c r="T14" s="2" t="s">
        <v>5</v>
      </c>
      <c r="W14" s="9" t="s">
        <v>59</v>
      </c>
      <c r="Z14" s="33" t="e">
        <f>Z13/Z8</f>
        <v>#REF!</v>
      </c>
      <c r="AA14" s="11"/>
      <c r="AB14" s="33" t="e">
        <f>AB13/AB8</f>
        <v>#REF!</v>
      </c>
    </row>
    <row r="15" spans="1:32">
      <c r="B15" s="17" t="s">
        <v>89</v>
      </c>
      <c r="C15" s="9" t="s">
        <v>69</v>
      </c>
      <c r="D15" s="2"/>
      <c r="E15" s="2"/>
      <c r="F15" s="2"/>
      <c r="G15" s="53">
        <v>1</v>
      </c>
      <c r="H15" s="72"/>
      <c r="I15" s="54">
        <v>0.9</v>
      </c>
      <c r="J15" s="54">
        <v>1</v>
      </c>
      <c r="K15" s="48"/>
      <c r="M15" s="56">
        <v>0.9</v>
      </c>
      <c r="N15" s="64"/>
      <c r="O15" s="47"/>
      <c r="P15" s="54">
        <v>0.3</v>
      </c>
      <c r="Q15" s="65">
        <v>0.6</v>
      </c>
      <c r="S15" s="11" t="s">
        <v>89</v>
      </c>
      <c r="T15" s="2" t="s">
        <v>17</v>
      </c>
      <c r="W15" s="9" t="s">
        <v>58</v>
      </c>
      <c r="Z15" s="14" t="e">
        <f>Z13-G29*G30*Z8*1000/2300</f>
        <v>#REF!</v>
      </c>
      <c r="AA15" s="11"/>
      <c r="AB15" s="35" t="e">
        <f>ROUND(AB13-M29*M30*AB8*1000/2300,-3)</f>
        <v>#REF!</v>
      </c>
    </row>
    <row r="16" spans="1:32">
      <c r="B16" s="17" t="s">
        <v>89</v>
      </c>
      <c r="C16" s="9" t="s">
        <v>70</v>
      </c>
      <c r="D16" s="2"/>
      <c r="E16" s="2"/>
      <c r="F16" s="2"/>
      <c r="G16" s="53">
        <v>0.9</v>
      </c>
      <c r="H16" s="72"/>
      <c r="I16" s="54">
        <v>0.6</v>
      </c>
      <c r="J16" s="54">
        <v>0.9</v>
      </c>
      <c r="K16" s="48"/>
      <c r="M16" s="56">
        <v>0.5</v>
      </c>
      <c r="N16" s="64"/>
      <c r="O16" s="47"/>
      <c r="P16" s="54">
        <v>0.05</v>
      </c>
      <c r="Q16" s="65">
        <v>0.2</v>
      </c>
      <c r="S16" s="11" t="s">
        <v>89</v>
      </c>
      <c r="T16" s="9" t="s">
        <v>66</v>
      </c>
      <c r="W16" s="9" t="s">
        <v>65</v>
      </c>
      <c r="Z16" s="14">
        <f>$G$8*G26/1000</f>
        <v>84</v>
      </c>
      <c r="AB16" s="35">
        <f>$M$8*M26/1000</f>
        <v>22.4</v>
      </c>
    </row>
    <row r="17" spans="2:28">
      <c r="B17" s="17" t="s">
        <v>89</v>
      </c>
      <c r="C17" s="2" t="s">
        <v>13</v>
      </c>
      <c r="D17" s="2"/>
      <c r="E17" s="2"/>
      <c r="F17" s="2"/>
      <c r="G17" s="55" t="s">
        <v>18</v>
      </c>
      <c r="H17" s="72"/>
      <c r="I17" s="49"/>
      <c r="J17" s="49"/>
      <c r="K17" s="48"/>
      <c r="M17" s="55" t="str">
        <f>G17</f>
        <v>Singapore</v>
      </c>
      <c r="N17" s="64"/>
      <c r="O17" s="47"/>
      <c r="P17" s="49"/>
      <c r="Q17" s="62"/>
      <c r="S17" s="11" t="s">
        <v>89</v>
      </c>
      <c r="T17" s="9" t="s">
        <v>67</v>
      </c>
      <c r="W17" s="9" t="s">
        <v>65</v>
      </c>
      <c r="Z17" s="14">
        <f>$G$8*G27/1000</f>
        <v>120</v>
      </c>
      <c r="AB17" s="14">
        <f>$M$8*M27/1000</f>
        <v>32</v>
      </c>
    </row>
    <row r="18" spans="2:28">
      <c r="B18" s="17" t="s">
        <v>89</v>
      </c>
      <c r="C18" s="2" t="s">
        <v>15</v>
      </c>
      <c r="D18" s="2"/>
      <c r="E18" s="2"/>
      <c r="F18" s="2"/>
      <c r="G18" s="55" t="s">
        <v>31</v>
      </c>
      <c r="H18" s="72"/>
      <c r="I18" s="49"/>
      <c r="J18" s="49"/>
      <c r="K18" s="48"/>
      <c r="M18" s="55" t="str">
        <f>G18</f>
        <v>Air</v>
      </c>
      <c r="N18" s="64"/>
      <c r="O18" s="47"/>
      <c r="P18" s="49"/>
      <c r="Q18" s="62"/>
      <c r="S18" s="11" t="s">
        <v>89</v>
      </c>
      <c r="T18" s="9" t="s">
        <v>68</v>
      </c>
      <c r="W18" s="9" t="s">
        <v>65</v>
      </c>
      <c r="Z18" s="14">
        <f>$G$8*G28/1000</f>
        <v>84</v>
      </c>
      <c r="AB18" s="14">
        <f>$M$8*M28/1000</f>
        <v>84</v>
      </c>
    </row>
    <row r="19" spans="2:28">
      <c r="B19" s="17" t="s">
        <v>89</v>
      </c>
      <c r="C19" s="2" t="s">
        <v>16</v>
      </c>
      <c r="D19" s="2"/>
      <c r="E19" s="2"/>
      <c r="F19" s="2"/>
      <c r="G19" s="53">
        <v>0</v>
      </c>
      <c r="H19" s="47"/>
      <c r="I19" s="54"/>
      <c r="J19" s="54"/>
      <c r="K19" s="48"/>
      <c r="M19" s="53">
        <v>0.8</v>
      </c>
      <c r="N19" s="64"/>
      <c r="O19" s="47"/>
      <c r="P19" s="54">
        <v>0</v>
      </c>
      <c r="Q19" s="65">
        <v>1</v>
      </c>
      <c r="S19" s="11" t="s">
        <v>89</v>
      </c>
      <c r="T19" s="9" t="s">
        <v>75</v>
      </c>
      <c r="W19" s="9" t="s">
        <v>65</v>
      </c>
      <c r="Z19" s="14">
        <f>Z17+Z18</f>
        <v>204</v>
      </c>
      <c r="AB19" s="14">
        <f>AB17+AB18</f>
        <v>116</v>
      </c>
    </row>
    <row r="20" spans="2:28">
      <c r="B20" s="17" t="s">
        <v>89</v>
      </c>
      <c r="C20" s="9" t="s">
        <v>9</v>
      </c>
      <c r="E20" s="2"/>
      <c r="F20" s="2"/>
      <c r="G20" s="73" t="e">
        <f>VLOOKUP(G17,PUELookup,IF(G18="Water",2,3))</f>
        <v>#REF!</v>
      </c>
      <c r="H20" s="72"/>
      <c r="I20" s="49"/>
      <c r="J20" s="49"/>
      <c r="K20" s="48"/>
      <c r="M20" s="52" t="e">
        <f>VLOOKUP(M17,PUELookup,IF(M18="Water",6,7))</f>
        <v>#REF!</v>
      </c>
      <c r="N20" s="64"/>
      <c r="O20" s="47"/>
      <c r="P20" s="49">
        <v>1.05</v>
      </c>
      <c r="Q20" s="62">
        <v>1.1499999999999999</v>
      </c>
      <c r="S20" s="75" t="s">
        <v>89</v>
      </c>
      <c r="T20" s="9" t="s">
        <v>73</v>
      </c>
      <c r="W20" s="9" t="s">
        <v>74</v>
      </c>
      <c r="Z20" s="35">
        <f>G7/5*47.631*G11^-0.149</f>
        <v>134.17157436678491</v>
      </c>
      <c r="AB20" s="35">
        <f>G7/5*47.631*M11^-0.149</f>
        <v>105.56354962710317</v>
      </c>
    </row>
    <row r="21" spans="2:28">
      <c r="B21" s="17" t="s">
        <v>89</v>
      </c>
      <c r="C21" s="9" t="s">
        <v>111</v>
      </c>
      <c r="D21" s="9" t="s">
        <v>109</v>
      </c>
      <c r="G21" s="73" t="e">
        <f>VLOOKUP(G17,PUELookup,IF(G18="Water",4,5))</f>
        <v>#REF!</v>
      </c>
      <c r="H21" s="72"/>
      <c r="I21" s="49"/>
      <c r="J21" s="49"/>
      <c r="K21" s="48"/>
      <c r="M21" s="52" t="e">
        <f>VLOOKUP(M17,PUELookup,IF(M18="Water",8,9))</f>
        <v>#REF!</v>
      </c>
      <c r="N21" s="64"/>
      <c r="O21" s="47"/>
      <c r="P21" s="49"/>
      <c r="Q21" s="62"/>
      <c r="S21" s="75" t="s">
        <v>89</v>
      </c>
      <c r="T21" s="9" t="s">
        <v>81</v>
      </c>
      <c r="W21" s="9" t="s">
        <v>74</v>
      </c>
      <c r="Z21" s="35" t="e">
        <f>SUM(E53:N53)</f>
        <v>#REF!</v>
      </c>
      <c r="AB21" s="35" t="e">
        <f>SUM(E73:N73)</f>
        <v>#REF!</v>
      </c>
    </row>
    <row r="22" spans="2:28">
      <c r="B22" s="17" t="s">
        <v>89</v>
      </c>
      <c r="C22" s="9" t="s">
        <v>113</v>
      </c>
      <c r="G22" s="53">
        <v>0.1</v>
      </c>
      <c r="H22" s="72"/>
      <c r="I22" s="54">
        <v>0.04</v>
      </c>
      <c r="J22" s="54">
        <v>0.2</v>
      </c>
      <c r="K22" s="48"/>
      <c r="M22" s="56">
        <v>0.03</v>
      </c>
      <c r="N22" s="64"/>
      <c r="O22" s="47"/>
      <c r="P22" s="54">
        <v>0</v>
      </c>
      <c r="Q22" s="65">
        <v>0.05</v>
      </c>
      <c r="S22" s="75" t="s">
        <v>89</v>
      </c>
      <c r="T22" s="9" t="s">
        <v>82</v>
      </c>
      <c r="W22" s="9" t="s">
        <v>74</v>
      </c>
      <c r="Z22" s="35" t="e">
        <f>Z20+Z21</f>
        <v>#REF!</v>
      </c>
      <c r="AB22" s="35" t="e">
        <f>AB20+AB21</f>
        <v>#REF!</v>
      </c>
    </row>
    <row r="23" spans="2:28">
      <c r="B23" s="17" t="s">
        <v>89</v>
      </c>
      <c r="C23" s="9" t="s">
        <v>112</v>
      </c>
      <c r="G23" s="73" t="e">
        <f>(G21+G22)/(1-G22)</f>
        <v>#REF!</v>
      </c>
      <c r="H23" s="47"/>
      <c r="I23" s="49">
        <v>1.5</v>
      </c>
      <c r="J23" s="49">
        <v>1.7</v>
      </c>
      <c r="K23" s="48"/>
      <c r="M23" s="73" t="e">
        <f>(M21+M22)/(1-M22)</f>
        <v>#REF!</v>
      </c>
      <c r="N23" s="64"/>
      <c r="O23" s="47"/>
      <c r="P23" s="49">
        <v>1.1000000000000001</v>
      </c>
      <c r="Q23" s="62">
        <v>1.2</v>
      </c>
      <c r="S23" s="75" t="s">
        <v>89</v>
      </c>
      <c r="T23" s="9" t="s">
        <v>90</v>
      </c>
      <c r="W23" s="9" t="s">
        <v>74</v>
      </c>
      <c r="Z23" s="35">
        <f>SUM(E55:N55)</f>
        <v>1046.0272827959836</v>
      </c>
      <c r="AB23" s="35">
        <f>SUM(E75:N75)</f>
        <v>1096.6563503698012</v>
      </c>
    </row>
    <row r="24" spans="2:28">
      <c r="B24" s="17" t="s">
        <v>89</v>
      </c>
      <c r="C24" s="9" t="s">
        <v>99</v>
      </c>
      <c r="G24" s="55">
        <f>M24</f>
        <v>10</v>
      </c>
      <c r="H24" s="47"/>
      <c r="I24" s="49">
        <v>5</v>
      </c>
      <c r="J24" s="49">
        <v>10</v>
      </c>
      <c r="K24" s="48"/>
      <c r="M24" s="55">
        <v>10</v>
      </c>
      <c r="N24" s="47"/>
      <c r="O24" s="47"/>
      <c r="P24" s="49">
        <v>5</v>
      </c>
      <c r="Q24" s="62">
        <v>10</v>
      </c>
    </row>
    <row r="25" spans="2:28">
      <c r="B25" s="17" t="s">
        <v>89</v>
      </c>
      <c r="C25" s="9" t="s">
        <v>45</v>
      </c>
      <c r="G25" s="56">
        <f>1/8</f>
        <v>0.125</v>
      </c>
      <c r="H25" s="47"/>
      <c r="I25" s="54">
        <v>0.05</v>
      </c>
      <c r="J25" s="54">
        <v>0.15</v>
      </c>
      <c r="K25" s="48"/>
      <c r="M25" s="56">
        <f>G25</f>
        <v>0.125</v>
      </c>
      <c r="N25" s="47"/>
      <c r="O25" s="47"/>
      <c r="P25" s="54">
        <v>0.05</v>
      </c>
      <c r="Q25" s="65">
        <v>0.15</v>
      </c>
      <c r="S25" s="4"/>
      <c r="T25" s="2"/>
    </row>
    <row r="26" spans="2:28">
      <c r="B26" s="17" t="s">
        <v>89</v>
      </c>
      <c r="C26" s="9" t="s">
        <v>50</v>
      </c>
      <c r="G26" s="55">
        <v>35</v>
      </c>
      <c r="H26" s="47"/>
      <c r="I26" s="49">
        <v>25</v>
      </c>
      <c r="J26" s="49">
        <v>40</v>
      </c>
      <c r="K26" s="48"/>
      <c r="M26" s="55">
        <f>G26</f>
        <v>35</v>
      </c>
      <c r="N26" s="47"/>
      <c r="O26" s="47"/>
      <c r="P26" s="49">
        <v>25</v>
      </c>
      <c r="Q26" s="62">
        <v>40</v>
      </c>
      <c r="S26" s="28" t="s">
        <v>105</v>
      </c>
      <c r="T26" s="2"/>
    </row>
    <row r="27" spans="2:28">
      <c r="B27" s="17" t="s">
        <v>89</v>
      </c>
      <c r="C27" s="9" t="s">
        <v>51</v>
      </c>
      <c r="G27" s="55">
        <v>50</v>
      </c>
      <c r="H27" s="47"/>
      <c r="I27" s="49">
        <v>40</v>
      </c>
      <c r="J27" s="49">
        <v>60</v>
      </c>
      <c r="K27" s="48"/>
      <c r="M27" s="55">
        <f>G27</f>
        <v>50</v>
      </c>
      <c r="N27" s="47"/>
      <c r="O27" s="47"/>
      <c r="P27" s="49">
        <v>40</v>
      </c>
      <c r="Q27" s="62">
        <v>60</v>
      </c>
      <c r="S27" s="28" t="s">
        <v>106</v>
      </c>
      <c r="V27" s="4"/>
      <c r="W27" s="2"/>
    </row>
    <row r="28" spans="2:28">
      <c r="B28" s="17" t="s">
        <v>89</v>
      </c>
      <c r="C28" s="9" t="s">
        <v>52</v>
      </c>
      <c r="G28" s="55">
        <f>G26</f>
        <v>35</v>
      </c>
      <c r="H28" s="47"/>
      <c r="I28" s="49">
        <v>25</v>
      </c>
      <c r="J28" s="49">
        <v>40</v>
      </c>
      <c r="K28" s="48"/>
      <c r="M28" s="55">
        <f>G28*G8/M8</f>
        <v>131.25</v>
      </c>
      <c r="N28" s="47"/>
      <c r="O28" s="47"/>
      <c r="P28" s="49">
        <v>150</v>
      </c>
      <c r="Q28" s="62">
        <v>200</v>
      </c>
      <c r="S28" s="9" t="s">
        <v>107</v>
      </c>
    </row>
    <row r="29" spans="2:28">
      <c r="B29" s="17" t="s">
        <v>89</v>
      </c>
      <c r="C29" s="9" t="s">
        <v>63</v>
      </c>
      <c r="E29" s="9" t="s">
        <v>64</v>
      </c>
      <c r="G29" s="56">
        <v>0</v>
      </c>
      <c r="H29" s="47"/>
      <c r="I29" s="49"/>
      <c r="J29" s="49"/>
      <c r="K29" s="48"/>
      <c r="M29" s="56">
        <v>0.25</v>
      </c>
      <c r="N29" s="47"/>
      <c r="O29" s="47"/>
      <c r="P29" s="54">
        <v>0</v>
      </c>
      <c r="Q29" s="65">
        <v>1</v>
      </c>
      <c r="S29" s="9" t="s">
        <v>108</v>
      </c>
    </row>
    <row r="30" spans="2:28">
      <c r="B30" s="74" t="s">
        <v>89</v>
      </c>
      <c r="C30" s="9" t="s">
        <v>96</v>
      </c>
      <c r="G30" s="56">
        <v>0</v>
      </c>
      <c r="H30" s="47"/>
      <c r="I30" s="49"/>
      <c r="J30" s="49"/>
      <c r="K30" s="48"/>
      <c r="M30" s="56">
        <v>0.75</v>
      </c>
      <c r="N30" s="47"/>
      <c r="O30" s="47"/>
      <c r="P30" s="54">
        <v>0.5</v>
      </c>
      <c r="Q30" s="65">
        <v>1</v>
      </c>
    </row>
    <row r="31" spans="2:28">
      <c r="B31" s="74" t="s">
        <v>89</v>
      </c>
      <c r="C31" s="9" t="s">
        <v>77</v>
      </c>
      <c r="G31" s="55">
        <v>0.2</v>
      </c>
      <c r="H31" s="47"/>
      <c r="I31" s="49">
        <v>0.1</v>
      </c>
      <c r="J31" s="49">
        <v>0.25</v>
      </c>
      <c r="K31" s="48"/>
      <c r="M31" s="55">
        <f>G31</f>
        <v>0.2</v>
      </c>
      <c r="N31" s="47"/>
      <c r="O31" s="47"/>
      <c r="P31" s="49">
        <v>0.1</v>
      </c>
      <c r="Q31" s="62">
        <v>0.25</v>
      </c>
    </row>
    <row r="32" spans="2:28">
      <c r="B32" s="74" t="s">
        <v>89</v>
      </c>
      <c r="C32" s="9" t="s">
        <v>110</v>
      </c>
      <c r="G32" s="56">
        <v>0.03</v>
      </c>
      <c r="H32" s="47"/>
      <c r="I32" s="54">
        <v>0.02</v>
      </c>
      <c r="J32" s="54">
        <v>0.04</v>
      </c>
      <c r="K32" s="48"/>
      <c r="M32" s="56">
        <f>G32</f>
        <v>0.03</v>
      </c>
      <c r="N32" s="47"/>
      <c r="O32" s="47"/>
      <c r="P32" s="54">
        <v>0.02</v>
      </c>
      <c r="Q32" s="65">
        <v>0.04</v>
      </c>
    </row>
    <row r="33" spans="2:34">
      <c r="B33" s="74" t="s">
        <v>89</v>
      </c>
      <c r="C33" s="9" t="s">
        <v>83</v>
      </c>
      <c r="G33" s="55">
        <v>500</v>
      </c>
      <c r="H33" s="47"/>
      <c r="I33" s="49">
        <v>100</v>
      </c>
      <c r="J33" s="49">
        <v>600</v>
      </c>
      <c r="K33" s="48"/>
      <c r="M33" s="55">
        <f>G33</f>
        <v>500</v>
      </c>
      <c r="N33" s="47"/>
      <c r="O33" s="47"/>
      <c r="P33" s="49">
        <v>100</v>
      </c>
      <c r="Q33" s="62">
        <v>600</v>
      </c>
    </row>
    <row r="34" spans="2:34" ht="16.2" thickBot="1">
      <c r="B34" s="74" t="s">
        <v>89</v>
      </c>
      <c r="C34" s="9" t="s">
        <v>84</v>
      </c>
      <c r="G34" s="57">
        <v>0.02</v>
      </c>
      <c r="H34" s="58"/>
      <c r="I34" s="59">
        <v>0</v>
      </c>
      <c r="J34" s="59">
        <v>0.04</v>
      </c>
      <c r="K34" s="60"/>
      <c r="M34" s="57">
        <f>G34</f>
        <v>0.02</v>
      </c>
      <c r="N34" s="58"/>
      <c r="O34" s="58"/>
      <c r="P34" s="59">
        <v>0</v>
      </c>
      <c r="Q34" s="66">
        <v>0.04</v>
      </c>
    </row>
    <row r="35" spans="2:34">
      <c r="B35" s="11"/>
    </row>
    <row r="37" spans="2:34">
      <c r="C37" s="34" t="s">
        <v>102</v>
      </c>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row>
    <row r="38" spans="2:34">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row>
    <row r="39" spans="2:34">
      <c r="B39" s="11" t="s">
        <v>89</v>
      </c>
      <c r="C39" s="15" t="s">
        <v>25</v>
      </c>
      <c r="D39" s="16"/>
      <c r="E39" s="16">
        <v>1</v>
      </c>
      <c r="F39" s="16">
        <v>2</v>
      </c>
      <c r="G39" s="16">
        <v>3</v>
      </c>
      <c r="H39" s="16">
        <v>4</v>
      </c>
      <c r="I39" s="16">
        <v>5</v>
      </c>
      <c r="J39" s="16">
        <v>6</v>
      </c>
      <c r="K39" s="16">
        <v>7</v>
      </c>
      <c r="L39" s="16">
        <v>8</v>
      </c>
      <c r="M39" s="16">
        <v>9</v>
      </c>
      <c r="N39" s="16">
        <v>10</v>
      </c>
      <c r="O39" s="16">
        <v>11</v>
      </c>
      <c r="P39" s="16">
        <v>12</v>
      </c>
      <c r="Q39" s="16">
        <v>13</v>
      </c>
      <c r="R39" s="16">
        <v>14</v>
      </c>
      <c r="S39" s="16">
        <v>15</v>
      </c>
      <c r="T39" s="16">
        <v>16</v>
      </c>
      <c r="U39" s="16">
        <v>17</v>
      </c>
      <c r="V39" s="16">
        <v>18</v>
      </c>
      <c r="W39" s="16">
        <v>19</v>
      </c>
      <c r="X39" s="16">
        <v>20</v>
      </c>
      <c r="Y39" s="16">
        <v>21</v>
      </c>
      <c r="Z39" s="16">
        <v>22</v>
      </c>
      <c r="AA39" s="16">
        <v>23</v>
      </c>
      <c r="AB39" s="16">
        <v>24</v>
      </c>
      <c r="AC39" s="16">
        <v>25</v>
      </c>
      <c r="AD39" s="16">
        <v>26</v>
      </c>
      <c r="AE39" s="16">
        <v>27</v>
      </c>
      <c r="AF39" s="16">
        <v>28</v>
      </c>
      <c r="AG39" s="16">
        <v>29</v>
      </c>
      <c r="AH39" s="16">
        <v>30</v>
      </c>
    </row>
    <row r="40" spans="2:34">
      <c r="B40" s="11" t="s">
        <v>89</v>
      </c>
      <c r="C40" s="6" t="s">
        <v>26</v>
      </c>
      <c r="D40" s="6"/>
      <c r="E40" s="18">
        <f>G13</f>
        <v>2025</v>
      </c>
      <c r="F40" s="18">
        <v>2026</v>
      </c>
      <c r="G40" s="18">
        <v>2027</v>
      </c>
      <c r="H40" s="18">
        <v>2028</v>
      </c>
      <c r="I40" s="18">
        <v>2029</v>
      </c>
      <c r="J40" s="18">
        <v>2030</v>
      </c>
      <c r="K40" s="18">
        <v>2031</v>
      </c>
      <c r="L40" s="18">
        <v>2032</v>
      </c>
      <c r="M40" s="18">
        <v>2033</v>
      </c>
      <c r="N40" s="18">
        <v>2034</v>
      </c>
      <c r="O40" s="18">
        <v>2035</v>
      </c>
      <c r="P40" s="18">
        <v>2036</v>
      </c>
      <c r="Q40" s="18">
        <v>2037</v>
      </c>
      <c r="R40" s="18">
        <v>2038</v>
      </c>
      <c r="S40" s="18">
        <v>2039</v>
      </c>
      <c r="T40" s="18">
        <v>2040</v>
      </c>
      <c r="U40" s="18">
        <v>2041</v>
      </c>
      <c r="V40" s="18">
        <v>2042</v>
      </c>
      <c r="W40" s="18">
        <v>2043</v>
      </c>
      <c r="X40" s="18">
        <v>2044</v>
      </c>
      <c r="Y40" s="18">
        <v>2045</v>
      </c>
      <c r="Z40" s="18">
        <v>2046</v>
      </c>
      <c r="AA40" s="18">
        <v>2047</v>
      </c>
      <c r="AB40" s="18">
        <v>2048</v>
      </c>
      <c r="AC40" s="18">
        <v>2049</v>
      </c>
      <c r="AD40" s="18">
        <v>2050</v>
      </c>
      <c r="AE40" s="18">
        <v>2051</v>
      </c>
      <c r="AF40" s="18">
        <v>2052</v>
      </c>
      <c r="AG40" s="18">
        <v>2053</v>
      </c>
      <c r="AH40" s="18">
        <v>2054</v>
      </c>
    </row>
    <row r="41" spans="2:34">
      <c r="B41" s="11" t="s">
        <v>89</v>
      </c>
      <c r="C41" s="5" t="s">
        <v>19</v>
      </c>
      <c r="D41" s="5" t="s">
        <v>7</v>
      </c>
      <c r="E41" s="16">
        <f t="shared" ref="E41:AH41" si="0">MIN($G$10+($G$9-$G$10)/$G$12*E39,$G$9)</f>
        <v>4.75</v>
      </c>
      <c r="F41" s="16">
        <f t="shared" si="0"/>
        <v>5.5</v>
      </c>
      <c r="G41" s="16">
        <f t="shared" si="0"/>
        <v>6.25</v>
      </c>
      <c r="H41" s="16">
        <f t="shared" si="0"/>
        <v>7</v>
      </c>
      <c r="I41" s="16">
        <f t="shared" si="0"/>
        <v>7.75</v>
      </c>
      <c r="J41" s="16">
        <f t="shared" si="0"/>
        <v>8.5</v>
      </c>
      <c r="K41" s="16">
        <f t="shared" si="0"/>
        <v>9.25</v>
      </c>
      <c r="L41" s="16">
        <f t="shared" si="0"/>
        <v>10</v>
      </c>
      <c r="M41" s="16">
        <f t="shared" si="0"/>
        <v>10</v>
      </c>
      <c r="N41" s="16">
        <f t="shared" si="0"/>
        <v>10</v>
      </c>
      <c r="O41" s="16">
        <f t="shared" si="0"/>
        <v>10</v>
      </c>
      <c r="P41" s="16">
        <f t="shared" si="0"/>
        <v>10</v>
      </c>
      <c r="Q41" s="16">
        <f t="shared" si="0"/>
        <v>10</v>
      </c>
      <c r="R41" s="16">
        <f t="shared" si="0"/>
        <v>10</v>
      </c>
      <c r="S41" s="16">
        <f t="shared" si="0"/>
        <v>10</v>
      </c>
      <c r="T41" s="16">
        <f t="shared" si="0"/>
        <v>10</v>
      </c>
      <c r="U41" s="16">
        <f t="shared" si="0"/>
        <v>10</v>
      </c>
      <c r="V41" s="16">
        <f t="shared" si="0"/>
        <v>10</v>
      </c>
      <c r="W41" s="16">
        <f t="shared" si="0"/>
        <v>10</v>
      </c>
      <c r="X41" s="16">
        <f t="shared" si="0"/>
        <v>10</v>
      </c>
      <c r="Y41" s="16">
        <f t="shared" si="0"/>
        <v>10</v>
      </c>
      <c r="Z41" s="16">
        <f t="shared" si="0"/>
        <v>10</v>
      </c>
      <c r="AA41" s="16">
        <f t="shared" si="0"/>
        <v>10</v>
      </c>
      <c r="AB41" s="16">
        <f t="shared" si="0"/>
        <v>10</v>
      </c>
      <c r="AC41" s="16">
        <f t="shared" si="0"/>
        <v>10</v>
      </c>
      <c r="AD41" s="16">
        <f t="shared" si="0"/>
        <v>10</v>
      </c>
      <c r="AE41" s="16">
        <f t="shared" si="0"/>
        <v>10</v>
      </c>
      <c r="AF41" s="16">
        <f t="shared" si="0"/>
        <v>10</v>
      </c>
      <c r="AG41" s="16">
        <f t="shared" si="0"/>
        <v>10</v>
      </c>
      <c r="AH41" s="16">
        <f t="shared" si="0"/>
        <v>10</v>
      </c>
    </row>
    <row r="42" spans="2:34">
      <c r="B42" s="11" t="s">
        <v>89</v>
      </c>
      <c r="C42" s="5" t="s">
        <v>20</v>
      </c>
      <c r="D42" s="5" t="s">
        <v>7</v>
      </c>
      <c r="E42" s="16">
        <f>E62</f>
        <v>20</v>
      </c>
      <c r="F42" s="19">
        <f>E42*1.08</f>
        <v>21.6</v>
      </c>
      <c r="G42" s="19">
        <f t="shared" ref="G42:S42" si="1">F42*1.08</f>
        <v>23.328000000000003</v>
      </c>
      <c r="H42" s="19">
        <f t="shared" si="1"/>
        <v>25.194240000000004</v>
      </c>
      <c r="I42" s="19">
        <f t="shared" si="1"/>
        <v>27.209779200000007</v>
      </c>
      <c r="J42" s="19">
        <f t="shared" si="1"/>
        <v>29.386561536000009</v>
      </c>
      <c r="K42" s="19">
        <f t="shared" si="1"/>
        <v>31.737486458880014</v>
      </c>
      <c r="L42" s="19">
        <f t="shared" si="1"/>
        <v>34.276485375590418</v>
      </c>
      <c r="M42" s="19">
        <f t="shared" si="1"/>
        <v>37.018604205637658</v>
      </c>
      <c r="N42" s="19">
        <f t="shared" si="1"/>
        <v>39.98009254208867</v>
      </c>
      <c r="O42" s="19">
        <f t="shared" si="1"/>
        <v>43.178499945455769</v>
      </c>
      <c r="P42" s="19">
        <f t="shared" si="1"/>
        <v>46.632779941092231</v>
      </c>
      <c r="Q42" s="19">
        <f t="shared" si="1"/>
        <v>50.363402336379615</v>
      </c>
      <c r="R42" s="19">
        <f t="shared" si="1"/>
        <v>54.392474523289991</v>
      </c>
      <c r="S42" s="19">
        <f t="shared" si="1"/>
        <v>58.743872485153197</v>
      </c>
      <c r="T42" s="19">
        <f>S42*1.08</f>
        <v>63.443382283965455</v>
      </c>
      <c r="U42" s="19">
        <f t="shared" ref="U42:AH42" si="2">T42*1.08</f>
        <v>68.518852866682693</v>
      </c>
      <c r="V42" s="19">
        <f t="shared" si="2"/>
        <v>74.000361096017315</v>
      </c>
      <c r="W42" s="19">
        <f t="shared" si="2"/>
        <v>79.920389983698712</v>
      </c>
      <c r="X42" s="19">
        <f t="shared" si="2"/>
        <v>86.314021182394612</v>
      </c>
      <c r="Y42" s="19">
        <f t="shared" si="2"/>
        <v>93.219142876986183</v>
      </c>
      <c r="Z42" s="19">
        <f t="shared" si="2"/>
        <v>100.67667430714508</v>
      </c>
      <c r="AA42" s="19">
        <f t="shared" si="2"/>
        <v>108.7308082517167</v>
      </c>
      <c r="AB42" s="19">
        <f t="shared" si="2"/>
        <v>117.42927291185404</v>
      </c>
      <c r="AC42" s="19">
        <f t="shared" si="2"/>
        <v>126.82361474480237</v>
      </c>
      <c r="AD42" s="19">
        <f t="shared" si="2"/>
        <v>136.96950392438657</v>
      </c>
      <c r="AE42" s="19">
        <f t="shared" si="2"/>
        <v>147.92706423833752</v>
      </c>
      <c r="AF42" s="19">
        <f t="shared" si="2"/>
        <v>159.76122937740453</v>
      </c>
      <c r="AG42" s="19">
        <f t="shared" si="2"/>
        <v>172.54212772759692</v>
      </c>
      <c r="AH42" s="19">
        <f t="shared" si="2"/>
        <v>186.34549794580468</v>
      </c>
    </row>
    <row r="43" spans="2:34">
      <c r="B43" s="11" t="s">
        <v>89</v>
      </c>
      <c r="C43" s="7" t="s">
        <v>21</v>
      </c>
      <c r="D43" s="7" t="s">
        <v>6</v>
      </c>
      <c r="E43" s="20">
        <f t="shared" ref="E43:AH43" si="3">MAX(($G$15-($G$15-$G$16)*E39/$G$12),$G$16)</f>
        <v>0.98750000000000004</v>
      </c>
      <c r="F43" s="20">
        <f t="shared" si="3"/>
        <v>0.97499999999999998</v>
      </c>
      <c r="G43" s="20">
        <f t="shared" si="3"/>
        <v>0.96250000000000002</v>
      </c>
      <c r="H43" s="20">
        <f t="shared" si="3"/>
        <v>0.95</v>
      </c>
      <c r="I43" s="20">
        <f t="shared" si="3"/>
        <v>0.9375</v>
      </c>
      <c r="J43" s="20">
        <f t="shared" si="3"/>
        <v>0.92500000000000004</v>
      </c>
      <c r="K43" s="20">
        <f t="shared" si="3"/>
        <v>0.91249999999999998</v>
      </c>
      <c r="L43" s="20">
        <f t="shared" si="3"/>
        <v>0.9</v>
      </c>
      <c r="M43" s="20">
        <f t="shared" si="3"/>
        <v>0.9</v>
      </c>
      <c r="N43" s="20">
        <f t="shared" si="3"/>
        <v>0.9</v>
      </c>
      <c r="O43" s="20">
        <f t="shared" si="3"/>
        <v>0.9</v>
      </c>
      <c r="P43" s="20">
        <f t="shared" si="3"/>
        <v>0.9</v>
      </c>
      <c r="Q43" s="20">
        <f t="shared" si="3"/>
        <v>0.9</v>
      </c>
      <c r="R43" s="20">
        <f t="shared" si="3"/>
        <v>0.9</v>
      </c>
      <c r="S43" s="20">
        <f t="shared" si="3"/>
        <v>0.9</v>
      </c>
      <c r="T43" s="20">
        <f t="shared" si="3"/>
        <v>0.9</v>
      </c>
      <c r="U43" s="20">
        <f t="shared" si="3"/>
        <v>0.9</v>
      </c>
      <c r="V43" s="20">
        <f t="shared" si="3"/>
        <v>0.9</v>
      </c>
      <c r="W43" s="20">
        <f t="shared" si="3"/>
        <v>0.9</v>
      </c>
      <c r="X43" s="20">
        <f t="shared" si="3"/>
        <v>0.9</v>
      </c>
      <c r="Y43" s="20">
        <f t="shared" si="3"/>
        <v>0.9</v>
      </c>
      <c r="Z43" s="20">
        <f t="shared" si="3"/>
        <v>0.9</v>
      </c>
      <c r="AA43" s="20">
        <f t="shared" si="3"/>
        <v>0.9</v>
      </c>
      <c r="AB43" s="20">
        <f t="shared" si="3"/>
        <v>0.9</v>
      </c>
      <c r="AC43" s="20">
        <f t="shared" si="3"/>
        <v>0.9</v>
      </c>
      <c r="AD43" s="20">
        <f t="shared" si="3"/>
        <v>0.9</v>
      </c>
      <c r="AE43" s="20">
        <f t="shared" si="3"/>
        <v>0.9</v>
      </c>
      <c r="AF43" s="20">
        <f t="shared" si="3"/>
        <v>0.9</v>
      </c>
      <c r="AG43" s="20">
        <f t="shared" si="3"/>
        <v>0.9</v>
      </c>
      <c r="AH43" s="20">
        <f t="shared" si="3"/>
        <v>0.9</v>
      </c>
    </row>
    <row r="44" spans="2:34">
      <c r="B44" s="11" t="s">
        <v>89</v>
      </c>
      <c r="C44" s="7" t="s">
        <v>46</v>
      </c>
      <c r="D44" s="7" t="s">
        <v>7</v>
      </c>
      <c r="E44" s="19">
        <f t="shared" ref="E44:AH44" si="4">MIN($G$11,(E43*E41+(1-E43)*E42))</f>
        <v>4.9406249999999989</v>
      </c>
      <c r="F44" s="19">
        <f t="shared" si="4"/>
        <v>5.9024999999999999</v>
      </c>
      <c r="G44" s="19">
        <f t="shared" si="4"/>
        <v>6.8904249999999996</v>
      </c>
      <c r="H44" s="19">
        <f t="shared" si="4"/>
        <v>7.9097120000000007</v>
      </c>
      <c r="I44" s="19">
        <f t="shared" si="4"/>
        <v>8</v>
      </c>
      <c r="J44" s="19">
        <f t="shared" si="4"/>
        <v>8</v>
      </c>
      <c r="K44" s="19">
        <f t="shared" si="4"/>
        <v>8</v>
      </c>
      <c r="L44" s="19">
        <f t="shared" si="4"/>
        <v>8</v>
      </c>
      <c r="M44" s="19">
        <f t="shared" si="4"/>
        <v>8</v>
      </c>
      <c r="N44" s="19">
        <f t="shared" si="4"/>
        <v>8</v>
      </c>
      <c r="O44" s="19">
        <f t="shared" si="4"/>
        <v>8</v>
      </c>
      <c r="P44" s="19">
        <f t="shared" si="4"/>
        <v>8</v>
      </c>
      <c r="Q44" s="19">
        <f t="shared" si="4"/>
        <v>8</v>
      </c>
      <c r="R44" s="19">
        <f t="shared" si="4"/>
        <v>8</v>
      </c>
      <c r="S44" s="19">
        <f t="shared" si="4"/>
        <v>8</v>
      </c>
      <c r="T44" s="19">
        <f t="shared" si="4"/>
        <v>8</v>
      </c>
      <c r="U44" s="19">
        <f t="shared" si="4"/>
        <v>8</v>
      </c>
      <c r="V44" s="19">
        <f t="shared" si="4"/>
        <v>8</v>
      </c>
      <c r="W44" s="19">
        <f t="shared" si="4"/>
        <v>8</v>
      </c>
      <c r="X44" s="19">
        <f t="shared" si="4"/>
        <v>8</v>
      </c>
      <c r="Y44" s="19">
        <f t="shared" si="4"/>
        <v>8</v>
      </c>
      <c r="Z44" s="19">
        <f t="shared" si="4"/>
        <v>8</v>
      </c>
      <c r="AA44" s="19">
        <f t="shared" si="4"/>
        <v>8</v>
      </c>
      <c r="AB44" s="19">
        <f t="shared" si="4"/>
        <v>8</v>
      </c>
      <c r="AC44" s="19">
        <f t="shared" si="4"/>
        <v>8</v>
      </c>
      <c r="AD44" s="19">
        <f t="shared" si="4"/>
        <v>8</v>
      </c>
      <c r="AE44" s="19">
        <f t="shared" si="4"/>
        <v>8</v>
      </c>
      <c r="AF44" s="19">
        <f t="shared" si="4"/>
        <v>8</v>
      </c>
      <c r="AG44" s="19">
        <f t="shared" si="4"/>
        <v>8</v>
      </c>
      <c r="AH44" s="19">
        <f t="shared" si="4"/>
        <v>8</v>
      </c>
    </row>
    <row r="45" spans="2:34">
      <c r="B45" s="11" t="s">
        <v>89</v>
      </c>
      <c r="C45" s="7" t="s">
        <v>35</v>
      </c>
      <c r="D45" s="5" t="s">
        <v>0</v>
      </c>
      <c r="E45" s="22">
        <f t="shared" ref="E45:AH45" si="5">MIN($G$8/$G$6*E44*E39/1000,$G$7)</f>
        <v>2.9643749999999995</v>
      </c>
      <c r="F45" s="22">
        <f t="shared" si="5"/>
        <v>7.0830000000000002</v>
      </c>
      <c r="G45" s="22">
        <f t="shared" si="5"/>
        <v>12.402764999999999</v>
      </c>
      <c r="H45" s="22">
        <f t="shared" si="5"/>
        <v>18.983308800000003</v>
      </c>
      <c r="I45" s="22">
        <f t="shared" si="5"/>
        <v>19.2</v>
      </c>
      <c r="J45" s="22">
        <f t="shared" si="5"/>
        <v>19.2</v>
      </c>
      <c r="K45" s="22">
        <f t="shared" si="5"/>
        <v>19.2</v>
      </c>
      <c r="L45" s="22">
        <f t="shared" si="5"/>
        <v>19.2</v>
      </c>
      <c r="M45" s="22">
        <f t="shared" si="5"/>
        <v>19.2</v>
      </c>
      <c r="N45" s="22">
        <f t="shared" si="5"/>
        <v>19.2</v>
      </c>
      <c r="O45" s="22">
        <f t="shared" si="5"/>
        <v>19.2</v>
      </c>
      <c r="P45" s="22">
        <f t="shared" si="5"/>
        <v>19.2</v>
      </c>
      <c r="Q45" s="22">
        <f t="shared" si="5"/>
        <v>19.2</v>
      </c>
      <c r="R45" s="22">
        <f t="shared" si="5"/>
        <v>19.2</v>
      </c>
      <c r="S45" s="22">
        <f t="shared" si="5"/>
        <v>19.2</v>
      </c>
      <c r="T45" s="22">
        <f t="shared" si="5"/>
        <v>19.2</v>
      </c>
      <c r="U45" s="22">
        <f t="shared" si="5"/>
        <v>19.2</v>
      </c>
      <c r="V45" s="22">
        <f t="shared" si="5"/>
        <v>19.2</v>
      </c>
      <c r="W45" s="22">
        <f t="shared" si="5"/>
        <v>19.2</v>
      </c>
      <c r="X45" s="22">
        <f t="shared" si="5"/>
        <v>19.2</v>
      </c>
      <c r="Y45" s="22">
        <f t="shared" si="5"/>
        <v>19.2</v>
      </c>
      <c r="Z45" s="22">
        <f t="shared" si="5"/>
        <v>19.2</v>
      </c>
      <c r="AA45" s="22">
        <f t="shared" si="5"/>
        <v>19.2</v>
      </c>
      <c r="AB45" s="22">
        <f t="shared" si="5"/>
        <v>19.2</v>
      </c>
      <c r="AC45" s="22">
        <f t="shared" si="5"/>
        <v>19.2</v>
      </c>
      <c r="AD45" s="22">
        <f t="shared" si="5"/>
        <v>19.2</v>
      </c>
      <c r="AE45" s="22">
        <f t="shared" si="5"/>
        <v>19.2</v>
      </c>
      <c r="AF45" s="22">
        <f t="shared" si="5"/>
        <v>19.2</v>
      </c>
      <c r="AG45" s="22">
        <f t="shared" si="5"/>
        <v>19.2</v>
      </c>
      <c r="AH45" s="22">
        <f t="shared" si="5"/>
        <v>19.2</v>
      </c>
    </row>
    <row r="46" spans="2:34">
      <c r="B46" s="11" t="s">
        <v>89</v>
      </c>
      <c r="C46" s="9" t="s">
        <v>44</v>
      </c>
      <c r="E46" s="23">
        <f>$G$8/$G$6</f>
        <v>600</v>
      </c>
      <c r="F46" s="23">
        <f t="shared" ref="F46:AH46" si="6">MIN($G$8/$G$6,($G$8-E49))</f>
        <v>600</v>
      </c>
      <c r="G46" s="23">
        <f t="shared" si="6"/>
        <v>600</v>
      </c>
      <c r="H46" s="23">
        <f t="shared" si="6"/>
        <v>600</v>
      </c>
      <c r="I46" s="23">
        <f t="shared" si="6"/>
        <v>0</v>
      </c>
      <c r="J46" s="23">
        <f t="shared" si="6"/>
        <v>0</v>
      </c>
      <c r="K46" s="23">
        <f t="shared" si="6"/>
        <v>0</v>
      </c>
      <c r="L46" s="23">
        <f t="shared" si="6"/>
        <v>0</v>
      </c>
      <c r="M46" s="23">
        <f t="shared" si="6"/>
        <v>0</v>
      </c>
      <c r="N46" s="23">
        <f t="shared" si="6"/>
        <v>0</v>
      </c>
      <c r="O46" s="23">
        <f t="shared" si="6"/>
        <v>0</v>
      </c>
      <c r="P46" s="23">
        <f t="shared" si="6"/>
        <v>0</v>
      </c>
      <c r="Q46" s="23">
        <f t="shared" si="6"/>
        <v>0</v>
      </c>
      <c r="R46" s="23">
        <f t="shared" si="6"/>
        <v>0</v>
      </c>
      <c r="S46" s="23">
        <f t="shared" si="6"/>
        <v>0</v>
      </c>
      <c r="T46" s="23">
        <f t="shared" si="6"/>
        <v>0</v>
      </c>
      <c r="U46" s="23">
        <f t="shared" si="6"/>
        <v>0</v>
      </c>
      <c r="V46" s="23">
        <f t="shared" si="6"/>
        <v>0</v>
      </c>
      <c r="W46" s="23">
        <f t="shared" si="6"/>
        <v>0</v>
      </c>
      <c r="X46" s="23">
        <f t="shared" si="6"/>
        <v>0</v>
      </c>
      <c r="Y46" s="23">
        <f t="shared" si="6"/>
        <v>0</v>
      </c>
      <c r="Z46" s="23">
        <f t="shared" si="6"/>
        <v>0</v>
      </c>
      <c r="AA46" s="23">
        <f t="shared" si="6"/>
        <v>0</v>
      </c>
      <c r="AB46" s="23">
        <f t="shared" si="6"/>
        <v>0</v>
      </c>
      <c r="AC46" s="23">
        <f t="shared" si="6"/>
        <v>0</v>
      </c>
      <c r="AD46" s="23">
        <f t="shared" si="6"/>
        <v>0</v>
      </c>
      <c r="AE46" s="23">
        <f t="shared" si="6"/>
        <v>0</v>
      </c>
      <c r="AF46" s="23">
        <f t="shared" si="6"/>
        <v>0</v>
      </c>
      <c r="AG46" s="23">
        <f t="shared" si="6"/>
        <v>0</v>
      </c>
      <c r="AH46" s="23">
        <f t="shared" si="6"/>
        <v>0</v>
      </c>
    </row>
    <row r="47" spans="2:34">
      <c r="B47" s="11" t="s">
        <v>89</v>
      </c>
      <c r="C47" s="9" t="s">
        <v>48</v>
      </c>
      <c r="E47" s="23">
        <v>0</v>
      </c>
      <c r="F47" s="23">
        <v>0</v>
      </c>
      <c r="G47" s="23">
        <f t="shared" ref="G47:AH47" si="7">ROUND($G$25*F49,0)</f>
        <v>150</v>
      </c>
      <c r="H47" s="23">
        <f t="shared" si="7"/>
        <v>225</v>
      </c>
      <c r="I47" s="23">
        <f t="shared" si="7"/>
        <v>300</v>
      </c>
      <c r="J47" s="23">
        <f t="shared" si="7"/>
        <v>300</v>
      </c>
      <c r="K47" s="23">
        <f t="shared" si="7"/>
        <v>300</v>
      </c>
      <c r="L47" s="23">
        <f t="shared" si="7"/>
        <v>300</v>
      </c>
      <c r="M47" s="23">
        <f t="shared" si="7"/>
        <v>300</v>
      </c>
      <c r="N47" s="23">
        <f t="shared" si="7"/>
        <v>300</v>
      </c>
      <c r="O47" s="23">
        <f t="shared" si="7"/>
        <v>300</v>
      </c>
      <c r="P47" s="23">
        <f t="shared" si="7"/>
        <v>300</v>
      </c>
      <c r="Q47" s="23">
        <f t="shared" si="7"/>
        <v>300</v>
      </c>
      <c r="R47" s="23">
        <f t="shared" si="7"/>
        <v>300</v>
      </c>
      <c r="S47" s="23">
        <f t="shared" si="7"/>
        <v>300</v>
      </c>
      <c r="T47" s="23">
        <f t="shared" si="7"/>
        <v>300</v>
      </c>
      <c r="U47" s="23">
        <f t="shared" si="7"/>
        <v>300</v>
      </c>
      <c r="V47" s="23">
        <f t="shared" si="7"/>
        <v>300</v>
      </c>
      <c r="W47" s="23">
        <f t="shared" si="7"/>
        <v>300</v>
      </c>
      <c r="X47" s="23">
        <f t="shared" si="7"/>
        <v>300</v>
      </c>
      <c r="Y47" s="23">
        <f t="shared" si="7"/>
        <v>300</v>
      </c>
      <c r="Z47" s="23">
        <f t="shared" si="7"/>
        <v>300</v>
      </c>
      <c r="AA47" s="23">
        <f t="shared" si="7"/>
        <v>300</v>
      </c>
      <c r="AB47" s="23">
        <f t="shared" si="7"/>
        <v>300</v>
      </c>
      <c r="AC47" s="23">
        <f t="shared" si="7"/>
        <v>300</v>
      </c>
      <c r="AD47" s="23">
        <f t="shared" si="7"/>
        <v>300</v>
      </c>
      <c r="AE47" s="23">
        <f t="shared" si="7"/>
        <v>300</v>
      </c>
      <c r="AF47" s="23">
        <f t="shared" si="7"/>
        <v>300</v>
      </c>
      <c r="AG47" s="23">
        <f t="shared" si="7"/>
        <v>300</v>
      </c>
      <c r="AH47" s="23">
        <f t="shared" si="7"/>
        <v>300</v>
      </c>
    </row>
    <row r="48" spans="2:34">
      <c r="B48" s="11" t="s">
        <v>89</v>
      </c>
      <c r="C48" s="7" t="s">
        <v>47</v>
      </c>
      <c r="D48" s="7" t="s">
        <v>7</v>
      </c>
      <c r="E48" s="21">
        <f>E44</f>
        <v>4.9406249999999989</v>
      </c>
      <c r="F48" s="19">
        <f>(E48*E49+(F46+F47)*F44)/F49</f>
        <v>5.4215625000000003</v>
      </c>
      <c r="G48" s="19">
        <f>(F48*F49+(G46+G47)*G44-G47*F48)/G49</f>
        <v>6.0335885416666661</v>
      </c>
      <c r="H48" s="19">
        <f>(G48*G49+(H46+H47)*H44-H47*G48)/H49</f>
        <v>6.6785059804687492</v>
      </c>
      <c r="I48" s="19">
        <f t="shared" ref="I48:AH48" si="8">(H48*H49+(I46+I47)*I44-I47*H48)/I49</f>
        <v>6.8436927329101556</v>
      </c>
      <c r="J48" s="19">
        <f t="shared" si="8"/>
        <v>6.988231141296386</v>
      </c>
      <c r="K48" s="19">
        <f t="shared" si="8"/>
        <v>7.1147022486343383</v>
      </c>
      <c r="L48" s="19">
        <f t="shared" si="8"/>
        <v>7.2253644675550461</v>
      </c>
      <c r="M48" s="19">
        <f t="shared" si="8"/>
        <v>7.3221939091106654</v>
      </c>
      <c r="N48" s="19">
        <f t="shared" si="8"/>
        <v>7.4069196704718312</v>
      </c>
      <c r="O48" s="19">
        <f t="shared" si="8"/>
        <v>7.4810547116628516</v>
      </c>
      <c r="P48" s="19">
        <f t="shared" si="8"/>
        <v>7.5459228727049954</v>
      </c>
      <c r="Q48" s="19">
        <f t="shared" si="8"/>
        <v>7.6026825136168705</v>
      </c>
      <c r="R48" s="19">
        <f t="shared" si="8"/>
        <v>7.6523471994147618</v>
      </c>
      <c r="S48" s="19">
        <f t="shared" si="8"/>
        <v>7.6958037994879165</v>
      </c>
      <c r="T48" s="19">
        <f t="shared" si="8"/>
        <v>7.7338283245519275</v>
      </c>
      <c r="U48" s="19">
        <f t="shared" si="8"/>
        <v>7.7670997839829363</v>
      </c>
      <c r="V48" s="19">
        <f t="shared" si="8"/>
        <v>7.7962123109850703</v>
      </c>
      <c r="W48" s="19">
        <f t="shared" si="8"/>
        <v>7.8216857721119366</v>
      </c>
      <c r="X48" s="19">
        <f t="shared" si="8"/>
        <v>7.8439750505979449</v>
      </c>
      <c r="Y48" s="19">
        <f t="shared" si="8"/>
        <v>7.8634781692732014</v>
      </c>
      <c r="Z48" s="19">
        <f t="shared" si="8"/>
        <v>7.8805433981140522</v>
      </c>
      <c r="AA48" s="19">
        <f t="shared" si="8"/>
        <v>7.895475473349796</v>
      </c>
      <c r="AB48" s="19">
        <f t="shared" si="8"/>
        <v>7.9085410391810713</v>
      </c>
      <c r="AC48" s="19">
        <f t="shared" si="8"/>
        <v>7.9199734092834371</v>
      </c>
      <c r="AD48" s="19">
        <f t="shared" si="8"/>
        <v>7.9299767331230075</v>
      </c>
      <c r="AE48" s="19">
        <f t="shared" si="8"/>
        <v>7.9387296414826327</v>
      </c>
      <c r="AF48" s="19">
        <f t="shared" si="8"/>
        <v>7.9463884362973038</v>
      </c>
      <c r="AG48" s="19">
        <f t="shared" si="8"/>
        <v>7.9530898817601416</v>
      </c>
      <c r="AH48" s="19">
        <f t="shared" si="8"/>
        <v>7.9589536465401229</v>
      </c>
    </row>
    <row r="49" spans="2:34">
      <c r="B49" s="11" t="s">
        <v>89</v>
      </c>
      <c r="C49" s="7" t="s">
        <v>43</v>
      </c>
      <c r="D49" s="5"/>
      <c r="E49" s="22">
        <f>E46</f>
        <v>600</v>
      </c>
      <c r="F49" s="22">
        <f t="shared" ref="F49:AH49" si="9">MIN((E49+E46),$G$8)</f>
        <v>1200</v>
      </c>
      <c r="G49" s="22">
        <f t="shared" si="9"/>
        <v>1800</v>
      </c>
      <c r="H49" s="22">
        <f t="shared" si="9"/>
        <v>2400</v>
      </c>
      <c r="I49" s="22">
        <f t="shared" si="9"/>
        <v>2400</v>
      </c>
      <c r="J49" s="22">
        <f t="shared" si="9"/>
        <v>2400</v>
      </c>
      <c r="K49" s="22">
        <f t="shared" si="9"/>
        <v>2400</v>
      </c>
      <c r="L49" s="22">
        <f t="shared" si="9"/>
        <v>2400</v>
      </c>
      <c r="M49" s="22">
        <f t="shared" si="9"/>
        <v>2400</v>
      </c>
      <c r="N49" s="22">
        <f t="shared" si="9"/>
        <v>2400</v>
      </c>
      <c r="O49" s="22">
        <f t="shared" si="9"/>
        <v>2400</v>
      </c>
      <c r="P49" s="22">
        <f t="shared" si="9"/>
        <v>2400</v>
      </c>
      <c r="Q49" s="22">
        <f t="shared" si="9"/>
        <v>2400</v>
      </c>
      <c r="R49" s="22">
        <f t="shared" si="9"/>
        <v>2400</v>
      </c>
      <c r="S49" s="22">
        <f t="shared" si="9"/>
        <v>2400</v>
      </c>
      <c r="T49" s="22">
        <f t="shared" si="9"/>
        <v>2400</v>
      </c>
      <c r="U49" s="22">
        <f t="shared" si="9"/>
        <v>2400</v>
      </c>
      <c r="V49" s="22">
        <f t="shared" si="9"/>
        <v>2400</v>
      </c>
      <c r="W49" s="22">
        <f t="shared" si="9"/>
        <v>2400</v>
      </c>
      <c r="X49" s="22">
        <f t="shared" si="9"/>
        <v>2400</v>
      </c>
      <c r="Y49" s="22">
        <f t="shared" si="9"/>
        <v>2400</v>
      </c>
      <c r="Z49" s="22">
        <f t="shared" si="9"/>
        <v>2400</v>
      </c>
      <c r="AA49" s="22">
        <f t="shared" si="9"/>
        <v>2400</v>
      </c>
      <c r="AB49" s="22">
        <f t="shared" si="9"/>
        <v>2400</v>
      </c>
      <c r="AC49" s="22">
        <f t="shared" si="9"/>
        <v>2400</v>
      </c>
      <c r="AD49" s="22">
        <f t="shared" si="9"/>
        <v>2400</v>
      </c>
      <c r="AE49" s="22">
        <f t="shared" si="9"/>
        <v>2400</v>
      </c>
      <c r="AF49" s="22">
        <f t="shared" si="9"/>
        <v>2400</v>
      </c>
      <c r="AG49" s="22">
        <f t="shared" si="9"/>
        <v>2400</v>
      </c>
      <c r="AH49" s="22">
        <f t="shared" si="9"/>
        <v>2400</v>
      </c>
    </row>
    <row r="50" spans="2:34">
      <c r="B50" s="11" t="s">
        <v>89</v>
      </c>
      <c r="C50" s="7" t="s">
        <v>10</v>
      </c>
      <c r="D50" s="5"/>
      <c r="E50" s="21" t="e">
        <f t="shared" ref="E50:AH50" si="10">E43*$G$20+(1-E43)*$M$20</f>
        <v>#REF!</v>
      </c>
      <c r="F50" s="21" t="e">
        <f t="shared" si="10"/>
        <v>#REF!</v>
      </c>
      <c r="G50" s="21" t="e">
        <f t="shared" si="10"/>
        <v>#REF!</v>
      </c>
      <c r="H50" s="21" t="e">
        <f t="shared" si="10"/>
        <v>#REF!</v>
      </c>
      <c r="I50" s="21" t="e">
        <f t="shared" si="10"/>
        <v>#REF!</v>
      </c>
      <c r="J50" s="21" t="e">
        <f t="shared" si="10"/>
        <v>#REF!</v>
      </c>
      <c r="K50" s="21" t="e">
        <f t="shared" si="10"/>
        <v>#REF!</v>
      </c>
      <c r="L50" s="21" t="e">
        <f t="shared" si="10"/>
        <v>#REF!</v>
      </c>
      <c r="M50" s="21" t="e">
        <f t="shared" si="10"/>
        <v>#REF!</v>
      </c>
      <c r="N50" s="21" t="e">
        <f t="shared" si="10"/>
        <v>#REF!</v>
      </c>
      <c r="O50" s="21" t="e">
        <f t="shared" si="10"/>
        <v>#REF!</v>
      </c>
      <c r="P50" s="21" t="e">
        <f t="shared" si="10"/>
        <v>#REF!</v>
      </c>
      <c r="Q50" s="21" t="e">
        <f t="shared" si="10"/>
        <v>#REF!</v>
      </c>
      <c r="R50" s="21" t="e">
        <f t="shared" si="10"/>
        <v>#REF!</v>
      </c>
      <c r="S50" s="21" t="e">
        <f t="shared" si="10"/>
        <v>#REF!</v>
      </c>
      <c r="T50" s="21" t="e">
        <f t="shared" si="10"/>
        <v>#REF!</v>
      </c>
      <c r="U50" s="21" t="e">
        <f t="shared" si="10"/>
        <v>#REF!</v>
      </c>
      <c r="V50" s="21" t="e">
        <f t="shared" si="10"/>
        <v>#REF!</v>
      </c>
      <c r="W50" s="21" t="e">
        <f t="shared" si="10"/>
        <v>#REF!</v>
      </c>
      <c r="X50" s="21" t="e">
        <f t="shared" si="10"/>
        <v>#REF!</v>
      </c>
      <c r="Y50" s="21" t="e">
        <f t="shared" si="10"/>
        <v>#REF!</v>
      </c>
      <c r="Z50" s="21" t="e">
        <f t="shared" si="10"/>
        <v>#REF!</v>
      </c>
      <c r="AA50" s="21" t="e">
        <f t="shared" si="10"/>
        <v>#REF!</v>
      </c>
      <c r="AB50" s="21" t="e">
        <f t="shared" si="10"/>
        <v>#REF!</v>
      </c>
      <c r="AC50" s="21" t="e">
        <f t="shared" si="10"/>
        <v>#REF!</v>
      </c>
      <c r="AD50" s="21" t="e">
        <f t="shared" si="10"/>
        <v>#REF!</v>
      </c>
      <c r="AE50" s="21" t="e">
        <f t="shared" si="10"/>
        <v>#REF!</v>
      </c>
      <c r="AF50" s="21" t="e">
        <f t="shared" si="10"/>
        <v>#REF!</v>
      </c>
      <c r="AG50" s="21" t="e">
        <f t="shared" si="10"/>
        <v>#REF!</v>
      </c>
      <c r="AH50" s="21" t="e">
        <f t="shared" si="10"/>
        <v>#REF!</v>
      </c>
    </row>
    <row r="51" spans="2:34">
      <c r="B51" s="11" t="s">
        <v>89</v>
      </c>
      <c r="C51" s="7" t="s">
        <v>49</v>
      </c>
      <c r="D51" s="8" t="s">
        <v>0</v>
      </c>
      <c r="E51" s="19" t="e">
        <f>E45*E50</f>
        <v>#REF!</v>
      </c>
      <c r="F51" s="19" t="e">
        <f t="shared" ref="F51:AH51" si="11">F45*F50</f>
        <v>#REF!</v>
      </c>
      <c r="G51" s="19" t="e">
        <f t="shared" si="11"/>
        <v>#REF!</v>
      </c>
      <c r="H51" s="19" t="e">
        <f t="shared" si="11"/>
        <v>#REF!</v>
      </c>
      <c r="I51" s="19" t="e">
        <f t="shared" si="11"/>
        <v>#REF!</v>
      </c>
      <c r="J51" s="19" t="e">
        <f t="shared" si="11"/>
        <v>#REF!</v>
      </c>
      <c r="K51" s="19" t="e">
        <f t="shared" si="11"/>
        <v>#REF!</v>
      </c>
      <c r="L51" s="19" t="e">
        <f t="shared" si="11"/>
        <v>#REF!</v>
      </c>
      <c r="M51" s="19" t="e">
        <f t="shared" si="11"/>
        <v>#REF!</v>
      </c>
      <c r="N51" s="19" t="e">
        <f t="shared" si="11"/>
        <v>#REF!</v>
      </c>
      <c r="O51" s="19" t="e">
        <f t="shared" si="11"/>
        <v>#REF!</v>
      </c>
      <c r="P51" s="19" t="e">
        <f t="shared" si="11"/>
        <v>#REF!</v>
      </c>
      <c r="Q51" s="19" t="e">
        <f t="shared" si="11"/>
        <v>#REF!</v>
      </c>
      <c r="R51" s="19" t="e">
        <f t="shared" si="11"/>
        <v>#REF!</v>
      </c>
      <c r="S51" s="19" t="e">
        <f t="shared" si="11"/>
        <v>#REF!</v>
      </c>
      <c r="T51" s="19" t="e">
        <f t="shared" si="11"/>
        <v>#REF!</v>
      </c>
      <c r="U51" s="19" t="e">
        <f t="shared" si="11"/>
        <v>#REF!</v>
      </c>
      <c r="V51" s="19" t="e">
        <f t="shared" si="11"/>
        <v>#REF!</v>
      </c>
      <c r="W51" s="19" t="e">
        <f t="shared" si="11"/>
        <v>#REF!</v>
      </c>
      <c r="X51" s="19" t="e">
        <f t="shared" si="11"/>
        <v>#REF!</v>
      </c>
      <c r="Y51" s="19" t="e">
        <f t="shared" si="11"/>
        <v>#REF!</v>
      </c>
      <c r="Z51" s="19" t="e">
        <f t="shared" si="11"/>
        <v>#REF!</v>
      </c>
      <c r="AA51" s="19" t="e">
        <f t="shared" si="11"/>
        <v>#REF!</v>
      </c>
      <c r="AB51" s="19" t="e">
        <f t="shared" si="11"/>
        <v>#REF!</v>
      </c>
      <c r="AC51" s="19" t="e">
        <f t="shared" si="11"/>
        <v>#REF!</v>
      </c>
      <c r="AD51" s="19" t="e">
        <f t="shared" si="11"/>
        <v>#REF!</v>
      </c>
      <c r="AE51" s="19" t="e">
        <f t="shared" si="11"/>
        <v>#REF!</v>
      </c>
      <c r="AF51" s="19" t="e">
        <f t="shared" si="11"/>
        <v>#REF!</v>
      </c>
      <c r="AG51" s="19" t="e">
        <f t="shared" si="11"/>
        <v>#REF!</v>
      </c>
      <c r="AH51" s="19" t="e">
        <f t="shared" si="11"/>
        <v>#REF!</v>
      </c>
    </row>
    <row r="52" spans="2:34">
      <c r="B52" s="75" t="s">
        <v>89</v>
      </c>
      <c r="C52" s="7" t="s">
        <v>79</v>
      </c>
      <c r="D52" s="7" t="s">
        <v>76</v>
      </c>
      <c r="E52" s="37">
        <f>G31</f>
        <v>0.2</v>
      </c>
      <c r="F52" s="37">
        <f t="shared" ref="F52:AH52" si="12">E52*(1+$G$32)</f>
        <v>0.20600000000000002</v>
      </c>
      <c r="G52" s="37">
        <f t="shared" si="12"/>
        <v>0.21218000000000004</v>
      </c>
      <c r="H52" s="37">
        <f t="shared" si="12"/>
        <v>0.21854540000000003</v>
      </c>
      <c r="I52" s="37">
        <f t="shared" si="12"/>
        <v>0.22510176200000004</v>
      </c>
      <c r="J52" s="37">
        <f t="shared" si="12"/>
        <v>0.23185481486000004</v>
      </c>
      <c r="K52" s="37">
        <f t="shared" si="12"/>
        <v>0.23881045930580005</v>
      </c>
      <c r="L52" s="37">
        <f t="shared" si="12"/>
        <v>0.24597477308497406</v>
      </c>
      <c r="M52" s="37">
        <f t="shared" si="12"/>
        <v>0.2533540162775233</v>
      </c>
      <c r="N52" s="37">
        <f t="shared" si="12"/>
        <v>0.26095463676584901</v>
      </c>
      <c r="O52" s="37">
        <f t="shared" si="12"/>
        <v>0.2687832758688245</v>
      </c>
      <c r="P52" s="37">
        <f t="shared" si="12"/>
        <v>0.27684677414488923</v>
      </c>
      <c r="Q52" s="37">
        <f t="shared" si="12"/>
        <v>0.28515217736923593</v>
      </c>
      <c r="R52" s="37">
        <f t="shared" si="12"/>
        <v>0.29370674269031299</v>
      </c>
      <c r="S52" s="37">
        <f t="shared" si="12"/>
        <v>0.30251794497102241</v>
      </c>
      <c r="T52" s="37">
        <f t="shared" si="12"/>
        <v>0.31159348332015308</v>
      </c>
      <c r="U52" s="37">
        <f t="shared" si="12"/>
        <v>0.32094128781975767</v>
      </c>
      <c r="V52" s="37">
        <f t="shared" si="12"/>
        <v>0.33056952645435039</v>
      </c>
      <c r="W52" s="37">
        <f t="shared" si="12"/>
        <v>0.34048661224798094</v>
      </c>
      <c r="X52" s="37">
        <f t="shared" si="12"/>
        <v>0.35070121061542037</v>
      </c>
      <c r="Y52" s="37">
        <f t="shared" si="12"/>
        <v>0.361222246933883</v>
      </c>
      <c r="Z52" s="37">
        <f t="shared" si="12"/>
        <v>0.37205891434189947</v>
      </c>
      <c r="AA52" s="37">
        <f t="shared" si="12"/>
        <v>0.38322068177215646</v>
      </c>
      <c r="AB52" s="37">
        <f t="shared" si="12"/>
        <v>0.39471730222532114</v>
      </c>
      <c r="AC52" s="37">
        <f t="shared" si="12"/>
        <v>0.40655882129208076</v>
      </c>
      <c r="AD52" s="37">
        <f t="shared" si="12"/>
        <v>0.41875558593084322</v>
      </c>
      <c r="AE52" s="37">
        <f t="shared" si="12"/>
        <v>0.43131825350876851</v>
      </c>
      <c r="AF52" s="37">
        <f t="shared" si="12"/>
        <v>0.44425780111403157</v>
      </c>
      <c r="AG52" s="37">
        <f t="shared" si="12"/>
        <v>0.45758553514745254</v>
      </c>
      <c r="AH52" s="37">
        <f t="shared" si="12"/>
        <v>0.47131310120187614</v>
      </c>
    </row>
    <row r="53" spans="2:34">
      <c r="B53" s="75" t="s">
        <v>89</v>
      </c>
      <c r="C53" s="9" t="s">
        <v>78</v>
      </c>
      <c r="D53" s="9" t="s">
        <v>80</v>
      </c>
      <c r="E53" s="39" t="e">
        <f>E52*1000*E51*8760/1000000</f>
        <v>#REF!</v>
      </c>
      <c r="F53" s="39" t="e">
        <f>F52*1000*F51*8760/1000000</f>
        <v>#REF!</v>
      </c>
      <c r="G53" s="39" t="e">
        <f t="shared" ref="G53:O53" si="13">G52*1000*G51*8760/1000000</f>
        <v>#REF!</v>
      </c>
      <c r="H53" s="39" t="e">
        <f t="shared" si="13"/>
        <v>#REF!</v>
      </c>
      <c r="I53" s="39" t="e">
        <f t="shared" si="13"/>
        <v>#REF!</v>
      </c>
      <c r="J53" s="39" t="e">
        <f t="shared" si="13"/>
        <v>#REF!</v>
      </c>
      <c r="K53" s="39" t="e">
        <f t="shared" si="13"/>
        <v>#REF!</v>
      </c>
      <c r="L53" s="39" t="e">
        <f t="shared" si="13"/>
        <v>#REF!</v>
      </c>
      <c r="M53" s="39" t="e">
        <f t="shared" si="13"/>
        <v>#REF!</v>
      </c>
      <c r="N53" s="39" t="e">
        <f t="shared" si="13"/>
        <v>#REF!</v>
      </c>
      <c r="O53" s="39" t="e">
        <f t="shared" si="13"/>
        <v>#REF!</v>
      </c>
      <c r="P53" s="39" t="e">
        <f>P52*1000*P51*8760/1000000</f>
        <v>#REF!</v>
      </c>
      <c r="Q53" s="39" t="e">
        <f>Q52*1000*Q51*8760/1000000</f>
        <v>#REF!</v>
      </c>
      <c r="R53" s="39" t="e">
        <f t="shared" ref="R53:V53" si="14">R52*1000*R51*8760/1000000</f>
        <v>#REF!</v>
      </c>
      <c r="S53" s="39" t="e">
        <f t="shared" si="14"/>
        <v>#REF!</v>
      </c>
      <c r="T53" s="39" t="e">
        <f t="shared" si="14"/>
        <v>#REF!</v>
      </c>
      <c r="U53" s="39" t="e">
        <f t="shared" si="14"/>
        <v>#REF!</v>
      </c>
      <c r="V53" s="39" t="e">
        <f t="shared" si="14"/>
        <v>#REF!</v>
      </c>
      <c r="W53" s="39" t="e">
        <f>W52*1000*W51*8760/1000000</f>
        <v>#REF!</v>
      </c>
      <c r="X53" s="39" t="e">
        <f>X52*1000*X51*8760/1000000</f>
        <v>#REF!</v>
      </c>
      <c r="Y53" s="39" t="e">
        <f t="shared" ref="Y53:AG53" si="15">Y52*1000*Y51*8760/1000000</f>
        <v>#REF!</v>
      </c>
      <c r="Z53" s="39" t="e">
        <f t="shared" si="15"/>
        <v>#REF!</v>
      </c>
      <c r="AA53" s="39" t="e">
        <f t="shared" si="15"/>
        <v>#REF!</v>
      </c>
      <c r="AB53" s="39" t="e">
        <f t="shared" si="15"/>
        <v>#REF!</v>
      </c>
      <c r="AC53" s="39" t="e">
        <f t="shared" si="15"/>
        <v>#REF!</v>
      </c>
      <c r="AD53" s="39" t="e">
        <f t="shared" si="15"/>
        <v>#REF!</v>
      </c>
      <c r="AE53" s="39" t="e">
        <f t="shared" si="15"/>
        <v>#REF!</v>
      </c>
      <c r="AF53" s="39" t="e">
        <f t="shared" si="15"/>
        <v>#REF!</v>
      </c>
      <c r="AG53" s="39" t="e">
        <f t="shared" si="15"/>
        <v>#REF!</v>
      </c>
      <c r="AH53" s="39" t="e">
        <f>AH52*1000*AH51*8760/1000000</f>
        <v>#REF!</v>
      </c>
    </row>
    <row r="54" spans="2:34">
      <c r="B54" s="75" t="s">
        <v>89</v>
      </c>
      <c r="C54" s="9" t="s">
        <v>87</v>
      </c>
      <c r="D54" s="9" t="s">
        <v>85</v>
      </c>
      <c r="E54" s="39">
        <f>G33</f>
        <v>500</v>
      </c>
      <c r="F54" s="40">
        <f t="shared" ref="F54:AH54" si="16">E54*(1+$G$34)</f>
        <v>510</v>
      </c>
      <c r="G54" s="40">
        <f t="shared" si="16"/>
        <v>520.20000000000005</v>
      </c>
      <c r="H54" s="40">
        <f t="shared" si="16"/>
        <v>530.60400000000004</v>
      </c>
      <c r="I54" s="40">
        <f t="shared" si="16"/>
        <v>541.21608000000003</v>
      </c>
      <c r="J54" s="40">
        <f t="shared" si="16"/>
        <v>552.0404016</v>
      </c>
      <c r="K54" s="40">
        <f t="shared" si="16"/>
        <v>563.08120963199997</v>
      </c>
      <c r="L54" s="40">
        <f t="shared" si="16"/>
        <v>574.34283382464002</v>
      </c>
      <c r="M54" s="40">
        <f t="shared" si="16"/>
        <v>585.82969050113286</v>
      </c>
      <c r="N54" s="40">
        <f t="shared" si="16"/>
        <v>597.54628431115555</v>
      </c>
      <c r="O54" s="40">
        <f t="shared" si="16"/>
        <v>609.49720999737872</v>
      </c>
      <c r="P54" s="40">
        <f t="shared" si="16"/>
        <v>621.68715419732632</v>
      </c>
      <c r="Q54" s="40">
        <f t="shared" si="16"/>
        <v>634.12089728127285</v>
      </c>
      <c r="R54" s="40">
        <f t="shared" si="16"/>
        <v>646.80331522689835</v>
      </c>
      <c r="S54" s="40">
        <f t="shared" si="16"/>
        <v>659.73938153143638</v>
      </c>
      <c r="T54" s="40">
        <f t="shared" si="16"/>
        <v>672.93416916206513</v>
      </c>
      <c r="U54" s="40">
        <f t="shared" si="16"/>
        <v>686.39285254530648</v>
      </c>
      <c r="V54" s="40">
        <f t="shared" si="16"/>
        <v>700.12070959621258</v>
      </c>
      <c r="W54" s="40">
        <f t="shared" si="16"/>
        <v>714.12312378813681</v>
      </c>
      <c r="X54" s="40">
        <f t="shared" si="16"/>
        <v>728.40558626389952</v>
      </c>
      <c r="Y54" s="40">
        <f t="shared" si="16"/>
        <v>742.97369798917748</v>
      </c>
      <c r="Z54" s="40">
        <f t="shared" si="16"/>
        <v>757.83317194896108</v>
      </c>
      <c r="AA54" s="40">
        <f t="shared" si="16"/>
        <v>772.98983538794027</v>
      </c>
      <c r="AB54" s="40">
        <f t="shared" si="16"/>
        <v>788.44963209569914</v>
      </c>
      <c r="AC54" s="40">
        <f t="shared" si="16"/>
        <v>804.21862473761314</v>
      </c>
      <c r="AD54" s="40">
        <f t="shared" si="16"/>
        <v>820.30299723236544</v>
      </c>
      <c r="AE54" s="40">
        <f t="shared" si="16"/>
        <v>836.70905717701271</v>
      </c>
      <c r="AF54" s="40">
        <f t="shared" si="16"/>
        <v>853.44323832055295</v>
      </c>
      <c r="AG54" s="40">
        <f t="shared" si="16"/>
        <v>870.51210308696398</v>
      </c>
      <c r="AH54" s="40">
        <f t="shared" si="16"/>
        <v>887.92234514870324</v>
      </c>
    </row>
    <row r="55" spans="2:34">
      <c r="B55" s="75" t="s">
        <v>89</v>
      </c>
      <c r="C55" s="9" t="s">
        <v>86</v>
      </c>
      <c r="D55" s="9" t="s">
        <v>74</v>
      </c>
      <c r="E55" s="40">
        <f>E54*12*E45*1000/1000000</f>
        <v>17.786249999999995</v>
      </c>
      <c r="F55" s="40">
        <f>F54*12*F45*1000/1000000</f>
        <v>43.34796</v>
      </c>
      <c r="G55" s="40">
        <f t="shared" ref="G55:AH55" si="17">G54*12*G45*1000/1000000</f>
        <v>77.423020235999999</v>
      </c>
      <c r="H55" s="40">
        <f t="shared" si="17"/>
        <v>120.87143499018244</v>
      </c>
      <c r="I55" s="40">
        <f t="shared" si="17"/>
        <v>124.696184832</v>
      </c>
      <c r="J55" s="40">
        <f t="shared" si="17"/>
        <v>127.19010852863998</v>
      </c>
      <c r="K55" s="40">
        <f t="shared" si="17"/>
        <v>129.73391069921277</v>
      </c>
      <c r="L55" s="40">
        <f t="shared" si="17"/>
        <v>132.32858891319708</v>
      </c>
      <c r="M55" s="40">
        <f t="shared" si="17"/>
        <v>134.97516069146099</v>
      </c>
      <c r="N55" s="40">
        <f t="shared" si="17"/>
        <v>137.67466390529026</v>
      </c>
      <c r="O55" s="40">
        <f t="shared" si="17"/>
        <v>140.42815718339605</v>
      </c>
      <c r="P55" s="40">
        <f t="shared" si="17"/>
        <v>143.23672032706395</v>
      </c>
      <c r="Q55" s="40">
        <f t="shared" si="17"/>
        <v>146.10145473360527</v>
      </c>
      <c r="R55" s="40">
        <f t="shared" si="17"/>
        <v>149.02348382827739</v>
      </c>
      <c r="S55" s="40">
        <f t="shared" si="17"/>
        <v>152.00395350484294</v>
      </c>
      <c r="T55" s="40">
        <f t="shared" si="17"/>
        <v>155.04403257493982</v>
      </c>
      <c r="U55" s="40">
        <f t="shared" si="17"/>
        <v>158.1449132264386</v>
      </c>
      <c r="V55" s="40">
        <f t="shared" si="17"/>
        <v>161.30781149096737</v>
      </c>
      <c r="W55" s="40">
        <f t="shared" si="17"/>
        <v>164.53396772078673</v>
      </c>
      <c r="X55" s="40">
        <f t="shared" si="17"/>
        <v>167.82464707520245</v>
      </c>
      <c r="Y55" s="40">
        <f t="shared" si="17"/>
        <v>171.18114001670648</v>
      </c>
      <c r="Z55" s="40">
        <f t="shared" si="17"/>
        <v>174.60476281704067</v>
      </c>
      <c r="AA55" s="40">
        <f t="shared" si="17"/>
        <v>178.09685807338144</v>
      </c>
      <c r="AB55" s="40">
        <f t="shared" si="17"/>
        <v>181.65879523484907</v>
      </c>
      <c r="AC55" s="40">
        <f t="shared" si="17"/>
        <v>185.29197113954606</v>
      </c>
      <c r="AD55" s="40">
        <f t="shared" si="17"/>
        <v>188.99781056233695</v>
      </c>
      <c r="AE55" s="40">
        <f t="shared" si="17"/>
        <v>192.77776677358372</v>
      </c>
      <c r="AF55" s="40">
        <f t="shared" si="17"/>
        <v>196.6333221090554</v>
      </c>
      <c r="AG55" s="40">
        <f t="shared" si="17"/>
        <v>200.56598855123647</v>
      </c>
      <c r="AH55" s="40">
        <f t="shared" si="17"/>
        <v>204.57730832226125</v>
      </c>
    </row>
    <row r="57" spans="2:34">
      <c r="C57" s="34" t="s">
        <v>104</v>
      </c>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row>
    <row r="58" spans="2:34">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row>
    <row r="59" spans="2:34">
      <c r="B59" s="11" t="s">
        <v>89</v>
      </c>
      <c r="C59" s="15" t="s">
        <v>25</v>
      </c>
      <c r="D59" s="16"/>
      <c r="E59" s="16">
        <v>1</v>
      </c>
      <c r="F59" s="16">
        <v>2</v>
      </c>
      <c r="G59" s="16">
        <v>3</v>
      </c>
      <c r="H59" s="16">
        <v>4</v>
      </c>
      <c r="I59" s="16">
        <v>5</v>
      </c>
      <c r="J59" s="16">
        <v>6</v>
      </c>
      <c r="K59" s="16">
        <v>7</v>
      </c>
      <c r="L59" s="16">
        <v>8</v>
      </c>
      <c r="M59" s="16">
        <v>9</v>
      </c>
      <c r="N59" s="16">
        <v>10</v>
      </c>
      <c r="O59" s="16">
        <v>11</v>
      </c>
      <c r="P59" s="16">
        <v>12</v>
      </c>
      <c r="Q59" s="16">
        <v>13</v>
      </c>
      <c r="R59" s="16">
        <v>14</v>
      </c>
      <c r="S59" s="16">
        <v>15</v>
      </c>
      <c r="T59" s="16">
        <v>16</v>
      </c>
      <c r="U59" s="16">
        <v>17</v>
      </c>
      <c r="V59" s="16">
        <v>18</v>
      </c>
      <c r="W59" s="16">
        <v>19</v>
      </c>
      <c r="X59" s="16">
        <v>20</v>
      </c>
      <c r="Y59" s="16">
        <v>21</v>
      </c>
      <c r="Z59" s="16">
        <v>22</v>
      </c>
      <c r="AA59" s="16">
        <v>23</v>
      </c>
      <c r="AB59" s="16">
        <v>24</v>
      </c>
      <c r="AC59" s="16">
        <v>25</v>
      </c>
      <c r="AD59" s="16">
        <v>26</v>
      </c>
      <c r="AE59" s="16">
        <v>27</v>
      </c>
      <c r="AF59" s="16">
        <v>28</v>
      </c>
      <c r="AG59" s="16">
        <v>29</v>
      </c>
      <c r="AH59" s="16">
        <v>30</v>
      </c>
    </row>
    <row r="60" spans="2:34">
      <c r="B60" s="11" t="s">
        <v>89</v>
      </c>
      <c r="C60" s="6" t="s">
        <v>26</v>
      </c>
      <c r="D60" s="6"/>
      <c r="E60" s="18">
        <v>2025</v>
      </c>
      <c r="F60" s="18">
        <v>2026</v>
      </c>
      <c r="G60" s="18">
        <v>2027</v>
      </c>
      <c r="H60" s="18">
        <v>2028</v>
      </c>
      <c r="I60" s="18">
        <v>2029</v>
      </c>
      <c r="J60" s="18">
        <v>2030</v>
      </c>
      <c r="K60" s="18">
        <v>2031</v>
      </c>
      <c r="L60" s="18">
        <v>2032</v>
      </c>
      <c r="M60" s="18">
        <v>2033</v>
      </c>
      <c r="N60" s="18">
        <v>2034</v>
      </c>
      <c r="O60" s="18">
        <v>2035</v>
      </c>
      <c r="P60" s="18">
        <v>2036</v>
      </c>
      <c r="Q60" s="18">
        <v>2037</v>
      </c>
      <c r="R60" s="18">
        <v>2038</v>
      </c>
      <c r="S60" s="18">
        <v>2039</v>
      </c>
      <c r="T60" s="18">
        <v>2040</v>
      </c>
      <c r="U60" s="18">
        <v>2041</v>
      </c>
      <c r="V60" s="18">
        <v>2042</v>
      </c>
      <c r="W60" s="18">
        <v>2043</v>
      </c>
      <c r="X60" s="18">
        <v>2044</v>
      </c>
      <c r="Y60" s="18">
        <v>2045</v>
      </c>
      <c r="Z60" s="18">
        <v>2046</v>
      </c>
      <c r="AA60" s="18">
        <v>2047</v>
      </c>
      <c r="AB60" s="18">
        <v>2048</v>
      </c>
      <c r="AC60" s="18">
        <v>2049</v>
      </c>
      <c r="AD60" s="18">
        <v>2050</v>
      </c>
      <c r="AE60" s="18">
        <v>2051</v>
      </c>
      <c r="AF60" s="18">
        <v>2052</v>
      </c>
      <c r="AG60" s="18">
        <v>2053</v>
      </c>
      <c r="AH60" s="18">
        <v>2054</v>
      </c>
    </row>
    <row r="61" spans="2:34">
      <c r="B61" s="11" t="s">
        <v>89</v>
      </c>
      <c r="C61" s="5" t="s">
        <v>19</v>
      </c>
      <c r="D61" s="5" t="s">
        <v>7</v>
      </c>
      <c r="E61" s="16">
        <f>E41</f>
        <v>4.75</v>
      </c>
      <c r="F61" s="16">
        <f t="shared" ref="F61:AH61" si="18">F41</f>
        <v>5.5</v>
      </c>
      <c r="G61" s="16">
        <f t="shared" si="18"/>
        <v>6.25</v>
      </c>
      <c r="H61" s="16">
        <f t="shared" si="18"/>
        <v>7</v>
      </c>
      <c r="I61" s="16">
        <f t="shared" si="18"/>
        <v>7.75</v>
      </c>
      <c r="J61" s="16">
        <f t="shared" si="18"/>
        <v>8.5</v>
      </c>
      <c r="K61" s="16">
        <f t="shared" si="18"/>
        <v>9.25</v>
      </c>
      <c r="L61" s="16">
        <f t="shared" si="18"/>
        <v>10</v>
      </c>
      <c r="M61" s="16">
        <f t="shared" si="18"/>
        <v>10</v>
      </c>
      <c r="N61" s="16">
        <f t="shared" si="18"/>
        <v>10</v>
      </c>
      <c r="O61" s="16">
        <f t="shared" si="18"/>
        <v>10</v>
      </c>
      <c r="P61" s="16">
        <f t="shared" si="18"/>
        <v>10</v>
      </c>
      <c r="Q61" s="16">
        <f t="shared" si="18"/>
        <v>10</v>
      </c>
      <c r="R61" s="16">
        <f t="shared" si="18"/>
        <v>10</v>
      </c>
      <c r="S61" s="16">
        <f t="shared" si="18"/>
        <v>10</v>
      </c>
      <c r="T61" s="16">
        <f t="shared" si="18"/>
        <v>10</v>
      </c>
      <c r="U61" s="16">
        <f t="shared" si="18"/>
        <v>10</v>
      </c>
      <c r="V61" s="16">
        <f t="shared" si="18"/>
        <v>10</v>
      </c>
      <c r="W61" s="16">
        <f t="shared" si="18"/>
        <v>10</v>
      </c>
      <c r="X61" s="16">
        <f t="shared" si="18"/>
        <v>10</v>
      </c>
      <c r="Y61" s="16">
        <f t="shared" si="18"/>
        <v>10</v>
      </c>
      <c r="Z61" s="16">
        <f t="shared" si="18"/>
        <v>10</v>
      </c>
      <c r="AA61" s="16">
        <f t="shared" si="18"/>
        <v>10</v>
      </c>
      <c r="AB61" s="16">
        <f t="shared" si="18"/>
        <v>10</v>
      </c>
      <c r="AC61" s="16">
        <f t="shared" si="18"/>
        <v>10</v>
      </c>
      <c r="AD61" s="16">
        <f t="shared" si="18"/>
        <v>10</v>
      </c>
      <c r="AE61" s="16">
        <f t="shared" si="18"/>
        <v>10</v>
      </c>
      <c r="AF61" s="16">
        <f t="shared" si="18"/>
        <v>10</v>
      </c>
      <c r="AG61" s="16">
        <f t="shared" si="18"/>
        <v>10</v>
      </c>
      <c r="AH61" s="16">
        <f t="shared" si="18"/>
        <v>10</v>
      </c>
    </row>
    <row r="62" spans="2:34">
      <c r="B62" s="11" t="s">
        <v>89</v>
      </c>
      <c r="C62" s="5" t="s">
        <v>20</v>
      </c>
      <c r="D62" s="5" t="s">
        <v>7</v>
      </c>
      <c r="E62" s="16">
        <f t="shared" ref="E62:AH62" si="19">MIN((($M$9-$M$10)/$M$12*(E59-1)+$M$10),$M$9)</f>
        <v>20</v>
      </c>
      <c r="F62" s="16">
        <f t="shared" si="19"/>
        <v>23</v>
      </c>
      <c r="G62" s="16">
        <f t="shared" si="19"/>
        <v>26</v>
      </c>
      <c r="H62" s="16">
        <f t="shared" si="19"/>
        <v>29</v>
      </c>
      <c r="I62" s="16">
        <f t="shared" si="19"/>
        <v>32</v>
      </c>
      <c r="J62" s="16">
        <f t="shared" si="19"/>
        <v>35</v>
      </c>
      <c r="K62" s="16">
        <f t="shared" si="19"/>
        <v>38</v>
      </c>
      <c r="L62" s="16">
        <f t="shared" si="19"/>
        <v>41</v>
      </c>
      <c r="M62" s="16">
        <f t="shared" si="19"/>
        <v>44</v>
      </c>
      <c r="N62" s="16">
        <f t="shared" si="19"/>
        <v>47</v>
      </c>
      <c r="O62" s="16">
        <f t="shared" si="19"/>
        <v>50</v>
      </c>
      <c r="P62" s="16">
        <f t="shared" si="19"/>
        <v>53</v>
      </c>
      <c r="Q62" s="16">
        <f t="shared" si="19"/>
        <v>56</v>
      </c>
      <c r="R62" s="16">
        <f t="shared" si="19"/>
        <v>59</v>
      </c>
      <c r="S62" s="16">
        <f t="shared" si="19"/>
        <v>62</v>
      </c>
      <c r="T62" s="16">
        <f t="shared" si="19"/>
        <v>65</v>
      </c>
      <c r="U62" s="16">
        <f t="shared" si="19"/>
        <v>68</v>
      </c>
      <c r="V62" s="16">
        <f t="shared" si="19"/>
        <v>71</v>
      </c>
      <c r="W62" s="16">
        <f t="shared" si="19"/>
        <v>74</v>
      </c>
      <c r="X62" s="16">
        <f t="shared" si="19"/>
        <v>77</v>
      </c>
      <c r="Y62" s="16">
        <f t="shared" si="19"/>
        <v>80</v>
      </c>
      <c r="Z62" s="16">
        <f t="shared" si="19"/>
        <v>80</v>
      </c>
      <c r="AA62" s="16">
        <f t="shared" si="19"/>
        <v>80</v>
      </c>
      <c r="AB62" s="16">
        <f t="shared" si="19"/>
        <v>80</v>
      </c>
      <c r="AC62" s="16">
        <f t="shared" si="19"/>
        <v>80</v>
      </c>
      <c r="AD62" s="16">
        <f t="shared" si="19"/>
        <v>80</v>
      </c>
      <c r="AE62" s="16">
        <f t="shared" si="19"/>
        <v>80</v>
      </c>
      <c r="AF62" s="16">
        <f t="shared" si="19"/>
        <v>80</v>
      </c>
      <c r="AG62" s="16">
        <f t="shared" si="19"/>
        <v>80</v>
      </c>
      <c r="AH62" s="16">
        <f t="shared" si="19"/>
        <v>80</v>
      </c>
    </row>
    <row r="63" spans="2:34">
      <c r="B63" s="11" t="s">
        <v>89</v>
      </c>
      <c r="C63" s="7" t="s">
        <v>21</v>
      </c>
      <c r="D63" s="7" t="s">
        <v>6</v>
      </c>
      <c r="E63" s="20">
        <f>MAX(($M$15-($M$15-$M$16)*E59/$M$12),$M$16)</f>
        <v>0.88</v>
      </c>
      <c r="F63" s="20">
        <f t="shared" ref="F63:AH63" si="20">MAX(($M$15-($M$15-$M$16)*F59/$M$12),$M$16)</f>
        <v>0.86</v>
      </c>
      <c r="G63" s="20">
        <f t="shared" si="20"/>
        <v>0.84</v>
      </c>
      <c r="H63" s="20">
        <f t="shared" si="20"/>
        <v>0.82000000000000006</v>
      </c>
      <c r="I63" s="20">
        <f t="shared" si="20"/>
        <v>0.8</v>
      </c>
      <c r="J63" s="20">
        <f t="shared" si="20"/>
        <v>0.78</v>
      </c>
      <c r="K63" s="20">
        <f t="shared" si="20"/>
        <v>0.76</v>
      </c>
      <c r="L63" s="20">
        <f t="shared" si="20"/>
        <v>0.74</v>
      </c>
      <c r="M63" s="20">
        <f t="shared" si="20"/>
        <v>0.72</v>
      </c>
      <c r="N63" s="20">
        <f t="shared" si="20"/>
        <v>0.7</v>
      </c>
      <c r="O63" s="20">
        <f t="shared" si="20"/>
        <v>0.67999999999999994</v>
      </c>
      <c r="P63" s="20">
        <f t="shared" si="20"/>
        <v>0.65999999999999992</v>
      </c>
      <c r="Q63" s="20">
        <f t="shared" si="20"/>
        <v>0.64</v>
      </c>
      <c r="R63" s="20">
        <f t="shared" si="20"/>
        <v>0.62</v>
      </c>
      <c r="S63" s="20">
        <f t="shared" si="20"/>
        <v>0.60000000000000009</v>
      </c>
      <c r="T63" s="20">
        <f t="shared" si="20"/>
        <v>0.58000000000000007</v>
      </c>
      <c r="U63" s="20">
        <f t="shared" si="20"/>
        <v>0.56000000000000005</v>
      </c>
      <c r="V63" s="20">
        <f t="shared" si="20"/>
        <v>0.54</v>
      </c>
      <c r="W63" s="20">
        <f t="shared" si="20"/>
        <v>0.52</v>
      </c>
      <c r="X63" s="20">
        <f t="shared" si="20"/>
        <v>0.5</v>
      </c>
      <c r="Y63" s="20">
        <f t="shared" si="20"/>
        <v>0.5</v>
      </c>
      <c r="Z63" s="20">
        <f t="shared" si="20"/>
        <v>0.5</v>
      </c>
      <c r="AA63" s="20">
        <f t="shared" si="20"/>
        <v>0.5</v>
      </c>
      <c r="AB63" s="20">
        <f t="shared" si="20"/>
        <v>0.5</v>
      </c>
      <c r="AC63" s="20">
        <f t="shared" si="20"/>
        <v>0.5</v>
      </c>
      <c r="AD63" s="20">
        <f t="shared" si="20"/>
        <v>0.5</v>
      </c>
      <c r="AE63" s="20">
        <f t="shared" si="20"/>
        <v>0.5</v>
      </c>
      <c r="AF63" s="20">
        <f t="shared" si="20"/>
        <v>0.5</v>
      </c>
      <c r="AG63" s="20">
        <f t="shared" si="20"/>
        <v>0.5</v>
      </c>
      <c r="AH63" s="20">
        <f t="shared" si="20"/>
        <v>0.5</v>
      </c>
    </row>
    <row r="64" spans="2:34">
      <c r="B64" s="11" t="s">
        <v>89</v>
      </c>
      <c r="C64" s="7" t="s">
        <v>22</v>
      </c>
      <c r="D64" s="7" t="s">
        <v>7</v>
      </c>
      <c r="E64" s="19">
        <f t="shared" ref="E64:AH64" si="21">MIN((E63*E61+(1-E63)*E62),$M$11)</f>
        <v>6.58</v>
      </c>
      <c r="F64" s="19">
        <f t="shared" si="21"/>
        <v>7.9499999999999993</v>
      </c>
      <c r="G64" s="19">
        <f t="shared" si="21"/>
        <v>9.41</v>
      </c>
      <c r="H64" s="19">
        <f t="shared" si="21"/>
        <v>10.959999999999997</v>
      </c>
      <c r="I64" s="19">
        <f t="shared" si="21"/>
        <v>12.599999999999998</v>
      </c>
      <c r="J64" s="19">
        <f t="shared" si="21"/>
        <v>14.329999999999998</v>
      </c>
      <c r="K64" s="19">
        <f t="shared" si="21"/>
        <v>16.149999999999999</v>
      </c>
      <c r="L64" s="19">
        <f t="shared" si="21"/>
        <v>18.060000000000002</v>
      </c>
      <c r="M64" s="19">
        <f t="shared" si="21"/>
        <v>19.52</v>
      </c>
      <c r="N64" s="19">
        <f t="shared" si="21"/>
        <v>21.1</v>
      </c>
      <c r="O64" s="19">
        <f t="shared" si="21"/>
        <v>22.800000000000004</v>
      </c>
      <c r="P64" s="19">
        <f t="shared" si="21"/>
        <v>24.620000000000005</v>
      </c>
      <c r="Q64" s="19">
        <f t="shared" si="21"/>
        <v>26.560000000000002</v>
      </c>
      <c r="R64" s="19">
        <f t="shared" si="21"/>
        <v>28.62</v>
      </c>
      <c r="S64" s="19">
        <f t="shared" si="21"/>
        <v>30.799999999999994</v>
      </c>
      <c r="T64" s="19">
        <f t="shared" si="21"/>
        <v>33.099999999999994</v>
      </c>
      <c r="U64" s="19">
        <f t="shared" si="21"/>
        <v>35.519999999999996</v>
      </c>
      <c r="V64" s="19">
        <f t="shared" si="21"/>
        <v>38.059999999999995</v>
      </c>
      <c r="W64" s="19">
        <f t="shared" si="21"/>
        <v>40</v>
      </c>
      <c r="X64" s="19">
        <f t="shared" si="21"/>
        <v>40</v>
      </c>
      <c r="Y64" s="19">
        <f t="shared" si="21"/>
        <v>40</v>
      </c>
      <c r="Z64" s="19">
        <f t="shared" si="21"/>
        <v>40</v>
      </c>
      <c r="AA64" s="19">
        <f t="shared" si="21"/>
        <v>40</v>
      </c>
      <c r="AB64" s="19">
        <f t="shared" si="21"/>
        <v>40</v>
      </c>
      <c r="AC64" s="19">
        <f t="shared" si="21"/>
        <v>40</v>
      </c>
      <c r="AD64" s="19">
        <f t="shared" si="21"/>
        <v>40</v>
      </c>
      <c r="AE64" s="19">
        <f t="shared" si="21"/>
        <v>40</v>
      </c>
      <c r="AF64" s="19">
        <f t="shared" si="21"/>
        <v>40</v>
      </c>
      <c r="AG64" s="19">
        <f t="shared" si="21"/>
        <v>40</v>
      </c>
      <c r="AH64" s="19">
        <f t="shared" si="21"/>
        <v>40</v>
      </c>
    </row>
    <row r="65" spans="2:34">
      <c r="B65" s="11" t="s">
        <v>89</v>
      </c>
      <c r="C65" s="5" t="s">
        <v>23</v>
      </c>
      <c r="D65" s="5" t="s">
        <v>0</v>
      </c>
      <c r="E65" s="22">
        <f t="shared" ref="E65:AH65" si="22">MIN($G$8/$G$6*E64*E59/1000,$G$7)</f>
        <v>3.948</v>
      </c>
      <c r="F65" s="22">
        <f t="shared" si="22"/>
        <v>9.5399999999999991</v>
      </c>
      <c r="G65" s="22">
        <f t="shared" si="22"/>
        <v>16.937999999999999</v>
      </c>
      <c r="H65" s="22">
        <f t="shared" si="22"/>
        <v>19.2</v>
      </c>
      <c r="I65" s="22">
        <f t="shared" si="22"/>
        <v>19.2</v>
      </c>
      <c r="J65" s="22">
        <f t="shared" si="22"/>
        <v>19.2</v>
      </c>
      <c r="K65" s="22">
        <f t="shared" si="22"/>
        <v>19.2</v>
      </c>
      <c r="L65" s="22">
        <f t="shared" si="22"/>
        <v>19.2</v>
      </c>
      <c r="M65" s="22">
        <f t="shared" si="22"/>
        <v>19.2</v>
      </c>
      <c r="N65" s="22">
        <f t="shared" si="22"/>
        <v>19.2</v>
      </c>
      <c r="O65" s="22">
        <f t="shared" si="22"/>
        <v>19.2</v>
      </c>
      <c r="P65" s="22">
        <f t="shared" si="22"/>
        <v>19.2</v>
      </c>
      <c r="Q65" s="22">
        <f t="shared" si="22"/>
        <v>19.2</v>
      </c>
      <c r="R65" s="22">
        <f t="shared" si="22"/>
        <v>19.2</v>
      </c>
      <c r="S65" s="22">
        <f t="shared" si="22"/>
        <v>19.2</v>
      </c>
      <c r="T65" s="22">
        <f t="shared" si="22"/>
        <v>19.2</v>
      </c>
      <c r="U65" s="22">
        <f t="shared" si="22"/>
        <v>19.2</v>
      </c>
      <c r="V65" s="22">
        <f t="shared" si="22"/>
        <v>19.2</v>
      </c>
      <c r="W65" s="22">
        <f t="shared" si="22"/>
        <v>19.2</v>
      </c>
      <c r="X65" s="22">
        <f t="shared" si="22"/>
        <v>19.2</v>
      </c>
      <c r="Y65" s="22">
        <f t="shared" si="22"/>
        <v>19.2</v>
      </c>
      <c r="Z65" s="22">
        <f t="shared" si="22"/>
        <v>19.2</v>
      </c>
      <c r="AA65" s="22">
        <f t="shared" si="22"/>
        <v>19.2</v>
      </c>
      <c r="AB65" s="22">
        <f t="shared" si="22"/>
        <v>19.2</v>
      </c>
      <c r="AC65" s="22">
        <f t="shared" si="22"/>
        <v>19.2</v>
      </c>
      <c r="AD65" s="22">
        <f t="shared" si="22"/>
        <v>19.2</v>
      </c>
      <c r="AE65" s="22">
        <f t="shared" si="22"/>
        <v>19.2</v>
      </c>
      <c r="AF65" s="22">
        <f t="shared" si="22"/>
        <v>19.2</v>
      </c>
      <c r="AG65" s="22">
        <f t="shared" si="22"/>
        <v>19.2</v>
      </c>
      <c r="AH65" s="22">
        <f t="shared" si="22"/>
        <v>19.2</v>
      </c>
    </row>
    <row r="66" spans="2:34">
      <c r="B66" s="11" t="s">
        <v>89</v>
      </c>
      <c r="C66" s="24" t="s">
        <v>44</v>
      </c>
      <c r="D66" s="24"/>
      <c r="E66" s="23">
        <f>$M$8/$G$6</f>
        <v>160</v>
      </c>
      <c r="F66" s="23">
        <f>MIN($M$8/$M$6,($M$8-E69))</f>
        <v>160</v>
      </c>
      <c r="G66" s="23">
        <f t="shared" ref="G66:AH66" si="23">MIN($M$8/$M$6,($M$8-F69))</f>
        <v>160</v>
      </c>
      <c r="H66" s="23">
        <f t="shared" si="23"/>
        <v>160</v>
      </c>
      <c r="I66" s="23">
        <f t="shared" si="23"/>
        <v>0</v>
      </c>
      <c r="J66" s="23">
        <f t="shared" si="23"/>
        <v>0</v>
      </c>
      <c r="K66" s="23">
        <f t="shared" si="23"/>
        <v>0</v>
      </c>
      <c r="L66" s="23">
        <f t="shared" si="23"/>
        <v>0</v>
      </c>
      <c r="M66" s="23">
        <f t="shared" si="23"/>
        <v>0</v>
      </c>
      <c r="N66" s="23">
        <f t="shared" si="23"/>
        <v>0</v>
      </c>
      <c r="O66" s="23">
        <f t="shared" si="23"/>
        <v>0</v>
      </c>
      <c r="P66" s="23">
        <f t="shared" si="23"/>
        <v>0</v>
      </c>
      <c r="Q66" s="23">
        <f t="shared" si="23"/>
        <v>0</v>
      </c>
      <c r="R66" s="23">
        <f t="shared" si="23"/>
        <v>0</v>
      </c>
      <c r="S66" s="23">
        <f t="shared" si="23"/>
        <v>0</v>
      </c>
      <c r="T66" s="23">
        <f t="shared" si="23"/>
        <v>0</v>
      </c>
      <c r="U66" s="23">
        <f t="shared" si="23"/>
        <v>0</v>
      </c>
      <c r="V66" s="23">
        <f t="shared" si="23"/>
        <v>0</v>
      </c>
      <c r="W66" s="23">
        <f t="shared" si="23"/>
        <v>0</v>
      </c>
      <c r="X66" s="23">
        <f t="shared" si="23"/>
        <v>0</v>
      </c>
      <c r="Y66" s="23">
        <f t="shared" si="23"/>
        <v>0</v>
      </c>
      <c r="Z66" s="23">
        <f t="shared" si="23"/>
        <v>0</v>
      </c>
      <c r="AA66" s="23">
        <f t="shared" si="23"/>
        <v>0</v>
      </c>
      <c r="AB66" s="23">
        <f t="shared" si="23"/>
        <v>0</v>
      </c>
      <c r="AC66" s="23">
        <f t="shared" si="23"/>
        <v>0</v>
      </c>
      <c r="AD66" s="23">
        <f t="shared" si="23"/>
        <v>0</v>
      </c>
      <c r="AE66" s="23">
        <f t="shared" si="23"/>
        <v>0</v>
      </c>
      <c r="AF66" s="23">
        <f t="shared" si="23"/>
        <v>0</v>
      </c>
      <c r="AG66" s="23">
        <f t="shared" si="23"/>
        <v>0</v>
      </c>
      <c r="AH66" s="23">
        <f t="shared" si="23"/>
        <v>0</v>
      </c>
    </row>
    <row r="67" spans="2:34">
      <c r="B67" s="11" t="s">
        <v>89</v>
      </c>
      <c r="C67" s="24" t="s">
        <v>48</v>
      </c>
      <c r="D67" s="24"/>
      <c r="E67" s="23">
        <v>0</v>
      </c>
      <c r="F67" s="23">
        <v>0</v>
      </c>
      <c r="G67" s="23">
        <f t="shared" ref="G67:AH67" si="24">ROUND($M$25*F69,0)</f>
        <v>40</v>
      </c>
      <c r="H67" s="23">
        <f t="shared" si="24"/>
        <v>60</v>
      </c>
      <c r="I67" s="23">
        <f t="shared" si="24"/>
        <v>80</v>
      </c>
      <c r="J67" s="23">
        <f t="shared" si="24"/>
        <v>80</v>
      </c>
      <c r="K67" s="23">
        <f t="shared" si="24"/>
        <v>80</v>
      </c>
      <c r="L67" s="23">
        <f t="shared" si="24"/>
        <v>80</v>
      </c>
      <c r="M67" s="23">
        <f t="shared" si="24"/>
        <v>80</v>
      </c>
      <c r="N67" s="23">
        <f t="shared" si="24"/>
        <v>80</v>
      </c>
      <c r="O67" s="23">
        <f t="shared" si="24"/>
        <v>80</v>
      </c>
      <c r="P67" s="23">
        <f t="shared" si="24"/>
        <v>80</v>
      </c>
      <c r="Q67" s="23">
        <f t="shared" si="24"/>
        <v>80</v>
      </c>
      <c r="R67" s="23">
        <f t="shared" si="24"/>
        <v>80</v>
      </c>
      <c r="S67" s="23">
        <f t="shared" si="24"/>
        <v>80</v>
      </c>
      <c r="T67" s="23">
        <f t="shared" si="24"/>
        <v>80</v>
      </c>
      <c r="U67" s="23">
        <f t="shared" si="24"/>
        <v>80</v>
      </c>
      <c r="V67" s="23">
        <f t="shared" si="24"/>
        <v>80</v>
      </c>
      <c r="W67" s="23">
        <f t="shared" si="24"/>
        <v>80</v>
      </c>
      <c r="X67" s="23">
        <f t="shared" si="24"/>
        <v>80</v>
      </c>
      <c r="Y67" s="23">
        <f t="shared" si="24"/>
        <v>80</v>
      </c>
      <c r="Z67" s="23">
        <f t="shared" si="24"/>
        <v>80</v>
      </c>
      <c r="AA67" s="23">
        <f t="shared" si="24"/>
        <v>80</v>
      </c>
      <c r="AB67" s="23">
        <f t="shared" si="24"/>
        <v>80</v>
      </c>
      <c r="AC67" s="23">
        <f t="shared" si="24"/>
        <v>80</v>
      </c>
      <c r="AD67" s="23">
        <f t="shared" si="24"/>
        <v>80</v>
      </c>
      <c r="AE67" s="23">
        <f t="shared" si="24"/>
        <v>80</v>
      </c>
      <c r="AF67" s="23">
        <f t="shared" si="24"/>
        <v>80</v>
      </c>
      <c r="AG67" s="23">
        <f t="shared" si="24"/>
        <v>80</v>
      </c>
      <c r="AH67" s="23">
        <f t="shared" si="24"/>
        <v>80</v>
      </c>
    </row>
    <row r="68" spans="2:34">
      <c r="B68" s="11" t="s">
        <v>89</v>
      </c>
      <c r="C68" s="25" t="s">
        <v>47</v>
      </c>
      <c r="D68" s="25" t="s">
        <v>7</v>
      </c>
      <c r="E68" s="21">
        <f>E64</f>
        <v>6.58</v>
      </c>
      <c r="F68" s="19">
        <f>(E68*E69+(F66+F67)*F64)/F69</f>
        <v>7.2650000000000006</v>
      </c>
      <c r="G68" s="19">
        <f>(F68*F69+(G66+G67)*G64-G67*F68)/G69</f>
        <v>8.1587500000000013</v>
      </c>
      <c r="H68" s="19">
        <f>(G68*G69+(H66+H67)*H64-H67*G68)/H69</f>
        <v>9.1216796875000004</v>
      </c>
      <c r="I68" s="19">
        <f t="shared" ref="I68:AH68" si="25">(H68*H69+(I66+I67)*I64-I67*H68)/I69</f>
        <v>9.5564697265625007</v>
      </c>
      <c r="J68" s="19">
        <f t="shared" si="25"/>
        <v>10.153161010742187</v>
      </c>
      <c r="K68" s="19">
        <f t="shared" si="25"/>
        <v>10.902765884399413</v>
      </c>
      <c r="L68" s="19">
        <f t="shared" si="25"/>
        <v>11.797420148849486</v>
      </c>
      <c r="M68" s="19">
        <f t="shared" si="25"/>
        <v>12.7627426302433</v>
      </c>
      <c r="N68" s="19">
        <f t="shared" si="25"/>
        <v>13.80489980146289</v>
      </c>
      <c r="O68" s="19">
        <f t="shared" si="25"/>
        <v>14.929287326280027</v>
      </c>
      <c r="P68" s="19">
        <f t="shared" si="25"/>
        <v>16.140626410495024</v>
      </c>
      <c r="Q68" s="19">
        <f t="shared" si="25"/>
        <v>17.443048109183145</v>
      </c>
      <c r="R68" s="19">
        <f t="shared" si="25"/>
        <v>18.840167095535254</v>
      </c>
      <c r="S68" s="19">
        <f t="shared" si="25"/>
        <v>20.335146208593347</v>
      </c>
      <c r="T68" s="19">
        <f t="shared" si="25"/>
        <v>21.930752932519177</v>
      </c>
      <c r="U68" s="19">
        <f t="shared" si="25"/>
        <v>23.629408815954275</v>
      </c>
      <c r="V68" s="19">
        <f t="shared" si="25"/>
        <v>25.433232713959988</v>
      </c>
      <c r="W68" s="19">
        <f t="shared" si="25"/>
        <v>27.254078624714992</v>
      </c>
      <c r="X68" s="19">
        <f t="shared" si="25"/>
        <v>28.847318796625622</v>
      </c>
      <c r="Y68" s="19">
        <f t="shared" si="25"/>
        <v>30.241403947047417</v>
      </c>
      <c r="Z68" s="19">
        <f t="shared" si="25"/>
        <v>31.461228453666489</v>
      </c>
      <c r="AA68" s="19">
        <f t="shared" si="25"/>
        <v>32.528574896958176</v>
      </c>
      <c r="AB68" s="19">
        <f t="shared" si="25"/>
        <v>33.462503034838406</v>
      </c>
      <c r="AC68" s="19">
        <f t="shared" si="25"/>
        <v>34.279690155483607</v>
      </c>
      <c r="AD68" s="19">
        <f t="shared" si="25"/>
        <v>34.994728886048151</v>
      </c>
      <c r="AE68" s="19">
        <f t="shared" si="25"/>
        <v>35.620387775292137</v>
      </c>
      <c r="AF68" s="19">
        <f t="shared" si="25"/>
        <v>36.167839303380617</v>
      </c>
      <c r="AG68" s="19">
        <f t="shared" si="25"/>
        <v>36.64685939045804</v>
      </c>
      <c r="AH68" s="19">
        <f t="shared" si="25"/>
        <v>37.066001966650788</v>
      </c>
    </row>
    <row r="69" spans="2:34">
      <c r="B69" s="11" t="s">
        <v>89</v>
      </c>
      <c r="C69" s="25" t="s">
        <v>43</v>
      </c>
      <c r="D69" s="26"/>
      <c r="E69" s="22">
        <f>E66</f>
        <v>160</v>
      </c>
      <c r="F69" s="22">
        <f t="shared" ref="F69:AC69" si="26">MIN((E69+E66),$M$8)</f>
        <v>320</v>
      </c>
      <c r="G69" s="22">
        <f t="shared" si="26"/>
        <v>480</v>
      </c>
      <c r="H69" s="22">
        <f t="shared" si="26"/>
        <v>640</v>
      </c>
      <c r="I69" s="22">
        <f t="shared" si="26"/>
        <v>640</v>
      </c>
      <c r="J69" s="22">
        <f t="shared" si="26"/>
        <v>640</v>
      </c>
      <c r="K69" s="22">
        <f t="shared" si="26"/>
        <v>640</v>
      </c>
      <c r="L69" s="22">
        <f t="shared" si="26"/>
        <v>640</v>
      </c>
      <c r="M69" s="22">
        <f t="shared" si="26"/>
        <v>640</v>
      </c>
      <c r="N69" s="22">
        <f t="shared" si="26"/>
        <v>640</v>
      </c>
      <c r="O69" s="22">
        <f t="shared" si="26"/>
        <v>640</v>
      </c>
      <c r="P69" s="22">
        <f t="shared" si="26"/>
        <v>640</v>
      </c>
      <c r="Q69" s="22">
        <f t="shared" si="26"/>
        <v>640</v>
      </c>
      <c r="R69" s="22">
        <f t="shared" si="26"/>
        <v>640</v>
      </c>
      <c r="S69" s="22">
        <f t="shared" si="26"/>
        <v>640</v>
      </c>
      <c r="T69" s="22">
        <f t="shared" si="26"/>
        <v>640</v>
      </c>
      <c r="U69" s="22">
        <f t="shared" si="26"/>
        <v>640</v>
      </c>
      <c r="V69" s="22">
        <f t="shared" si="26"/>
        <v>640</v>
      </c>
      <c r="W69" s="22">
        <f t="shared" si="26"/>
        <v>640</v>
      </c>
      <c r="X69" s="22">
        <f t="shared" si="26"/>
        <v>640</v>
      </c>
      <c r="Y69" s="22">
        <f t="shared" si="26"/>
        <v>640</v>
      </c>
      <c r="Z69" s="22">
        <f t="shared" si="26"/>
        <v>640</v>
      </c>
      <c r="AA69" s="22">
        <f t="shared" si="26"/>
        <v>640</v>
      </c>
      <c r="AB69" s="22">
        <f t="shared" si="26"/>
        <v>640</v>
      </c>
      <c r="AC69" s="22">
        <f t="shared" si="26"/>
        <v>640</v>
      </c>
      <c r="AD69" s="22">
        <f>MIN((AC69+AC66),$G$8)</f>
        <v>640</v>
      </c>
      <c r="AE69" s="22">
        <f>MIN((AD69+AD66),$G$8)</f>
        <v>640</v>
      </c>
      <c r="AF69" s="22">
        <f>MIN((AE69+AE66),$G$8)</f>
        <v>640</v>
      </c>
      <c r="AG69" s="22">
        <f>MIN((AF69+AF66),$G$8)</f>
        <v>640</v>
      </c>
      <c r="AH69" s="22">
        <f>MIN((AG69+AG66),$G$8)</f>
        <v>640</v>
      </c>
    </row>
    <row r="70" spans="2:34">
      <c r="B70" s="11" t="s">
        <v>89</v>
      </c>
      <c r="C70" s="25" t="s">
        <v>10</v>
      </c>
      <c r="D70" s="26"/>
      <c r="E70" s="21" t="e">
        <f t="shared" ref="E70:AH70" si="27">E63*$G$20+(1-E63)*$M$20</f>
        <v>#REF!</v>
      </c>
      <c r="F70" s="21" t="e">
        <f t="shared" si="27"/>
        <v>#REF!</v>
      </c>
      <c r="G70" s="21" t="e">
        <f t="shared" si="27"/>
        <v>#REF!</v>
      </c>
      <c r="H70" s="21" t="e">
        <f t="shared" si="27"/>
        <v>#REF!</v>
      </c>
      <c r="I70" s="21" t="e">
        <f t="shared" si="27"/>
        <v>#REF!</v>
      </c>
      <c r="J70" s="21" t="e">
        <f t="shared" si="27"/>
        <v>#REF!</v>
      </c>
      <c r="K70" s="21" t="e">
        <f t="shared" si="27"/>
        <v>#REF!</v>
      </c>
      <c r="L70" s="21" t="e">
        <f t="shared" si="27"/>
        <v>#REF!</v>
      </c>
      <c r="M70" s="21" t="e">
        <f t="shared" si="27"/>
        <v>#REF!</v>
      </c>
      <c r="N70" s="21" t="e">
        <f t="shared" si="27"/>
        <v>#REF!</v>
      </c>
      <c r="O70" s="21" t="e">
        <f t="shared" si="27"/>
        <v>#REF!</v>
      </c>
      <c r="P70" s="21" t="e">
        <f t="shared" si="27"/>
        <v>#REF!</v>
      </c>
      <c r="Q70" s="21" t="e">
        <f t="shared" si="27"/>
        <v>#REF!</v>
      </c>
      <c r="R70" s="21" t="e">
        <f t="shared" si="27"/>
        <v>#REF!</v>
      </c>
      <c r="S70" s="21" t="e">
        <f t="shared" si="27"/>
        <v>#REF!</v>
      </c>
      <c r="T70" s="21" t="e">
        <f t="shared" si="27"/>
        <v>#REF!</v>
      </c>
      <c r="U70" s="21" t="e">
        <f t="shared" si="27"/>
        <v>#REF!</v>
      </c>
      <c r="V70" s="21" t="e">
        <f t="shared" si="27"/>
        <v>#REF!</v>
      </c>
      <c r="W70" s="21" t="e">
        <f t="shared" si="27"/>
        <v>#REF!</v>
      </c>
      <c r="X70" s="21" t="e">
        <f t="shared" si="27"/>
        <v>#REF!</v>
      </c>
      <c r="Y70" s="21" t="e">
        <f t="shared" si="27"/>
        <v>#REF!</v>
      </c>
      <c r="Z70" s="21" t="e">
        <f t="shared" si="27"/>
        <v>#REF!</v>
      </c>
      <c r="AA70" s="21" t="e">
        <f t="shared" si="27"/>
        <v>#REF!</v>
      </c>
      <c r="AB70" s="21" t="e">
        <f t="shared" si="27"/>
        <v>#REF!</v>
      </c>
      <c r="AC70" s="21" t="e">
        <f t="shared" si="27"/>
        <v>#REF!</v>
      </c>
      <c r="AD70" s="21" t="e">
        <f t="shared" si="27"/>
        <v>#REF!</v>
      </c>
      <c r="AE70" s="21" t="e">
        <f t="shared" si="27"/>
        <v>#REF!</v>
      </c>
      <c r="AF70" s="21" t="e">
        <f t="shared" si="27"/>
        <v>#REF!</v>
      </c>
      <c r="AG70" s="21" t="e">
        <f t="shared" si="27"/>
        <v>#REF!</v>
      </c>
      <c r="AH70" s="21" t="e">
        <f t="shared" si="27"/>
        <v>#REF!</v>
      </c>
    </row>
    <row r="71" spans="2:34">
      <c r="B71" s="11" t="s">
        <v>89</v>
      </c>
      <c r="C71" s="25" t="s">
        <v>49</v>
      </c>
      <c r="D71" s="27" t="s">
        <v>0</v>
      </c>
      <c r="E71" s="19" t="e">
        <f>E65*E70</f>
        <v>#REF!</v>
      </c>
      <c r="F71" s="19" t="e">
        <f t="shared" ref="F71:AH71" si="28">F65*F70</f>
        <v>#REF!</v>
      </c>
      <c r="G71" s="19" t="e">
        <f t="shared" si="28"/>
        <v>#REF!</v>
      </c>
      <c r="H71" s="19" t="e">
        <f t="shared" si="28"/>
        <v>#REF!</v>
      </c>
      <c r="I71" s="19" t="e">
        <f t="shared" si="28"/>
        <v>#REF!</v>
      </c>
      <c r="J71" s="19" t="e">
        <f t="shared" si="28"/>
        <v>#REF!</v>
      </c>
      <c r="K71" s="19" t="e">
        <f t="shared" si="28"/>
        <v>#REF!</v>
      </c>
      <c r="L71" s="19" t="e">
        <f t="shared" si="28"/>
        <v>#REF!</v>
      </c>
      <c r="M71" s="19" t="e">
        <f t="shared" si="28"/>
        <v>#REF!</v>
      </c>
      <c r="N71" s="19" t="e">
        <f t="shared" si="28"/>
        <v>#REF!</v>
      </c>
      <c r="O71" s="19" t="e">
        <f t="shared" si="28"/>
        <v>#REF!</v>
      </c>
      <c r="P71" s="19" t="e">
        <f t="shared" si="28"/>
        <v>#REF!</v>
      </c>
      <c r="Q71" s="19" t="e">
        <f t="shared" si="28"/>
        <v>#REF!</v>
      </c>
      <c r="R71" s="19" t="e">
        <f t="shared" si="28"/>
        <v>#REF!</v>
      </c>
      <c r="S71" s="19" t="e">
        <f t="shared" si="28"/>
        <v>#REF!</v>
      </c>
      <c r="T71" s="19" t="e">
        <f t="shared" si="28"/>
        <v>#REF!</v>
      </c>
      <c r="U71" s="19" t="e">
        <f t="shared" si="28"/>
        <v>#REF!</v>
      </c>
      <c r="V71" s="19" t="e">
        <f t="shared" si="28"/>
        <v>#REF!</v>
      </c>
      <c r="W71" s="19" t="e">
        <f t="shared" si="28"/>
        <v>#REF!</v>
      </c>
      <c r="X71" s="19" t="e">
        <f t="shared" si="28"/>
        <v>#REF!</v>
      </c>
      <c r="Y71" s="19" t="e">
        <f t="shared" si="28"/>
        <v>#REF!</v>
      </c>
      <c r="Z71" s="19" t="e">
        <f t="shared" si="28"/>
        <v>#REF!</v>
      </c>
      <c r="AA71" s="19" t="e">
        <f t="shared" si="28"/>
        <v>#REF!</v>
      </c>
      <c r="AB71" s="19" t="e">
        <f t="shared" si="28"/>
        <v>#REF!</v>
      </c>
      <c r="AC71" s="19" t="e">
        <f t="shared" si="28"/>
        <v>#REF!</v>
      </c>
      <c r="AD71" s="19" t="e">
        <f t="shared" si="28"/>
        <v>#REF!</v>
      </c>
      <c r="AE71" s="19" t="e">
        <f t="shared" si="28"/>
        <v>#REF!</v>
      </c>
      <c r="AF71" s="19" t="e">
        <f t="shared" si="28"/>
        <v>#REF!</v>
      </c>
      <c r="AG71" s="19" t="e">
        <f t="shared" si="28"/>
        <v>#REF!</v>
      </c>
      <c r="AH71" s="19" t="e">
        <f t="shared" si="28"/>
        <v>#REF!</v>
      </c>
    </row>
    <row r="72" spans="2:34">
      <c r="B72" s="75" t="s">
        <v>89</v>
      </c>
      <c r="C72" s="7" t="s">
        <v>79</v>
      </c>
      <c r="D72" s="7" t="s">
        <v>76</v>
      </c>
      <c r="E72" s="37">
        <f>M31</f>
        <v>0.2</v>
      </c>
      <c r="F72" s="37">
        <f t="shared" ref="F72:AH72" si="29">E72*(1+$M$32)</f>
        <v>0.20600000000000002</v>
      </c>
      <c r="G72" s="37">
        <f t="shared" si="29"/>
        <v>0.21218000000000004</v>
      </c>
      <c r="H72" s="37">
        <f t="shared" si="29"/>
        <v>0.21854540000000003</v>
      </c>
      <c r="I72" s="37">
        <f t="shared" si="29"/>
        <v>0.22510176200000004</v>
      </c>
      <c r="J72" s="37">
        <f t="shared" si="29"/>
        <v>0.23185481486000004</v>
      </c>
      <c r="K72" s="37">
        <f t="shared" si="29"/>
        <v>0.23881045930580005</v>
      </c>
      <c r="L72" s="37">
        <f t="shared" si="29"/>
        <v>0.24597477308497406</v>
      </c>
      <c r="M72" s="37">
        <f t="shared" si="29"/>
        <v>0.2533540162775233</v>
      </c>
      <c r="N72" s="37">
        <f t="shared" si="29"/>
        <v>0.26095463676584901</v>
      </c>
      <c r="O72" s="37">
        <f t="shared" si="29"/>
        <v>0.2687832758688245</v>
      </c>
      <c r="P72" s="37">
        <f t="shared" si="29"/>
        <v>0.27684677414488923</v>
      </c>
      <c r="Q72" s="37">
        <f t="shared" si="29"/>
        <v>0.28515217736923593</v>
      </c>
      <c r="R72" s="37">
        <f t="shared" si="29"/>
        <v>0.29370674269031299</v>
      </c>
      <c r="S72" s="37">
        <f t="shared" si="29"/>
        <v>0.30251794497102241</v>
      </c>
      <c r="T72" s="37">
        <f t="shared" si="29"/>
        <v>0.31159348332015308</v>
      </c>
      <c r="U72" s="37">
        <f t="shared" si="29"/>
        <v>0.32094128781975767</v>
      </c>
      <c r="V72" s="37">
        <f t="shared" si="29"/>
        <v>0.33056952645435039</v>
      </c>
      <c r="W72" s="37">
        <f t="shared" si="29"/>
        <v>0.34048661224798094</v>
      </c>
      <c r="X72" s="37">
        <f t="shared" si="29"/>
        <v>0.35070121061542037</v>
      </c>
      <c r="Y72" s="37">
        <f t="shared" si="29"/>
        <v>0.361222246933883</v>
      </c>
      <c r="Z72" s="37">
        <f t="shared" si="29"/>
        <v>0.37205891434189947</v>
      </c>
      <c r="AA72" s="37">
        <f t="shared" si="29"/>
        <v>0.38322068177215646</v>
      </c>
      <c r="AB72" s="37">
        <f t="shared" si="29"/>
        <v>0.39471730222532114</v>
      </c>
      <c r="AC72" s="37">
        <f t="shared" si="29"/>
        <v>0.40655882129208076</v>
      </c>
      <c r="AD72" s="37">
        <f t="shared" si="29"/>
        <v>0.41875558593084322</v>
      </c>
      <c r="AE72" s="37">
        <f t="shared" si="29"/>
        <v>0.43131825350876851</v>
      </c>
      <c r="AF72" s="37">
        <f t="shared" si="29"/>
        <v>0.44425780111403157</v>
      </c>
      <c r="AG72" s="37">
        <f t="shared" si="29"/>
        <v>0.45758553514745254</v>
      </c>
      <c r="AH72" s="37">
        <f t="shared" si="29"/>
        <v>0.47131310120187614</v>
      </c>
    </row>
    <row r="73" spans="2:34">
      <c r="B73" s="75" t="s">
        <v>89</v>
      </c>
      <c r="C73" s="9" t="s">
        <v>78</v>
      </c>
      <c r="D73" s="9" t="s">
        <v>80</v>
      </c>
      <c r="E73" s="38" t="e">
        <f>E72*1000*E71*8760/1000000</f>
        <v>#REF!</v>
      </c>
      <c r="F73" s="38" t="e">
        <f>F72*1000*F71*8760/1000000</f>
        <v>#REF!</v>
      </c>
      <c r="G73" s="38" t="e">
        <f t="shared" ref="G73:O73" si="30">G72*1000*G71*8760/1000000</f>
        <v>#REF!</v>
      </c>
      <c r="H73" s="38" t="e">
        <f t="shared" si="30"/>
        <v>#REF!</v>
      </c>
      <c r="I73" s="38" t="e">
        <f t="shared" si="30"/>
        <v>#REF!</v>
      </c>
      <c r="J73" s="38" t="e">
        <f t="shared" si="30"/>
        <v>#REF!</v>
      </c>
      <c r="K73" s="38" t="e">
        <f t="shared" si="30"/>
        <v>#REF!</v>
      </c>
      <c r="L73" s="38" t="e">
        <f t="shared" si="30"/>
        <v>#REF!</v>
      </c>
      <c r="M73" s="38" t="e">
        <f t="shared" si="30"/>
        <v>#REF!</v>
      </c>
      <c r="N73" s="38" t="e">
        <f t="shared" si="30"/>
        <v>#REF!</v>
      </c>
      <c r="O73" s="38" t="e">
        <f t="shared" si="30"/>
        <v>#REF!</v>
      </c>
      <c r="P73" s="38" t="e">
        <f>P72*1000*P71*8760/1000000</f>
        <v>#REF!</v>
      </c>
      <c r="Q73" s="38" t="e">
        <f>Q72*1000*Q71*8760/1000000</f>
        <v>#REF!</v>
      </c>
      <c r="R73" s="38" t="e">
        <f t="shared" ref="R73:V73" si="31">R72*1000*R71*8760/1000000</f>
        <v>#REF!</v>
      </c>
      <c r="S73" s="38" t="e">
        <f t="shared" si="31"/>
        <v>#REF!</v>
      </c>
      <c r="T73" s="38" t="e">
        <f t="shared" si="31"/>
        <v>#REF!</v>
      </c>
      <c r="U73" s="38" t="e">
        <f t="shared" si="31"/>
        <v>#REF!</v>
      </c>
      <c r="V73" s="38" t="e">
        <f t="shared" si="31"/>
        <v>#REF!</v>
      </c>
      <c r="W73" s="38" t="e">
        <f>W72*1000*W71*8760/1000000</f>
        <v>#REF!</v>
      </c>
      <c r="X73" s="38" t="e">
        <f>X72*1000*X71*8760/1000000</f>
        <v>#REF!</v>
      </c>
      <c r="Y73" s="38" t="e">
        <f t="shared" ref="Y73:AG73" si="32">Y72*1000*Y71*8760/1000000</f>
        <v>#REF!</v>
      </c>
      <c r="Z73" s="38" t="e">
        <f t="shared" si="32"/>
        <v>#REF!</v>
      </c>
      <c r="AA73" s="38" t="e">
        <f t="shared" si="32"/>
        <v>#REF!</v>
      </c>
      <c r="AB73" s="38" t="e">
        <f t="shared" si="32"/>
        <v>#REF!</v>
      </c>
      <c r="AC73" s="38" t="e">
        <f t="shared" si="32"/>
        <v>#REF!</v>
      </c>
      <c r="AD73" s="38" t="e">
        <f t="shared" si="32"/>
        <v>#REF!</v>
      </c>
      <c r="AE73" s="38" t="e">
        <f t="shared" si="32"/>
        <v>#REF!</v>
      </c>
      <c r="AF73" s="38" t="e">
        <f t="shared" si="32"/>
        <v>#REF!</v>
      </c>
      <c r="AG73" s="38" t="e">
        <f t="shared" si="32"/>
        <v>#REF!</v>
      </c>
      <c r="AH73" s="38" t="e">
        <f>AH72*1000*AH71*8760/1000000</f>
        <v>#REF!</v>
      </c>
    </row>
    <row r="74" spans="2:34">
      <c r="B74" s="75" t="s">
        <v>89</v>
      </c>
      <c r="C74" s="9" t="s">
        <v>87</v>
      </c>
      <c r="D74" s="9" t="s">
        <v>85</v>
      </c>
      <c r="E74" s="39">
        <f>M33</f>
        <v>500</v>
      </c>
      <c r="F74" s="40">
        <f t="shared" ref="F74:AH74" si="33">E74*(1+$M$34)</f>
        <v>510</v>
      </c>
      <c r="G74" s="40">
        <f t="shared" si="33"/>
        <v>520.20000000000005</v>
      </c>
      <c r="H74" s="40">
        <f t="shared" si="33"/>
        <v>530.60400000000004</v>
      </c>
      <c r="I74" s="40">
        <f t="shared" si="33"/>
        <v>541.21608000000003</v>
      </c>
      <c r="J74" s="40">
        <f t="shared" si="33"/>
        <v>552.0404016</v>
      </c>
      <c r="K74" s="40">
        <f t="shared" si="33"/>
        <v>563.08120963199997</v>
      </c>
      <c r="L74" s="40">
        <f t="shared" si="33"/>
        <v>574.34283382464002</v>
      </c>
      <c r="M74" s="40">
        <f t="shared" si="33"/>
        <v>585.82969050113286</v>
      </c>
      <c r="N74" s="40">
        <f t="shared" si="33"/>
        <v>597.54628431115555</v>
      </c>
      <c r="O74" s="40">
        <f t="shared" si="33"/>
        <v>609.49720999737872</v>
      </c>
      <c r="P74" s="40">
        <f t="shared" si="33"/>
        <v>621.68715419732632</v>
      </c>
      <c r="Q74" s="40">
        <f t="shared" si="33"/>
        <v>634.12089728127285</v>
      </c>
      <c r="R74" s="40">
        <f t="shared" si="33"/>
        <v>646.80331522689835</v>
      </c>
      <c r="S74" s="40">
        <f t="shared" si="33"/>
        <v>659.73938153143638</v>
      </c>
      <c r="T74" s="40">
        <f t="shared" si="33"/>
        <v>672.93416916206513</v>
      </c>
      <c r="U74" s="40">
        <f t="shared" si="33"/>
        <v>686.39285254530648</v>
      </c>
      <c r="V74" s="40">
        <f t="shared" si="33"/>
        <v>700.12070959621258</v>
      </c>
      <c r="W74" s="40">
        <f t="shared" si="33"/>
        <v>714.12312378813681</v>
      </c>
      <c r="X74" s="40">
        <f t="shared" si="33"/>
        <v>728.40558626389952</v>
      </c>
      <c r="Y74" s="40">
        <f t="shared" si="33"/>
        <v>742.97369798917748</v>
      </c>
      <c r="Z74" s="40">
        <f t="shared" si="33"/>
        <v>757.83317194896108</v>
      </c>
      <c r="AA74" s="40">
        <f t="shared" si="33"/>
        <v>772.98983538794027</v>
      </c>
      <c r="AB74" s="40">
        <f t="shared" si="33"/>
        <v>788.44963209569914</v>
      </c>
      <c r="AC74" s="40">
        <f t="shared" si="33"/>
        <v>804.21862473761314</v>
      </c>
      <c r="AD74" s="40">
        <f t="shared" si="33"/>
        <v>820.30299723236544</v>
      </c>
      <c r="AE74" s="40">
        <f t="shared" si="33"/>
        <v>836.70905717701271</v>
      </c>
      <c r="AF74" s="40">
        <f t="shared" si="33"/>
        <v>853.44323832055295</v>
      </c>
      <c r="AG74" s="40">
        <f t="shared" si="33"/>
        <v>870.51210308696398</v>
      </c>
      <c r="AH74" s="40">
        <f t="shared" si="33"/>
        <v>887.92234514870324</v>
      </c>
    </row>
    <row r="75" spans="2:34">
      <c r="B75" s="75" t="s">
        <v>89</v>
      </c>
      <c r="C75" s="9" t="s">
        <v>86</v>
      </c>
      <c r="D75" s="9" t="s">
        <v>74</v>
      </c>
      <c r="E75" s="40">
        <f>E74*12*E65*1000/1000000</f>
        <v>23.687999999999999</v>
      </c>
      <c r="F75" s="40">
        <f t="shared" ref="F75:AH75" si="34">F74*12*F65*1000/1000000</f>
        <v>58.384799999999991</v>
      </c>
      <c r="G75" s="40">
        <f t="shared" si="34"/>
        <v>105.73377120000001</v>
      </c>
      <c r="H75" s="40">
        <f t="shared" si="34"/>
        <v>122.2511616</v>
      </c>
      <c r="I75" s="40">
        <f t="shared" si="34"/>
        <v>124.696184832</v>
      </c>
      <c r="J75" s="40">
        <f t="shared" si="34"/>
        <v>127.19010852863998</v>
      </c>
      <c r="K75" s="40">
        <f t="shared" si="34"/>
        <v>129.73391069921277</v>
      </c>
      <c r="L75" s="40">
        <f t="shared" si="34"/>
        <v>132.32858891319708</v>
      </c>
      <c r="M75" s="40">
        <f t="shared" si="34"/>
        <v>134.97516069146099</v>
      </c>
      <c r="N75" s="40">
        <f t="shared" si="34"/>
        <v>137.67466390529026</v>
      </c>
      <c r="O75" s="40">
        <f t="shared" si="34"/>
        <v>140.42815718339605</v>
      </c>
      <c r="P75" s="40">
        <f t="shared" si="34"/>
        <v>143.23672032706395</v>
      </c>
      <c r="Q75" s="40">
        <f t="shared" si="34"/>
        <v>146.10145473360527</v>
      </c>
      <c r="R75" s="40">
        <f t="shared" si="34"/>
        <v>149.02348382827739</v>
      </c>
      <c r="S75" s="40">
        <f t="shared" si="34"/>
        <v>152.00395350484294</v>
      </c>
      <c r="T75" s="40">
        <f t="shared" si="34"/>
        <v>155.04403257493982</v>
      </c>
      <c r="U75" s="40">
        <f t="shared" si="34"/>
        <v>158.1449132264386</v>
      </c>
      <c r="V75" s="40">
        <f t="shared" si="34"/>
        <v>161.30781149096737</v>
      </c>
      <c r="W75" s="40">
        <f t="shared" si="34"/>
        <v>164.53396772078673</v>
      </c>
      <c r="X75" s="40">
        <f t="shared" si="34"/>
        <v>167.82464707520245</v>
      </c>
      <c r="Y75" s="40">
        <f t="shared" si="34"/>
        <v>171.18114001670648</v>
      </c>
      <c r="Z75" s="40">
        <f t="shared" si="34"/>
        <v>174.60476281704067</v>
      </c>
      <c r="AA75" s="40">
        <f t="shared" si="34"/>
        <v>178.09685807338144</v>
      </c>
      <c r="AB75" s="40">
        <f t="shared" si="34"/>
        <v>181.65879523484907</v>
      </c>
      <c r="AC75" s="40">
        <f t="shared" si="34"/>
        <v>185.29197113954606</v>
      </c>
      <c r="AD75" s="40">
        <f t="shared" si="34"/>
        <v>188.99781056233695</v>
      </c>
      <c r="AE75" s="40">
        <f t="shared" si="34"/>
        <v>192.77776677358372</v>
      </c>
      <c r="AF75" s="40">
        <f t="shared" si="34"/>
        <v>196.6333221090554</v>
      </c>
      <c r="AG75" s="40">
        <f t="shared" si="34"/>
        <v>200.56598855123647</v>
      </c>
      <c r="AH75" s="40">
        <f t="shared" si="34"/>
        <v>204.57730832226125</v>
      </c>
    </row>
  </sheetData>
  <mergeCells count="2">
    <mergeCell ref="I4:J4"/>
    <mergeCell ref="P4:Q4"/>
  </mergeCells>
  <dataValidations count="2">
    <dataValidation type="list" allowBlank="1" showInputMessage="1" showErrorMessage="1" sqref="G17" xr:uid="{0E016AF6-8658-4D32-BC7E-9607555C759F}">
      <formula1>Metro</formula1>
    </dataValidation>
    <dataValidation type="list" allowBlank="1" showInputMessage="1" showErrorMessage="1" sqref="G18" xr:uid="{F2E83C54-332D-44A7-B39F-7CB6496EC2A4}">
      <formula1>$AF$9:$AF$10</formula1>
    </dataValidation>
  </dataValidations>
  <pageMargins left="0.7" right="0.7" top="0.75" bottom="0.75" header="0.3" footer="0.3"/>
  <pageSetup orientation="portrait" horizontalDpi="0" verticalDpi="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B I D A A B Q S w M E F A A C A A g A L E k 2 V d h e i d O i A A A A 9 g A A A B I A H A B D b 2 5 m a W c v U G F j a 2 F n Z S 5 4 b W w g o h g A K K A U A A A A A A A A A A A A A A A A A A A A A A A A A A A A h Y + x D o I w F E V / h X S n L X U x 5 F E H V 0 l M i M a 1 K R U a 4 W F o s f y b g 5 / k L 4 h R 1 M 3 x n n u G e + / X G 6 z G t o k u p n e 2 w 4 w k l J P I o O 5 K i 1 V G B n + M l 2 Q l Y a v 0 S V U m m m R 0 6 e j K j N T e n 1 P G Q g g 0 L G j X V 0 x w n r B D v i l 0 b V p F P r L 9 L 8 c W n V e o D Z G w f 4 2 R g i Z c U M G n T c B m C L n F r y C m 7 t n + Q F g P j R 9 6 I w 3 G u w L Y H I G 9 P 8 g H U E s D B B Q A A g A I A C x J N l 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s S T Z V K I p H u A 4 A A A A R A A A A E w A c A E Z v c m 1 1 b G F z L 1 N l Y 3 R p b 2 4 x L m 0 g o h g A K K A U A A A A A A A A A A A A A A A A A A A A A A A A A A A A K 0 5 N L s n M z 1 M I h t C G 1 g B Q S w E C L Q A U A A I A C A A s S T Z V 2 F 6 J 0 6 I A A A D 2 A A A A E g A A A A A A A A A A A A A A A A A A A A A A Q 2 9 u Z m l n L 1 B h Y 2 t h Z 2 U u e G 1 s U E s B A i 0 A F A A C A A g A L E k 2 V Q / K 6 a u k A A A A 6 Q A A A B M A A A A A A A A A A A A A A A A A 7 g A A A F t D b 2 5 0 Z W 5 0 X 1 R 5 c G V z X S 5 4 b W x Q S w E C L Q A U A A I A C A A s S T Z V 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t F m C u / L b L 0 q D q i z 2 F c K 1 Y g A A A A A C A A A A A A A D Z g A A w A A A A B A A A A C j y S h T 2 o N y O X r h 5 o u m o I h f A A A A A A S A A A C g A A A A E A A A A O Q a r f S 0 3 I W z O q / K / k i f G S F Q A A A A D L T m m w + + y r K D O a x z A T q v W 9 x T B n c i 5 d U Z a 0 r Z + c f D V p 5 w M 0 h n x K m P u a 2 k 1 H s I r Q R r + v K + 2 i r G J U I b T d N f N C 6 i c j G q 4 1 E i j r 7 c P / 0 7 o r + p t + s U A A A A 8 m 1 k a F n N Q E k U w l Q X q V 8 S y Z + Z D z 4 = < / D a t a M a s h u p > 
</file>

<file path=customXml/item3.xml><?xml version="1.0" encoding="utf-8"?>
<ct:contentTypeSchema xmlns:ct="http://schemas.microsoft.com/office/2006/metadata/contentType" xmlns:ma="http://schemas.microsoft.com/office/2006/metadata/properties/metaAttributes" ct:_="" ma:_="" ma:contentTypeName="Document" ma:contentTypeID="0x010100156892ED2B2CEC4C9FE59DEF14A1A181" ma:contentTypeVersion="12" ma:contentTypeDescription="Create a new document." ma:contentTypeScope="" ma:versionID="8112d98a4e8e161a441b95f4297051cd">
  <xsd:schema xmlns:xsd="http://www.w3.org/2001/XMLSchema" xmlns:xs="http://www.w3.org/2001/XMLSchema" xmlns:p="http://schemas.microsoft.com/office/2006/metadata/properties" xmlns:ns2="9bfecef4-8ec5-4001-82c8-2cd4dc4eee52" xmlns:ns3="c81f122f-5f89-4470-b44b-c27128dd6f3b" targetNamespace="http://schemas.microsoft.com/office/2006/metadata/properties" ma:root="true" ma:fieldsID="a53e770b50ec3df743feb19e80cf74bf" ns2:_="" ns3:_="">
    <xsd:import namespace="9bfecef4-8ec5-4001-82c8-2cd4dc4eee52"/>
    <xsd:import namespace="c81f122f-5f89-4470-b44b-c27128dd6f3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fecef4-8ec5-4001-82c8-2cd4dc4eee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81f122f-5f89-4470-b44b-c27128dd6f3b"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B37CB3D-331B-4500-ACA9-5A30ECE8FBD0}">
  <ds:schemaRefs>
    <ds:schemaRef ds:uri="http://schemas.microsoft.com/sharepoint/v3/contenttype/forms"/>
  </ds:schemaRefs>
</ds:datastoreItem>
</file>

<file path=customXml/itemProps2.xml><?xml version="1.0" encoding="utf-8"?>
<ds:datastoreItem xmlns:ds="http://schemas.openxmlformats.org/officeDocument/2006/customXml" ds:itemID="{0DB77190-7200-470D-BFF8-78631471C74A}">
  <ds:schemaRefs>
    <ds:schemaRef ds:uri="http://schemas.microsoft.com/DataMashup"/>
  </ds:schemaRefs>
</ds:datastoreItem>
</file>

<file path=customXml/itemProps3.xml><?xml version="1.0" encoding="utf-8"?>
<ds:datastoreItem xmlns:ds="http://schemas.openxmlformats.org/officeDocument/2006/customXml" ds:itemID="{B6894045-BD93-4DBA-AB7B-DC2A935C88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fecef4-8ec5-4001-82c8-2cd4dc4eee52"/>
    <ds:schemaRef ds:uri="c81f122f-5f89-4470-b44b-c27128dd6f3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2FD012A4-9869-4F8B-9128-7B4874D9E05C}">
  <ds:schemaRefs>
    <ds:schemaRef ds:uri="http://schemas.microsoft.com/office/2006/metadata/properties"/>
    <ds:schemaRef ds:uri="http://purl.org/dc/dcmitype/"/>
    <ds:schemaRef ds:uri="http://www.w3.org/XML/1998/namespace"/>
    <ds:schemaRef ds:uri="http://schemas.microsoft.com/office/infopath/2007/PartnerControls"/>
    <ds:schemaRef ds:uri="http://schemas.openxmlformats.org/package/2006/metadata/core-properties"/>
    <ds:schemaRef ds:uri="c81f122f-5f89-4470-b44b-c27128dd6f3b"/>
    <ds:schemaRef ds:uri="http://schemas.microsoft.com/office/2006/documentManagement/types"/>
    <ds:schemaRef ds:uri="9bfecef4-8ec5-4001-82c8-2cd4dc4eee52"/>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MK2</vt:lpstr>
      <vt:lpstr>MK2 Modified</vt:lpstr>
      <vt:lpstr>2022 set 1 (copy)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Suresh Pichai</dc:creator>
  <cp:keywords/>
  <dc:description/>
  <cp:lastModifiedBy>Doug Asay</cp:lastModifiedBy>
  <cp:revision/>
  <dcterms:created xsi:type="dcterms:W3CDTF">2021-11-03T02:18:35Z</dcterms:created>
  <dcterms:modified xsi:type="dcterms:W3CDTF">2022-10-07T00:41:03Z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0x010100156892ED2B2CEC4C9FE59DEF14A1A181</vt:lpwstr>
  </property>
</Properties>
</file>