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ThisWorkbook" defaultThemeVersion="124226"/>
  <mc:AlternateContent xmlns:mc="http://schemas.openxmlformats.org/markup-compatibility/2006">
    <mc:Choice Requires="x15">
      <x15ac:absPath xmlns:x15ac="http://schemas.microsoft.com/office/spreadsheetml/2010/11/ac" url="C:\Users\Ryan\Documents\629\comp\code\"/>
    </mc:Choice>
  </mc:AlternateContent>
  <xr:revisionPtr revIDLastSave="0" documentId="8_{F3AA08AC-5F11-44CE-9EB2-FF555ED525BA}" xr6:coauthVersionLast="45" xr6:coauthVersionMax="45" xr10:uidLastSave="{00000000-0000-0000-0000-000000000000}"/>
  <bookViews>
    <workbookView xWindow="-120" yWindow="-120" windowWidth="29040" windowHeight="15840" activeTab="4" xr2:uid="{00000000-000D-0000-FFFF-FFFF00000000}"/>
  </bookViews>
  <sheets>
    <sheet name="Instructions" sheetId="4" r:id="rId1"/>
    <sheet name="Acronyms" sheetId="9" r:id="rId2"/>
    <sheet name="Input" sheetId="7" r:id="rId3"/>
    <sheet name="Calculations" sheetId="6" state="veryHidden" r:id="rId4"/>
    <sheet name="Results " sheetId="5" r:id="rId5"/>
    <sheet name="Fixed Parameters" sheetId="2" state="veryHidden" r:id="rId6"/>
    <sheet name="Charts" sheetId="11" r:id="rId7"/>
  </sheets>
  <definedNames>
    <definedName name="_ftn1" localSheetId="0">Instructions!$A$65</definedName>
    <definedName name="_ftn2" localSheetId="0">Instructions!$A$66</definedName>
    <definedName name="_ftnref1" localSheetId="0">Instructions!#REF!</definedName>
    <definedName name="_ftnref2" localSheetId="0">Instructions!$A$46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18" i="7" l="1"/>
  <c r="J123" i="7"/>
  <c r="J124" i="7"/>
  <c r="J125" i="7"/>
  <c r="J127" i="7"/>
  <c r="J128" i="7"/>
  <c r="J129" i="7"/>
  <c r="I123" i="7"/>
  <c r="I124" i="7"/>
  <c r="I125" i="7"/>
  <c r="I127" i="7"/>
  <c r="I128" i="7"/>
  <c r="I129" i="7"/>
  <c r="B75" i="6"/>
  <c r="B14" i="6"/>
  <c r="G14" i="6" s="1"/>
  <c r="H26" i="6" s="1"/>
  <c r="B10" i="6"/>
  <c r="AH107" i="7"/>
  <c r="J107" i="7" s="1"/>
  <c r="AH108" i="7"/>
  <c r="J108" i="7" s="1"/>
  <c r="AH109" i="7"/>
  <c r="J109" i="7" s="1"/>
  <c r="D33" i="6"/>
  <c r="D35" i="6" s="1"/>
  <c r="E33" i="6"/>
  <c r="E35" i="6" s="1"/>
  <c r="D40" i="6"/>
  <c r="D42" i="6" s="1"/>
  <c r="E40" i="6"/>
  <c r="E42" i="6" s="1"/>
  <c r="Z120" i="7"/>
  <c r="AH120" i="7" s="1"/>
  <c r="AA120" i="7"/>
  <c r="AH121" i="7"/>
  <c r="Y121" i="7"/>
  <c r="J121" i="7"/>
  <c r="D47" i="6"/>
  <c r="D49" i="6" s="1"/>
  <c r="E47" i="6"/>
  <c r="E48" i="6" s="1"/>
  <c r="AE123" i="7"/>
  <c r="AE124" i="7"/>
  <c r="AE125" i="7"/>
  <c r="AE127" i="7"/>
  <c r="AE128" i="7"/>
  <c r="AE129" i="7"/>
  <c r="AH123" i="7"/>
  <c r="Y123" i="7"/>
  <c r="J131" i="7"/>
  <c r="AH132" i="7"/>
  <c r="J132" i="7"/>
  <c r="J133" i="7"/>
  <c r="AH134" i="7"/>
  <c r="J134" i="7"/>
  <c r="AG107" i="7"/>
  <c r="I107" i="7" s="1"/>
  <c r="AG108" i="7"/>
  <c r="I108" i="7" s="1"/>
  <c r="AG109" i="7"/>
  <c r="I109" i="7" s="1"/>
  <c r="V120" i="7"/>
  <c r="AG120" i="7" s="1"/>
  <c r="W120" i="7"/>
  <c r="AG121" i="7"/>
  <c r="S121" i="7"/>
  <c r="I121" i="7"/>
  <c r="AG123" i="7"/>
  <c r="S123" i="7"/>
  <c r="I131" i="7"/>
  <c r="AG132" i="7"/>
  <c r="I132" i="7"/>
  <c r="I133" i="7"/>
  <c r="AG134" i="7"/>
  <c r="I134" i="7"/>
  <c r="H131" i="7"/>
  <c r="AF132" i="7"/>
  <c r="H132" i="7"/>
  <c r="H133" i="7"/>
  <c r="AF134" i="7"/>
  <c r="H134" i="7"/>
  <c r="AF123" i="7"/>
  <c r="M123" i="7"/>
  <c r="H123" i="7"/>
  <c r="H124" i="7"/>
  <c r="H125" i="7"/>
  <c r="H127" i="7"/>
  <c r="H128" i="7"/>
  <c r="H129" i="7"/>
  <c r="P120" i="7"/>
  <c r="AF120" i="7" s="1"/>
  <c r="Q120" i="7"/>
  <c r="AF121" i="7"/>
  <c r="M121" i="7"/>
  <c r="H121" i="7"/>
  <c r="AF107" i="7"/>
  <c r="H107" i="7" s="1"/>
  <c r="AF108" i="7"/>
  <c r="H108" i="7" s="1"/>
  <c r="AF109" i="7"/>
  <c r="H109" i="7" s="1"/>
  <c r="AF111" i="7"/>
  <c r="H111" i="7" s="1"/>
  <c r="H112" i="7"/>
  <c r="H113" i="7"/>
  <c r="H114" i="7"/>
  <c r="H115" i="7"/>
  <c r="H116" i="7"/>
  <c r="H117" i="7"/>
  <c r="H118" i="7"/>
  <c r="I112" i="7"/>
  <c r="J112" i="7"/>
  <c r="I113" i="7"/>
  <c r="J113" i="7"/>
  <c r="I114" i="7"/>
  <c r="J114" i="7"/>
  <c r="I115" i="7"/>
  <c r="J115" i="7"/>
  <c r="I116" i="7"/>
  <c r="J116" i="7"/>
  <c r="I117" i="7"/>
  <c r="J117" i="7"/>
  <c r="I118" i="7"/>
  <c r="J118" i="7"/>
  <c r="AH111" i="7"/>
  <c r="J111" i="7" s="1"/>
  <c r="AG111" i="7"/>
  <c r="I111" i="7" s="1"/>
  <c r="C24" i="7"/>
  <c r="B91" i="7"/>
  <c r="AF131" i="7"/>
  <c r="AF133" i="7"/>
  <c r="I70" i="7"/>
  <c r="H70" i="7" s="1"/>
  <c r="AG131" i="7"/>
  <c r="AG133" i="7"/>
  <c r="I77" i="7"/>
  <c r="H77" i="7" s="1"/>
  <c r="AH131" i="7"/>
  <c r="AH133" i="7"/>
  <c r="I84" i="7"/>
  <c r="H84" i="7" s="1"/>
  <c r="AF124" i="7"/>
  <c r="M124" i="7"/>
  <c r="AF125" i="7"/>
  <c r="AF127" i="7"/>
  <c r="AF128" i="7"/>
  <c r="AF129" i="7"/>
  <c r="M129" i="7"/>
  <c r="AG124" i="7"/>
  <c r="S124" i="7"/>
  <c r="AG125" i="7"/>
  <c r="AG127" i="7"/>
  <c r="AG128" i="7"/>
  <c r="AG129" i="7"/>
  <c r="AH124" i="7"/>
  <c r="Y124" i="7"/>
  <c r="AH125" i="7"/>
  <c r="AH127" i="7"/>
  <c r="AH128" i="7"/>
  <c r="AH129" i="7"/>
  <c r="I83" i="7"/>
  <c r="H83" i="7" s="1"/>
  <c r="I82" i="7"/>
  <c r="H82" i="7" s="1"/>
  <c r="I81" i="7"/>
  <c r="H81" i="7" s="1"/>
  <c r="I80" i="7"/>
  <c r="I76" i="7"/>
  <c r="H76" i="7" s="1"/>
  <c r="I75" i="7"/>
  <c r="H75" i="7" s="1"/>
  <c r="I74" i="7"/>
  <c r="H74" i="7" s="1"/>
  <c r="I73" i="7"/>
  <c r="I68" i="7"/>
  <c r="H68" i="7" s="1"/>
  <c r="I69" i="7"/>
  <c r="H69" i="7" s="1"/>
  <c r="I67" i="7"/>
  <c r="H67" i="7" s="1"/>
  <c r="I66" i="7"/>
  <c r="AH112" i="7"/>
  <c r="AH113" i="7"/>
  <c r="AH114" i="7"/>
  <c r="AH115" i="7"/>
  <c r="AH116" i="7"/>
  <c r="AH117" i="7"/>
  <c r="AH118" i="7"/>
  <c r="AG112" i="7"/>
  <c r="AG113" i="7"/>
  <c r="AG114" i="7"/>
  <c r="AG115" i="7"/>
  <c r="AG116" i="7"/>
  <c r="AG117" i="7"/>
  <c r="AG118" i="7"/>
  <c r="AF112" i="7"/>
  <c r="AF113" i="7"/>
  <c r="AF114" i="7"/>
  <c r="AF115" i="7"/>
  <c r="AF116" i="7"/>
  <c r="AF117" i="7"/>
  <c r="M117" i="7"/>
  <c r="AF118" i="7"/>
  <c r="D113" i="6"/>
  <c r="D112" i="6"/>
  <c r="B111" i="6"/>
  <c r="C111" i="6" s="1"/>
  <c r="D111" i="6"/>
  <c r="B110" i="6"/>
  <c r="C110" i="6" s="1"/>
  <c r="D110" i="6"/>
  <c r="D109" i="6"/>
  <c r="D101" i="6"/>
  <c r="D100" i="6"/>
  <c r="B99" i="6"/>
  <c r="C99" i="6" s="1"/>
  <c r="D99" i="6"/>
  <c r="B98" i="6"/>
  <c r="C98" i="6" s="1"/>
  <c r="D98" i="6"/>
  <c r="D97" i="6"/>
  <c r="D96" i="6"/>
  <c r="B82" i="6"/>
  <c r="C82" i="6" s="1"/>
  <c r="D95" i="6"/>
  <c r="B94" i="6"/>
  <c r="C94" i="6" s="1"/>
  <c r="D94" i="6"/>
  <c r="D86" i="6"/>
  <c r="D85" i="6"/>
  <c r="B85" i="6" s="1"/>
  <c r="C85" i="6" s="1"/>
  <c r="B84" i="6"/>
  <c r="C84" i="6" s="1"/>
  <c r="D84" i="6"/>
  <c r="D83" i="6"/>
  <c r="D82" i="6"/>
  <c r="D81" i="6"/>
  <c r="AE111" i="7"/>
  <c r="AE112" i="7"/>
  <c r="AE113" i="7"/>
  <c r="AE114" i="7"/>
  <c r="AE115" i="7"/>
  <c r="AE116" i="7"/>
  <c r="AE117" i="7"/>
  <c r="AE118" i="7"/>
  <c r="M120" i="7"/>
  <c r="S120" i="7"/>
  <c r="Y120" i="7"/>
  <c r="AE120" i="7"/>
  <c r="P121" i="7"/>
  <c r="Q121" i="7"/>
  <c r="AB121" i="7"/>
  <c r="AC121" i="7"/>
  <c r="AE121" i="7"/>
  <c r="N123" i="7"/>
  <c r="O123" i="7"/>
  <c r="T123" i="7"/>
  <c r="U123" i="7"/>
  <c r="Z123" i="7"/>
  <c r="AA123" i="7"/>
  <c r="N124" i="7"/>
  <c r="O124" i="7"/>
  <c r="T124" i="7"/>
  <c r="U124" i="7"/>
  <c r="V124" i="7"/>
  <c r="W124" i="7"/>
  <c r="Z124" i="7"/>
  <c r="AA124" i="7"/>
  <c r="AB124" i="7"/>
  <c r="AC124" i="7"/>
  <c r="N125" i="7"/>
  <c r="O125" i="7"/>
  <c r="AE131" i="7"/>
  <c r="AE132" i="7"/>
  <c r="AE133" i="7"/>
  <c r="AE134" i="7"/>
  <c r="B15" i="6" l="1"/>
  <c r="E15" i="6" s="1"/>
  <c r="E111" i="6"/>
  <c r="E84" i="6"/>
  <c r="J120" i="7"/>
  <c r="B42" i="6" s="1"/>
  <c r="E34" i="6"/>
  <c r="H120" i="7"/>
  <c r="B141" i="7" s="1"/>
  <c r="E19" i="6"/>
  <c r="B56" i="6"/>
  <c r="L56" i="6" s="1"/>
  <c r="D34" i="6"/>
  <c r="B48" i="6"/>
  <c r="I120" i="7"/>
  <c r="C141" i="7" s="1"/>
  <c r="B49" i="6"/>
  <c r="B47" i="6"/>
  <c r="C14" i="6"/>
  <c r="D26" i="6" s="1"/>
  <c r="D61" i="6" s="1"/>
  <c r="B35" i="6"/>
  <c r="B54" i="6"/>
  <c r="K54" i="6" s="1"/>
  <c r="F19" i="6"/>
  <c r="I19" i="6" s="1"/>
  <c r="B55" i="6"/>
  <c r="N55" i="6" s="1"/>
  <c r="G19" i="6"/>
  <c r="J19" i="6" s="1"/>
  <c r="B19" i="6"/>
  <c r="H19" i="6"/>
  <c r="B26" i="6"/>
  <c r="B46" i="5" s="1"/>
  <c r="E110" i="6"/>
  <c r="D14" i="6"/>
  <c r="E26" i="6" s="1"/>
  <c r="E41" i="6"/>
  <c r="B34" i="6"/>
  <c r="D48" i="6"/>
  <c r="E49" i="6"/>
  <c r="D41" i="6"/>
  <c r="B33" i="6"/>
  <c r="B17" i="6"/>
  <c r="H17" i="6" s="1"/>
  <c r="I40" i="6" s="1"/>
  <c r="B86" i="6"/>
  <c r="B101" i="6" s="1"/>
  <c r="C101" i="6" s="1"/>
  <c r="E101" i="6" s="1"/>
  <c r="B100" i="6"/>
  <c r="B112" i="6" s="1"/>
  <c r="C112" i="6" s="1"/>
  <c r="E112" i="6" s="1"/>
  <c r="E85" i="6"/>
  <c r="E94" i="6"/>
  <c r="E82" i="6"/>
  <c r="E98" i="6"/>
  <c r="E99" i="6"/>
  <c r="B18" i="6"/>
  <c r="H18" i="6" s="1"/>
  <c r="I47" i="6" s="1"/>
  <c r="E14" i="6"/>
  <c r="F26" i="6" s="1"/>
  <c r="F27" i="6" s="1"/>
  <c r="B16" i="6"/>
  <c r="H16" i="6" s="1"/>
  <c r="B28" i="6"/>
  <c r="B27" i="6"/>
  <c r="H28" i="6"/>
  <c r="H27" i="6"/>
  <c r="H14" i="6"/>
  <c r="F14" i="6"/>
  <c r="G15" i="6" l="1"/>
  <c r="J15" i="6" s="1"/>
  <c r="H15" i="6"/>
  <c r="K15" i="6" s="1"/>
  <c r="F15" i="6"/>
  <c r="I15" i="6" s="1"/>
  <c r="B40" i="6"/>
  <c r="B61" i="6" s="1"/>
  <c r="B21" i="5" s="1"/>
  <c r="N54" i="6"/>
  <c r="R54" i="6" s="1"/>
  <c r="P55" i="6"/>
  <c r="M56" i="6"/>
  <c r="N56" i="6"/>
  <c r="K19" i="6"/>
  <c r="O56" i="6"/>
  <c r="P56" i="6"/>
  <c r="D141" i="7"/>
  <c r="K56" i="6"/>
  <c r="O54" i="6"/>
  <c r="L54" i="6"/>
  <c r="B41" i="6"/>
  <c r="B62" i="6" s="1"/>
  <c r="B22" i="5" s="1"/>
  <c r="M55" i="6"/>
  <c r="C20" i="6"/>
  <c r="P54" i="6"/>
  <c r="M54" i="6"/>
  <c r="E17" i="6"/>
  <c r="F40" i="6" s="1"/>
  <c r="F17" i="6"/>
  <c r="G40" i="6" s="1"/>
  <c r="G17" i="6"/>
  <c r="J17" i="6" s="1"/>
  <c r="O55" i="6"/>
  <c r="L55" i="6"/>
  <c r="K55" i="6"/>
  <c r="R55" i="6" s="1"/>
  <c r="D28" i="6"/>
  <c r="D63" i="6" s="1"/>
  <c r="D27" i="6"/>
  <c r="D62" i="6" s="1"/>
  <c r="J14" i="6"/>
  <c r="D20" i="6"/>
  <c r="F28" i="6"/>
  <c r="I41" i="6"/>
  <c r="I42" i="6"/>
  <c r="G18" i="6"/>
  <c r="H47" i="6" s="1"/>
  <c r="F18" i="6"/>
  <c r="G47" i="6" s="1"/>
  <c r="E18" i="6"/>
  <c r="F47" i="6" s="1"/>
  <c r="B113" i="6"/>
  <c r="C113" i="6" s="1"/>
  <c r="E113" i="6" s="1"/>
  <c r="C86" i="6"/>
  <c r="E86" i="6" s="1"/>
  <c r="C100" i="6"/>
  <c r="E100" i="6" s="1"/>
  <c r="G16" i="6"/>
  <c r="J16" i="6" s="1"/>
  <c r="F16" i="6"/>
  <c r="B76" i="6"/>
  <c r="B96" i="6" s="1"/>
  <c r="C96" i="6" s="1"/>
  <c r="E96" i="6" s="1"/>
  <c r="E16" i="6"/>
  <c r="K16" i="6" s="1"/>
  <c r="B97" i="6"/>
  <c r="C97" i="6" s="1"/>
  <c r="E97" i="6" s="1"/>
  <c r="I26" i="6"/>
  <c r="K14" i="6"/>
  <c r="G26" i="6"/>
  <c r="I14" i="6"/>
  <c r="B48" i="5"/>
  <c r="B63" i="6"/>
  <c r="B23" i="5" s="1"/>
  <c r="E61" i="6"/>
  <c r="E28" i="6"/>
  <c r="E63" i="6" s="1"/>
  <c r="E27" i="6"/>
  <c r="E62" i="6" s="1"/>
  <c r="B47" i="5"/>
  <c r="I48" i="6"/>
  <c r="I49" i="6"/>
  <c r="H20" i="6" l="1"/>
  <c r="I33" i="6"/>
  <c r="I35" i="6" s="1"/>
  <c r="T56" i="6"/>
  <c r="S56" i="6"/>
  <c r="T55" i="6"/>
  <c r="T54" i="6"/>
  <c r="R56" i="6"/>
  <c r="S54" i="6"/>
  <c r="I17" i="6"/>
  <c r="P26" i="6"/>
  <c r="S55" i="6"/>
  <c r="H40" i="6"/>
  <c r="M40" i="6" s="1"/>
  <c r="F20" i="6"/>
  <c r="K17" i="6"/>
  <c r="F33" i="6"/>
  <c r="F34" i="6" s="1"/>
  <c r="M26" i="6"/>
  <c r="L26" i="6"/>
  <c r="N26" i="6"/>
  <c r="V26" i="6"/>
  <c r="V27" i="6" s="1"/>
  <c r="I18" i="6"/>
  <c r="J18" i="6"/>
  <c r="J20" i="6" s="1"/>
  <c r="K18" i="6"/>
  <c r="E20" i="6"/>
  <c r="B109" i="6"/>
  <c r="C109" i="6" s="1"/>
  <c r="E109" i="6" s="1"/>
  <c r="C116" i="6" s="1"/>
  <c r="C10" i="5" s="1"/>
  <c r="G33" i="6"/>
  <c r="G35" i="6" s="1"/>
  <c r="I16" i="6"/>
  <c r="H33" i="6"/>
  <c r="H34" i="6" s="1"/>
  <c r="G20" i="6"/>
  <c r="B81" i="6"/>
  <c r="C81" i="6" s="1"/>
  <c r="E81" i="6" s="1"/>
  <c r="B95" i="6"/>
  <c r="C95" i="6" s="1"/>
  <c r="E95" i="6" s="1"/>
  <c r="D104" i="6" s="1"/>
  <c r="D9" i="5" s="1"/>
  <c r="B83" i="6"/>
  <c r="C83" i="6" s="1"/>
  <c r="E83" i="6" s="1"/>
  <c r="G41" i="6"/>
  <c r="G42" i="6"/>
  <c r="F41" i="6"/>
  <c r="F42" i="6"/>
  <c r="H49" i="6"/>
  <c r="H48" i="6"/>
  <c r="G48" i="6"/>
  <c r="G49" i="6"/>
  <c r="G28" i="6"/>
  <c r="G27" i="6"/>
  <c r="O26" i="6"/>
  <c r="K26" i="6"/>
  <c r="F49" i="6"/>
  <c r="M47" i="6"/>
  <c r="L47" i="6"/>
  <c r="O47" i="6"/>
  <c r="F48" i="6"/>
  <c r="K47" i="6"/>
  <c r="N47" i="6"/>
  <c r="P47" i="6"/>
  <c r="I28" i="6"/>
  <c r="I27" i="6"/>
  <c r="I61" i="6" l="1"/>
  <c r="F61" i="6"/>
  <c r="I63" i="6"/>
  <c r="I34" i="6"/>
  <c r="I62" i="6" s="1"/>
  <c r="T26" i="6"/>
  <c r="D31" i="5" s="1"/>
  <c r="L40" i="6"/>
  <c r="H42" i="6"/>
  <c r="O42" i="6" s="1"/>
  <c r="H41" i="6"/>
  <c r="P41" i="6" s="1"/>
  <c r="P40" i="6"/>
  <c r="N40" i="6"/>
  <c r="O40" i="6"/>
  <c r="K40" i="6"/>
  <c r="M27" i="6"/>
  <c r="K20" i="6"/>
  <c r="V28" i="6"/>
  <c r="F35" i="6"/>
  <c r="F63" i="6" s="1"/>
  <c r="G34" i="6"/>
  <c r="N27" i="6"/>
  <c r="S26" i="6"/>
  <c r="C31" i="5" s="1"/>
  <c r="H35" i="6"/>
  <c r="G61" i="6"/>
  <c r="I20" i="6"/>
  <c r="C89" i="6"/>
  <c r="C8" i="5" s="1"/>
  <c r="C33" i="5" s="1"/>
  <c r="C104" i="6"/>
  <c r="C9" i="5" s="1"/>
  <c r="C34" i="5" s="1"/>
  <c r="B104" i="6"/>
  <c r="B9" i="5" s="1"/>
  <c r="F9" i="5" s="1"/>
  <c r="B116" i="6"/>
  <c r="B10" i="5" s="1"/>
  <c r="B35" i="5" s="1"/>
  <c r="D116" i="6"/>
  <c r="D10" i="5" s="1"/>
  <c r="D35" i="5" s="1"/>
  <c r="N33" i="6"/>
  <c r="K33" i="6"/>
  <c r="P33" i="6"/>
  <c r="B89" i="6"/>
  <c r="B8" i="5" s="1"/>
  <c r="B33" i="5" s="1"/>
  <c r="H61" i="6"/>
  <c r="O33" i="6"/>
  <c r="L33" i="6"/>
  <c r="D89" i="6"/>
  <c r="D8" i="5" s="1"/>
  <c r="H8" i="5" s="1"/>
  <c r="M33" i="6"/>
  <c r="M61" i="6" s="1"/>
  <c r="R47" i="6"/>
  <c r="R26" i="6"/>
  <c r="B31" i="5" s="1"/>
  <c r="K27" i="6"/>
  <c r="P27" i="6"/>
  <c r="H9" i="5"/>
  <c r="D34" i="5"/>
  <c r="M48" i="6"/>
  <c r="N48" i="6"/>
  <c r="P48" i="6"/>
  <c r="O48" i="6"/>
  <c r="K48" i="6"/>
  <c r="L48" i="6"/>
  <c r="L49" i="6"/>
  <c r="K49" i="6"/>
  <c r="O49" i="6"/>
  <c r="N49" i="6"/>
  <c r="P49" i="6"/>
  <c r="M49" i="6"/>
  <c r="G63" i="6"/>
  <c r="M28" i="6"/>
  <c r="P28" i="6"/>
  <c r="L28" i="6"/>
  <c r="O28" i="6"/>
  <c r="N28" i="6"/>
  <c r="K28" i="6"/>
  <c r="G10" i="5"/>
  <c r="C35" i="5"/>
  <c r="F62" i="6"/>
  <c r="T47" i="6"/>
  <c r="O27" i="6"/>
  <c r="S47" i="6"/>
  <c r="L27" i="6"/>
  <c r="M34" i="6" l="1"/>
  <c r="K41" i="6"/>
  <c r="L41" i="6"/>
  <c r="O41" i="6"/>
  <c r="M41" i="6"/>
  <c r="T41" i="6" s="1"/>
  <c r="L61" i="6"/>
  <c r="M42" i="6"/>
  <c r="N42" i="6"/>
  <c r="L42" i="6"/>
  <c r="S42" i="6" s="1"/>
  <c r="T40" i="6"/>
  <c r="R40" i="6"/>
  <c r="S40" i="6"/>
  <c r="K42" i="6"/>
  <c r="H62" i="6"/>
  <c r="P42" i="6"/>
  <c r="N41" i="6"/>
  <c r="K61" i="6"/>
  <c r="N35" i="6"/>
  <c r="L34" i="6"/>
  <c r="L62" i="6" s="1"/>
  <c r="N34" i="6"/>
  <c r="O34" i="6"/>
  <c r="K34" i="6"/>
  <c r="P34" i="6"/>
  <c r="G62" i="6"/>
  <c r="P35" i="6"/>
  <c r="M35" i="6"/>
  <c r="K35" i="6"/>
  <c r="O35" i="6"/>
  <c r="L35" i="6"/>
  <c r="H63" i="6"/>
  <c r="N61" i="6"/>
  <c r="S48" i="6"/>
  <c r="T49" i="6"/>
  <c r="G8" i="5"/>
  <c r="G33" i="5" s="1"/>
  <c r="G9" i="5"/>
  <c r="K9" i="5" s="1"/>
  <c r="K34" i="5" s="1"/>
  <c r="F10" i="5"/>
  <c r="F35" i="5" s="1"/>
  <c r="P61" i="6"/>
  <c r="D33" i="5"/>
  <c r="S33" i="6"/>
  <c r="B34" i="5"/>
  <c r="T33" i="6"/>
  <c r="R33" i="6"/>
  <c r="F8" i="5"/>
  <c r="F33" i="5" s="1"/>
  <c r="H10" i="5"/>
  <c r="H35" i="5" s="1"/>
  <c r="O61" i="6"/>
  <c r="S27" i="6"/>
  <c r="G31" i="5" s="1"/>
  <c r="K10" i="5"/>
  <c r="K35" i="5" s="1"/>
  <c r="G35" i="5"/>
  <c r="L8" i="5"/>
  <c r="L33" i="5" s="1"/>
  <c r="H33" i="5"/>
  <c r="S28" i="6"/>
  <c r="K31" i="5" s="1"/>
  <c r="T28" i="6"/>
  <c r="L31" i="5" s="1"/>
  <c r="J9" i="5"/>
  <c r="J34" i="5" s="1"/>
  <c r="F34" i="5"/>
  <c r="R28" i="6"/>
  <c r="J31" i="5" s="1"/>
  <c r="L9" i="5"/>
  <c r="L34" i="5" s="1"/>
  <c r="H34" i="5"/>
  <c r="R27" i="6"/>
  <c r="F31" i="5" s="1"/>
  <c r="R49" i="6"/>
  <c r="S49" i="6"/>
  <c r="R48" i="6"/>
  <c r="T48" i="6"/>
  <c r="T27" i="6"/>
  <c r="H31" i="5" s="1"/>
  <c r="K62" i="6" l="1"/>
  <c r="L63" i="6"/>
  <c r="S41" i="6"/>
  <c r="M62" i="6"/>
  <c r="S61" i="6"/>
  <c r="E69" i="6" s="1"/>
  <c r="C6" i="5" s="1"/>
  <c r="R5" i="5" s="1"/>
  <c r="R42" i="6"/>
  <c r="K63" i="6"/>
  <c r="T61" i="6"/>
  <c r="T42" i="6"/>
  <c r="R61" i="6"/>
  <c r="D69" i="6" s="1"/>
  <c r="R41" i="6"/>
  <c r="N63" i="6"/>
  <c r="O63" i="6"/>
  <c r="S34" i="6"/>
  <c r="S62" i="6" s="1"/>
  <c r="E70" i="6" s="1"/>
  <c r="P62" i="6"/>
  <c r="R34" i="6"/>
  <c r="T35" i="6"/>
  <c r="P63" i="6"/>
  <c r="O62" i="6"/>
  <c r="R35" i="6"/>
  <c r="N62" i="6"/>
  <c r="T34" i="6"/>
  <c r="T62" i="6" s="1"/>
  <c r="F70" i="6" s="1"/>
  <c r="M63" i="6"/>
  <c r="S35" i="6"/>
  <c r="S63" i="6" s="1"/>
  <c r="E71" i="6" s="1"/>
  <c r="J10" i="5"/>
  <c r="J35" i="5" s="1"/>
  <c r="L10" i="5"/>
  <c r="L35" i="5" s="1"/>
  <c r="G34" i="5"/>
  <c r="K8" i="5"/>
  <c r="K33" i="5" s="1"/>
  <c r="D38" i="5"/>
  <c r="D39" i="5" s="1"/>
  <c r="J8" i="5"/>
  <c r="J33" i="5" s="1"/>
  <c r="C38" i="5"/>
  <c r="C39" i="5" s="1"/>
  <c r="B38" i="5"/>
  <c r="E31" i="5"/>
  <c r="R63" i="6" l="1"/>
  <c r="D71" i="6" s="1"/>
  <c r="R62" i="6"/>
  <c r="D70" i="6" s="1"/>
  <c r="F69" i="6"/>
  <c r="B69" i="6" s="1"/>
  <c r="T63" i="6"/>
  <c r="G6" i="5"/>
  <c r="G13" i="5" s="1"/>
  <c r="D40" i="5"/>
  <c r="D42" i="5" s="1"/>
  <c r="K6" i="5"/>
  <c r="K13" i="5" s="1"/>
  <c r="E38" i="5"/>
  <c r="E33" i="5" s="1"/>
  <c r="B40" i="5"/>
  <c r="B39" i="5"/>
  <c r="E39" i="5" s="1"/>
  <c r="H38" i="5"/>
  <c r="H39" i="5" s="1"/>
  <c r="K38" i="5"/>
  <c r="K39" i="5" s="1"/>
  <c r="C13" i="5"/>
  <c r="G38" i="5"/>
  <c r="G40" i="5" s="1"/>
  <c r="L38" i="5"/>
  <c r="L40" i="5" s="1"/>
  <c r="B6" i="5"/>
  <c r="Q5" i="5" s="1"/>
  <c r="F38" i="5"/>
  <c r="F40" i="5" s="1"/>
  <c r="I31" i="5"/>
  <c r="C40" i="5"/>
  <c r="C42" i="5" s="1"/>
  <c r="J38" i="5"/>
  <c r="J40" i="5" s="1"/>
  <c r="M31" i="5"/>
  <c r="H6" i="5"/>
  <c r="C14" i="5" l="1"/>
  <c r="K14" i="5"/>
  <c r="G15" i="5"/>
  <c r="D6" i="5"/>
  <c r="F71" i="6"/>
  <c r="L6" i="5" s="1"/>
  <c r="L13" i="5" s="1"/>
  <c r="B42" i="5"/>
  <c r="E42" i="5" s="1"/>
  <c r="E34" i="5"/>
  <c r="F39" i="5"/>
  <c r="F42" i="5" s="1"/>
  <c r="G14" i="5"/>
  <c r="K40" i="5"/>
  <c r="M40" i="5" s="1"/>
  <c r="C15" i="5"/>
  <c r="K15" i="5"/>
  <c r="H40" i="5"/>
  <c r="H42" i="5" s="1"/>
  <c r="H13" i="5"/>
  <c r="F6" i="5"/>
  <c r="B70" i="6"/>
  <c r="B13" i="5"/>
  <c r="J6" i="5"/>
  <c r="E40" i="5"/>
  <c r="E35" i="5" s="1"/>
  <c r="M38" i="5"/>
  <c r="M33" i="5" s="1"/>
  <c r="J39" i="5"/>
  <c r="I38" i="5"/>
  <c r="I33" i="5" s="1"/>
  <c r="L39" i="5"/>
  <c r="L42" i="5" s="1"/>
  <c r="G39" i="5"/>
  <c r="G42" i="5" s="1"/>
  <c r="G17" i="5" l="1"/>
  <c r="C17" i="5"/>
  <c r="R12" i="5" s="1"/>
  <c r="E6" i="5"/>
  <c r="S5" i="5"/>
  <c r="T5" i="5" s="1"/>
  <c r="J23" i="5"/>
  <c r="K17" i="5"/>
  <c r="L15" i="5"/>
  <c r="H14" i="5"/>
  <c r="J22" i="5"/>
  <c r="B71" i="6"/>
  <c r="D13" i="5"/>
  <c r="D14" i="5" s="1"/>
  <c r="J21" i="5"/>
  <c r="R11" i="5" s="1"/>
  <c r="L14" i="5"/>
  <c r="C46" i="5"/>
  <c r="D46" i="5" s="1"/>
  <c r="I40" i="5"/>
  <c r="I35" i="5" s="1"/>
  <c r="K42" i="5"/>
  <c r="M35" i="5"/>
  <c r="H15" i="5"/>
  <c r="C47" i="5"/>
  <c r="D47" i="5" s="1"/>
  <c r="I42" i="5"/>
  <c r="M39" i="5"/>
  <c r="M34" i="5" s="1"/>
  <c r="J42" i="5"/>
  <c r="M6" i="5"/>
  <c r="J13" i="5"/>
  <c r="I6" i="5"/>
  <c r="F13" i="5"/>
  <c r="I39" i="5"/>
  <c r="I34" i="5" s="1"/>
  <c r="B14" i="5"/>
  <c r="B15" i="5"/>
  <c r="L17" i="5" l="1"/>
  <c r="R6" i="5"/>
  <c r="H17" i="5"/>
  <c r="K23" i="5"/>
  <c r="M13" i="5"/>
  <c r="M8" i="5" s="1"/>
  <c r="D15" i="5"/>
  <c r="K21" i="5" s="1"/>
  <c r="S11" i="5" s="1"/>
  <c r="K22" i="5"/>
  <c r="E13" i="5"/>
  <c r="E8" i="5" s="1"/>
  <c r="I13" i="5"/>
  <c r="I8" i="5" s="1"/>
  <c r="I21" i="5"/>
  <c r="Q11" i="5" s="1"/>
  <c r="E14" i="5"/>
  <c r="B17" i="5"/>
  <c r="C48" i="5"/>
  <c r="D48" i="5" s="1"/>
  <c r="M42" i="5"/>
  <c r="J15" i="5"/>
  <c r="M15" i="5" s="1"/>
  <c r="J14" i="5"/>
  <c r="M14" i="5" s="1"/>
  <c r="F15" i="5"/>
  <c r="I15" i="5" s="1"/>
  <c r="F14" i="5"/>
  <c r="I14" i="5" s="1"/>
  <c r="T11" i="5" l="1"/>
  <c r="Q12" i="5"/>
  <c r="Q6" i="5"/>
  <c r="M9" i="5"/>
  <c r="I10" i="5"/>
  <c r="D17" i="5"/>
  <c r="E15" i="5"/>
  <c r="E10" i="5" s="1"/>
  <c r="M10" i="5"/>
  <c r="E9" i="5"/>
  <c r="L21" i="5"/>
  <c r="I23" i="5"/>
  <c r="L23" i="5" s="1"/>
  <c r="I9" i="5"/>
  <c r="I22" i="5"/>
  <c r="L22" i="5" s="1"/>
  <c r="F17" i="5"/>
  <c r="J17" i="5"/>
  <c r="S12" i="5" l="1"/>
  <c r="T12" i="5" s="1"/>
  <c r="T13" i="5" s="1"/>
  <c r="S6" i="5"/>
  <c r="T6" i="5" s="1"/>
  <c r="T7" i="5" s="1"/>
  <c r="T8" i="5" s="1"/>
  <c r="C21" i="5"/>
  <c r="D21" i="5" s="1"/>
  <c r="E17" i="5"/>
  <c r="C23" i="5"/>
  <c r="D23" i="5" s="1"/>
  <c r="M17" i="5"/>
  <c r="C22" i="5"/>
  <c r="D22" i="5" s="1"/>
  <c r="I1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mfeldman</author>
  </authors>
  <commentList>
    <comment ref="A19" authorId="0" shapeId="0" xr:uid="{00000000-0006-0000-0300-000001000000}">
      <text>
        <r>
          <rPr>
            <b/>
            <sz val="8"/>
            <color indexed="81"/>
            <rFont val="Tahoma"/>
            <family val="2"/>
          </rPr>
          <t>mfeldman:</t>
        </r>
        <r>
          <rPr>
            <sz val="8"/>
            <color indexed="81"/>
            <rFont val="Tahoma"/>
            <family val="2"/>
          </rPr>
          <t xml:space="preserve">
School trips do not use the NCHRP factors - they use the input trip purpose splits assumption</t>
        </r>
      </text>
    </comment>
    <comment ref="F26" authorId="0" shapeId="0" xr:uid="{00000000-0006-0000-0300-000002000000}">
      <text>
        <r>
          <rPr>
            <b/>
            <sz val="8"/>
            <color indexed="81"/>
            <rFont val="Tahoma"/>
            <family val="2"/>
          </rPr>
          <t>mfeldman:</t>
        </r>
        <r>
          <rPr>
            <sz val="8"/>
            <color indexed="81"/>
            <rFont val="Tahoma"/>
            <family val="2"/>
          </rPr>
          <t xml:space="preserve">
NHB Trips produced by residences are only partially included in the trip generation totals, as specified by the user.  However, they are all included in the VMT.</t>
        </r>
      </text>
    </comment>
  </commentList>
</comments>
</file>

<file path=xl/sharedStrings.xml><?xml version="1.0" encoding="utf-8"?>
<sst xmlns="http://schemas.openxmlformats.org/spreadsheetml/2006/main" count="830" uniqueCount="363">
  <si>
    <t>Notes / Instructions</t>
  </si>
  <si>
    <t>Site Name</t>
  </si>
  <si>
    <t>Geographic</t>
  </si>
  <si>
    <t>Number of Intersections</t>
  </si>
  <si>
    <t>Land Use - Surrounding Area</t>
  </si>
  <si>
    <t>No</t>
  </si>
  <si>
    <t>Employment within one mile of the MXD</t>
  </si>
  <si>
    <t>Do not include employment within the MXD itself</t>
  </si>
  <si>
    <t>Site Demographics</t>
  </si>
  <si>
    <t>Enter Population Directly?</t>
  </si>
  <si>
    <t>Population</t>
  </si>
  <si>
    <t>Trips</t>
  </si>
  <si>
    <t>Code</t>
  </si>
  <si>
    <t>Average Rate</t>
  </si>
  <si>
    <t>Linear Multiplier</t>
  </si>
  <si>
    <t>Linear Constant</t>
  </si>
  <si>
    <t>Log Multipler</t>
  </si>
  <si>
    <t>Log Constant</t>
  </si>
  <si>
    <t>Number of Dwelling Units</t>
  </si>
  <si>
    <t>Single Family</t>
  </si>
  <si>
    <t>Multi-Family</t>
  </si>
  <si>
    <t>High Rise Condo</t>
  </si>
  <si>
    <t>General Retail other than those listed below</t>
  </si>
  <si>
    <t>Supermarket</t>
  </si>
  <si>
    <t>Bank</t>
  </si>
  <si>
    <t>Health Club</t>
  </si>
  <si>
    <t>Restaurant (non-fast food)</t>
  </si>
  <si>
    <t>Fast-Food Restaurant</t>
  </si>
  <si>
    <t>Gas Station</t>
  </si>
  <si>
    <t>Auto Repair</t>
  </si>
  <si>
    <t>Light Industrial</t>
  </si>
  <si>
    <t>Manufacturing</t>
  </si>
  <si>
    <t>Warehousing</t>
  </si>
  <si>
    <t>High School</t>
  </si>
  <si>
    <t>Units</t>
  </si>
  <si>
    <t>Retail</t>
  </si>
  <si>
    <t>Total</t>
  </si>
  <si>
    <t>Residential Production Rate</t>
  </si>
  <si>
    <t>Productions</t>
  </si>
  <si>
    <t>Attractions</t>
  </si>
  <si>
    <t>HBW</t>
  </si>
  <si>
    <t>HBO</t>
  </si>
  <si>
    <t>NHB</t>
  </si>
  <si>
    <t>Dwelling Units</t>
  </si>
  <si>
    <t>Retail Emp CBD</t>
  </si>
  <si>
    <t>Retail Emp Non-CBD</t>
  </si>
  <si>
    <t>Service Emp (Office)</t>
  </si>
  <si>
    <t>Internal Capture Probability Model</t>
  </si>
  <si>
    <t>Variable</t>
  </si>
  <si>
    <t>Value</t>
  </si>
  <si>
    <t>Constant</t>
  </si>
  <si>
    <t>Number of intersections per square mile within the MXD</t>
  </si>
  <si>
    <t>LOG ODDS</t>
  </si>
  <si>
    <t>Walking Trip Probability Model</t>
  </si>
  <si>
    <t>Population + Employment per square mile within the MXD</t>
  </si>
  <si>
    <t>Transit Trip Probability Model</t>
  </si>
  <si>
    <t>Employment in thousands within a 30 minute trip of the MXD by transit</t>
  </si>
  <si>
    <t>Internal Capture</t>
  </si>
  <si>
    <t>Walking External</t>
  </si>
  <si>
    <t>Transit External</t>
  </si>
  <si>
    <t>Jobs per ksf</t>
  </si>
  <si>
    <t>Office</t>
  </si>
  <si>
    <t>Misc. Uses</t>
  </si>
  <si>
    <t>Trip Purpose Data from NCHRP 365</t>
  </si>
  <si>
    <t>PRODUCTIONS</t>
  </si>
  <si>
    <t>% Average Daily Person Trips by Purpose</t>
  </si>
  <si>
    <t>Area Type</t>
  </si>
  <si>
    <t>Productions per HH</t>
  </si>
  <si>
    <t>Urban 50,000 to 199,999</t>
  </si>
  <si>
    <t>Urban 200,000 to 499,999</t>
  </si>
  <si>
    <t>Urban 500,000 to 999,999</t>
  </si>
  <si>
    <t>Urban 1,000,000+</t>
  </si>
  <si>
    <t>ATTRACTIONS</t>
  </si>
  <si>
    <t>Number of Daily Person Trips by Purpose</t>
  </si>
  <si>
    <t>Per HH</t>
  </si>
  <si>
    <t>Per Retail Emp CBD</t>
  </si>
  <si>
    <t>Per Retail Emp Non-CBD</t>
  </si>
  <si>
    <t>Per Service Emp (Office)</t>
  </si>
  <si>
    <t>Per Other Emp (Industrial)</t>
  </si>
  <si>
    <t>Model Coefficients</t>
  </si>
  <si>
    <t>This spreadsheet allows one to input data from a project site and estimate vehicle trip reduction</t>
  </si>
  <si>
    <t>by determining:</t>
  </si>
  <si>
    <t>1. The percent of trips internally captured</t>
  </si>
  <si>
    <t>2. The percent of external trips which are made by walking</t>
  </si>
  <si>
    <t>3. The percent of external trips which are made by transit</t>
  </si>
  <si>
    <t>Daily</t>
  </si>
  <si>
    <t>Time of Day Factors by Trip Purpose from NCHRP 365</t>
  </si>
  <si>
    <t>AM Peak Hour (7-8 AM)</t>
  </si>
  <si>
    <t>PM Peak Hour (5-6 PM)</t>
  </si>
  <si>
    <t>Jobs from ITE rates per other unit</t>
  </si>
  <si>
    <t>Jobs per Hotel Room</t>
  </si>
  <si>
    <t>Jobs per Movie Screen</t>
  </si>
  <si>
    <t>Grade School Jobs per student</t>
  </si>
  <si>
    <t>College Jobs per student</t>
  </si>
  <si>
    <t>Average Data (not varying by MPO Type)</t>
  </si>
  <si>
    <t>AM Peak Hour</t>
  </si>
  <si>
    <t>PM Peak Hour</t>
  </si>
  <si>
    <t>MXD Total Population</t>
  </si>
  <si>
    <t>MXD Total Employment</t>
  </si>
  <si>
    <t>Percentages</t>
  </si>
  <si>
    <t>Internal Capture Probability Model Coefficients</t>
  </si>
  <si>
    <t>Avg Value</t>
  </si>
  <si>
    <t>Employment within the MXD</t>
  </si>
  <si>
    <t>MXD Area in Square Miles</t>
  </si>
  <si>
    <t>Average Household Size Within the MXD</t>
  </si>
  <si>
    <t>Vehicles Owned per Capita within the MXD</t>
  </si>
  <si>
    <t>Walking Trip Probability Model Coefficients</t>
  </si>
  <si>
    <t>Transit Trip Probability Model Coefficients</t>
  </si>
  <si>
    <t>Average Vehicles Owned per Dwelling Unit</t>
  </si>
  <si>
    <t>Normalized Value</t>
  </si>
  <si>
    <t>Note: if there are no households, the normalized value is set to zero</t>
  </si>
  <si>
    <t/>
  </si>
  <si>
    <t>Results</t>
  </si>
  <si>
    <t>Reduction %</t>
  </si>
  <si>
    <t>ln(Employment within the MXD)</t>
  </si>
  <si>
    <t>ln(MXD Area in Square Miles)</t>
  </si>
  <si>
    <t>ln(Jobs / Population Diversity - index of jobs/population ratio compared to 0.2)</t>
  </si>
  <si>
    <t>ln(Number of intersections per square mile within the MXD)</t>
  </si>
  <si>
    <t>ln(Average Household Size Within the MXD)</t>
  </si>
  <si>
    <t>ln(Vehicles Owned per Capita within the MXD)</t>
  </si>
  <si>
    <t>ln(Population + Employment per square mile within the MXD)</t>
  </si>
  <si>
    <t>ln(Retail jobs / Population Diversity - index of retail jobs/population ratio compared to 0.05)</t>
  </si>
  <si>
    <t>ln(Employment in thousands within 1 mile of the MXD outside the MXD itself)</t>
  </si>
  <si>
    <t>ln(Employment in thousands within a 30 minute trip of the MXD by transit)</t>
  </si>
  <si>
    <t>Log</t>
  </si>
  <si>
    <t>Mean of log</t>
  </si>
  <si>
    <t>Jobs / Population Diversity - index of jobs/population ratio compared to 0.2</t>
  </si>
  <si>
    <t>Retail jobs / Population Diversity - index of retail jobs/population ratio compared to 0.05</t>
  </si>
  <si>
    <t>Employment in thousands within 1 mile of the MXD outside the MXD itself</t>
  </si>
  <si>
    <t>Note: the log is taken of the actual employment (not employment / 1000)</t>
  </si>
  <si>
    <t>Please be aware that the site ought to fall within the range of the data used to develop the model, namely:</t>
  </si>
  <si>
    <t>1. The site should be between 5 and 2000 acres</t>
  </si>
  <si>
    <t>If the site does not meet the above criteria, please use an alternate method, as described in the ITE Handbook write-up</t>
  </si>
  <si>
    <t>Source:</t>
  </si>
  <si>
    <t>External Vehicle Trips</t>
  </si>
  <si>
    <t>Total Trip Purpose Distribution for Project Site</t>
  </si>
  <si>
    <t>School</t>
  </si>
  <si>
    <t>Other Emp (Incl. Industrial, not incl. school)</t>
  </si>
  <si>
    <t>Total Trips subject to model trip reductions</t>
  </si>
  <si>
    <t>SITE-SPECIFIC INTERNALIZATION</t>
  </si>
  <si>
    <t>This section of input is for when you have specific trips you want to EXCLUDE from the MXD process.  These trips will be counted as internal, and subtracted</t>
  </si>
  <si>
    <t>Industrial</t>
  </si>
  <si>
    <t>Raw ITE Trips</t>
  </si>
  <si>
    <t>Total Trips</t>
  </si>
  <si>
    <t>Trip Purpose Distribution for Residential Only</t>
  </si>
  <si>
    <t>Trip Purpose Distribution for Retail Only</t>
  </si>
  <si>
    <t>Trip Purpose Distribution for Office Only</t>
  </si>
  <si>
    <t>They are divided into HBW and HBO Attractions based on a fixed percentage input by the user on the Global input tab.</t>
  </si>
  <si>
    <t>estimating the trip purpose splits for the project.  The exception to this is the school Ps and As, which are based on actual ITE trips above because there is no NCHRP estimate available.</t>
  </si>
  <si>
    <t>DU or Jobs</t>
  </si>
  <si>
    <t>Trip Purpose Distribution for School Only</t>
  </si>
  <si>
    <t>ksf</t>
  </si>
  <si>
    <t>University</t>
  </si>
  <si>
    <t>Elementary</t>
  </si>
  <si>
    <t>Jobs Per Input Unit (if Applicable)</t>
  </si>
  <si>
    <t>High School / Middle School Jobs per Student</t>
  </si>
  <si>
    <t>Trips from Land uses not covered above ==&gt;</t>
  </si>
  <si>
    <t>Jobs in those Land Uses</t>
  </si>
  <si>
    <t>Trip Purpose Distribution for Industrial / Other Only</t>
  </si>
  <si>
    <t>ITE Daily Parameters</t>
  </si>
  <si>
    <t>Non-Medical</t>
  </si>
  <si>
    <t>Medical</t>
  </si>
  <si>
    <t>Valid Trip Gen Calc Choice?</t>
  </si>
  <si>
    <t>Quantity</t>
  </si>
  <si>
    <t>DU</t>
  </si>
  <si>
    <t>Movie Theater</t>
  </si>
  <si>
    <t>Rooms</t>
  </si>
  <si>
    <t>Screens</t>
  </si>
  <si>
    <t>Students</t>
  </si>
  <si>
    <t>Log Equation</t>
  </si>
  <si>
    <t>jobs</t>
  </si>
  <si>
    <t>AM PEAK HOUR TRIP RATES</t>
  </si>
  <si>
    <t>PM PEAK HOUR TRIP RATES</t>
  </si>
  <si>
    <t>Trip Equation Method</t>
  </si>
  <si>
    <t>Warehousing / Self-Storage</t>
  </si>
  <si>
    <t>Source</t>
  </si>
  <si>
    <t>ITE Trip Generation Manual</t>
  </si>
  <si>
    <t>Motel</t>
  </si>
  <si>
    <t>Hotel (including restaurant, facilities, etc…)</t>
  </si>
  <si>
    <t>Middle School</t>
  </si>
  <si>
    <t>Linear Equation</t>
  </si>
  <si>
    <t>Note the formulas are slightly different in this section &lt;====</t>
  </si>
  <si>
    <t>P/A Distribution of NCHRP Trips</t>
  </si>
  <si>
    <t>P/A Distribution of ITE Trips</t>
  </si>
  <si>
    <t>MODEL APPLICATION - ALL TRIPS</t>
  </si>
  <si>
    <t>Yes</t>
  </si>
  <si>
    <t>NON-HOME BASED TRIPS GENERATED BY PROJECT HOUSEHOLDS</t>
  </si>
  <si>
    <t>Enter the percent of these that occur…</t>
  </si>
  <si>
    <t>Completely Within the Project Site</t>
  </si>
  <si>
    <t>With one trip end external to the Project Site</t>
  </si>
  <si>
    <t>Completely outside the Project Site</t>
  </si>
  <si>
    <t>Source for this information:</t>
  </si>
  <si>
    <t>Total Trips (For Trip Generation)</t>
  </si>
  <si>
    <t>&lt;== used NCHRP rate and counted all trips, but scaled by the same factor of total ITE trips / total NCHRP trips that is being used to the left</t>
  </si>
  <si>
    <t>Note: This is only used as a way to zero out the probability of external trips if no transit is present.</t>
  </si>
  <si>
    <t>Section 1 - General Site Information</t>
  </si>
  <si>
    <t>MIXED USE TRIP GENERATION MODEL V4 - INPUT</t>
  </si>
  <si>
    <t>MIXED USE TRIP GENERATION MODEL V4 - CALCULATIONS</t>
  </si>
  <si>
    <t>Trip purpose distribution for each land use type</t>
  </si>
  <si>
    <t>Model Variables and Log Odds Calculations</t>
  </si>
  <si>
    <t>MIXED USE TRIP GENERATION MODEL V4 - RESULTS</t>
  </si>
  <si>
    <t>MIXED USE TRIP GENERATION MODEL V4 - FIXED MODEL PARAMETERS</t>
  </si>
  <si>
    <t>These include coefficients for the model equations, and NCHRP trip distribution factors.  These items cannot be changed by the user.</t>
  </si>
  <si>
    <t>could change.  Please keep this in mind if doing an analysis that involves "existing plus project" and "cumulative plus project" scenarios.</t>
  </si>
  <si>
    <t>Is the site in a Central Business District or TOD?</t>
  </si>
  <si>
    <t>Answering "Yes" will reduce the HBO and NHB purpose splits for retail use to those found in smaller stores.  The nature of the stores (large vs. small) should be the primary factor in the selection here.</t>
  </si>
  <si>
    <t>Trip Purpose Splits by Land Use Type</t>
  </si>
  <si>
    <t>Conversion Factors</t>
  </si>
  <si>
    <t>Use NCHRP?</t>
  </si>
  <si>
    <t>For each land use type, choose whether to use NCHRP 365 splits as outlined on the Mode Parameters tab.</t>
  </si>
  <si>
    <t>Source (if not using NCHRP):</t>
  </si>
  <si>
    <t>DAILY</t>
  </si>
  <si>
    <t>AM PEAK HOUR</t>
  </si>
  <si>
    <t>PM PEAK HOUR</t>
  </si>
  <si>
    <t>NOTE: There is no NCHRP split defined for schools, so the split has to be entered below.</t>
  </si>
  <si>
    <t>Residences</t>
  </si>
  <si>
    <t>Other non-residential (excluding schools)</t>
  </si>
  <si>
    <t>Schools</t>
  </si>
  <si>
    <t>If "Yes" is chosen, the percentages will not affect the results.  If "No," then enter the splits.</t>
  </si>
  <si>
    <t>NOTE: For residences, the NHB Attractions are automatically calculated as the remainder to ensure the total is 100%</t>
  </si>
  <si>
    <t>NOTE: For all other purposes, the NHB attractions are automatically set equal to the NHB productions, and the HBO attractions are automatically calculated as the remainder to ensure the</t>
  </si>
  <si>
    <t>total is 100%</t>
  </si>
  <si>
    <t>Percentages (formula is simpler - just using input splits)</t>
  </si>
  <si>
    <t>No NCHRP distribution</t>
  </si>
  <si>
    <t>The spreadsheet takes some off-site variables into account.  So the results may be different for different planning years, because the surrounding area</t>
  </si>
  <si>
    <t>The AM and PM peak hour results are not based on a validated peak hour model.  The site trip reduction data was only captured on a daily basis, and thus</t>
  </si>
  <si>
    <t>The overall trip reduction percentages will differ in the peak hours only to the extent that the trip purpose distribution differs.  The user is given the option to</t>
  </si>
  <si>
    <t>use NCHRP factors to account for this or to input trip purpose splits manually.</t>
  </si>
  <si>
    <t>the "predicted probabilities" (internal capture, walk, and transit) are the same in the peak hours as for daily for a given trip purpose.</t>
  </si>
  <si>
    <t>Section 2 - Variable Modeling Parameters</t>
  </si>
  <si>
    <t>Off-site variables</t>
  </si>
  <si>
    <t>AM and PM peak hour models</t>
  </si>
  <si>
    <t>Project Site Size Limitations</t>
  </si>
  <si>
    <t>Most Input cells are shaded this color of yellow.  All other cells are protected and should not be changed.</t>
  </si>
  <si>
    <t>All shaded cells are inputs</t>
  </si>
  <si>
    <t>Include employment within the MXD itself</t>
  </si>
  <si>
    <t>Employment within a 30 minute transit trip input variable</t>
  </si>
  <si>
    <t>What does this input affect?</t>
  </si>
  <si>
    <t>If "No", will apply average HH size factors (in section 2) to dwelling units below</t>
  </si>
  <si>
    <t>Average Household Size</t>
  </si>
  <si>
    <t>Directly affects trip internalization and mode splits.  Also used to compute site population if population isn't entered directly.</t>
  </si>
  <si>
    <t>Retail (note: if you use job units for retail, the spreadsheet will convert before applying trip rates, using the rate in section 2 which you can change)</t>
  </si>
  <si>
    <t>Used to compute site employment for these land uses which are typically expressed in other units</t>
  </si>
  <si>
    <t>Used to compute site employment for any land uses which are entered in ksf rather than jobs.  For retail, if land uses are entered in jobs, it's used to convert back to ksf for trip generation calculations.</t>
  </si>
  <si>
    <t>This will affect the final results significantly.  Keep "Use NCHRP" on "Yes" unless you have reliable splits which have been QA/QCd</t>
  </si>
  <si>
    <t>This only affects VMT calculations</t>
  </si>
  <si>
    <t>NOTE: Only the average data line is being used, because the above percentages do not vary considerably among MPO types, and thus the user</t>
  </si>
  <si>
    <t>does not have to determine which MPO type the site is in.</t>
  </si>
  <si>
    <t>NCHRP Trips</t>
  </si>
  <si>
    <t>Note: The productions and attractions in the first table are not actual project Ps and As - they are based on NCHRP rates (not ITE) and are solely for the purposes of</t>
  </si>
  <si>
    <t>MODEL APPLICATION - TRIP ENDS ASSOCIATED WITH HOUSES IN THE PROJECT ONLY</t>
  </si>
  <si>
    <t>Totally External NHB Vehicle Productions for Project Household VMT Calcs</t>
  </si>
  <si>
    <t>Site-Specific Internalization</t>
  </si>
  <si>
    <t>2. There should be less than 5000 dwelling units and less than 3 million square feet of commercial use</t>
  </si>
  <si>
    <t>Developed Area (in acres)</t>
  </si>
  <si>
    <t>Include streets, ROW, parking lots, pocket parks.  Do not include open space, vacant lots.</t>
  </si>
  <si>
    <t>Count intersections either within or on the perimeter of the MXD.  Do not count most unsignalized driveways or alleys, but DO count major entrances to shopping areas or residential developments.</t>
  </si>
  <si>
    <t>Note: the 30 minutes is door-to-door, so should include estimations for home-to-transit and transit-to-work travel times,</t>
  </si>
  <si>
    <t>as well as average waiting time for the transit vehicle.</t>
  </si>
  <si>
    <t>Employment within a 30 minute Transit Trip (Door-to-door)</t>
  </si>
  <si>
    <t>Always check your results for reasonability and compare them to sites of similar nature with actual counts available</t>
  </si>
  <si>
    <t>In some cases one may wish to manually define site specific internalization due to unique situations. These include project sites that are isolated from surrounding communities</t>
  </si>
  <si>
    <t>or contain schools that mostly serve local residents. An experienced traffic engineer or planner will need to be consulted to determine the appropriate assumptions and calculations.</t>
  </si>
  <si>
    <t>All user inputs are on the "Input" tab and the results are on the "Results" tab</t>
  </si>
  <si>
    <t>Summary of Trips subject to model trip reductions</t>
  </si>
  <si>
    <t>This should only be used in unique situations such as if the project is isolated from surrounding communities or contains a school that primarily serves local residents</t>
  </si>
  <si>
    <t>assumptions and calculations.</t>
  </si>
  <si>
    <t>USAGE STATEMENT AND DISCLAIMER</t>
  </si>
  <si>
    <t>MIXED USE TRIP GENERATION MODEL v 4.0</t>
  </si>
  <si>
    <t>INSTRUCTIONS</t>
  </si>
  <si>
    <t>Although the method has been validated with respect to its ability to predict daily traffic generation for a variety of mixed-use development projects, the following qualifiers apply:</t>
  </si>
  <si>
    <t>The MXD spreadsheet tool is a functional implementation of the research and mathematical equaitons for the MXD method described in the accompanying documentation [1]. Fehr &amp; Peers offers the spreadsheet</t>
  </si>
  <si>
    <t>no responsibility for the conclusions or opinions inexperienced users may draw from the results produced.</t>
  </si>
  <si>
    <t>with respect to local data and to test the method's sensitivities to the particular combination of factors under study.</t>
  </si>
  <si>
    <t xml:space="preserve"> We make no representation or warranty concerning the tool's use by inexperienced individuals, nor concerning the tool's functionality or accuracy beyond the scope of the underlying research. We also bear</t>
  </si>
  <si>
    <t xml:space="preserve">While the research underlying the spreadsheet has been reviewed for general usefulness, it is the responsibility of the user to assess whether the research is relevant to and credible for his/her intended application. </t>
  </si>
  <si>
    <t>1. The accuracies of the model's predictions of travel by transit, walking, and bicycle modes have not been mathematically validated, and the model does not predict the amount of automobile travel occurring entirely within the MXD site.</t>
  </si>
  <si>
    <t>2. The accuracy of prediction of proportions of daily travel occurring during specific times of day has not been fully validated.</t>
  </si>
  <si>
    <t>3. The method was developed primarily to address the effects of mixed-use development and, though it does account for some effects of transit availability and regional accessibility, special care should be used when applying the method</t>
  </si>
  <si>
    <t>to transit-oriented developments (particularly adjacent to premium bus or rail service) and to development within the regional core (downtown).</t>
  </si>
  <si>
    <t>4. The method does not account for the effects of changing the spatial separation among uses within the development site, nor with changing the mix of specific types of retail and services uses such as entertainment, restaurant, and hotel.</t>
  </si>
  <si>
    <t>5. The spreadsheet has not been tested for all possible project descriptions, and the user assumes responsibility for checking and judging the reasonableness of the spreadsheet results for the specific case under study both against the</t>
  </si>
  <si>
    <t>results expected based on the documented equations and against the professional judgment of an expert in the transportation planning or engineering.</t>
  </si>
  <si>
    <r>
      <t xml:space="preserve">To ensure fully-informed use of the results produced by this method, the user is advised to present them alongside the results produced by the conventional methods (such as those in the Institute of Transportaiton Engineers </t>
    </r>
    <r>
      <rPr>
        <i/>
        <sz val="10"/>
        <rFont val="Arial"/>
        <family val="2"/>
      </rPr>
      <t>Trip Generation</t>
    </r>
    <r>
      <rPr>
        <sz val="10"/>
        <rFont val="Arial"/>
        <family val="2"/>
      </rPr>
      <t xml:space="preserve"> report</t>
    </r>
  </si>
  <si>
    <r>
      <t xml:space="preserve">and </t>
    </r>
    <r>
      <rPr>
        <i/>
        <sz val="10"/>
        <rFont val="Arial"/>
        <family val="2"/>
      </rPr>
      <t>Trip Generation</t>
    </r>
    <r>
      <rPr>
        <sz val="10"/>
        <rFont val="Arial"/>
        <family val="2"/>
      </rPr>
      <t xml:space="preserve"> Handbook) and to explain the professional judgment that leads to a conclusion that the MXD results as reasonable. Ideally, traffic counts at sites comparable to the proposed project should be performed.</t>
    </r>
  </si>
  <si>
    <r>
      <t xml:space="preserve">as a public service, for use by professional transportation planners and traffic engineers, experienced in the use of the Institute of Transportation Engineers </t>
    </r>
    <r>
      <rPr>
        <i/>
        <sz val="10"/>
        <rFont val="Arial"/>
        <family val="2"/>
      </rPr>
      <t>Trip Generation</t>
    </r>
    <r>
      <rPr>
        <sz val="10"/>
        <rFont val="Arial"/>
        <family val="2"/>
      </rPr>
      <t xml:space="preserve"> report and </t>
    </r>
    <r>
      <rPr>
        <i/>
        <sz val="10"/>
        <rFont val="Arial"/>
        <family val="2"/>
      </rPr>
      <t>Trip Generation Handbook</t>
    </r>
    <r>
      <rPr>
        <sz val="10"/>
        <rFont val="Arial"/>
        <family val="2"/>
      </rPr>
      <t>.</t>
    </r>
  </si>
  <si>
    <t xml:space="preserve">In cases that vary significantly from those used to develop and validate the method (as described in the accompanying documentation) [2], the user is advised to consult with an expert in the transportation planning/engineering field </t>
  </si>
  <si>
    <t>as to the method's relevance and performance.</t>
  </si>
  <si>
    <t>As is the case with all scientific and engineering methods, MXD will continue to undergo enhancement and updates in the future, and the current version may become out-of-date or superseded. It is the user's responsibility to verify that</t>
  </si>
  <si>
    <r>
      <t xml:space="preserve">the version in use is suitably up to date for his/her purposes. </t>
    </r>
    <r>
      <rPr>
        <b/>
        <sz val="10"/>
        <rFont val="Arial"/>
        <family val="2"/>
      </rPr>
      <t>For updates to the MXD spreadsheet, including versions that account for transit and peak hour validation please visit:</t>
    </r>
  </si>
  <si>
    <t>www.coolconnections.org</t>
  </si>
  <si>
    <t>2. Ibid.</t>
  </si>
  <si>
    <r>
      <t xml:space="preserve">1. "Traffic Generation by Mixed-Use Developments - A Six-Region Study Using Consistent Built Environment Measures", Ewing et al., </t>
    </r>
    <r>
      <rPr>
        <i/>
        <sz val="10"/>
        <rFont val="Arial"/>
        <family val="2"/>
      </rPr>
      <t>ASCE Journal of Urban Planning and Development</t>
    </r>
    <r>
      <rPr>
        <sz val="10"/>
        <rFont val="Arial"/>
        <family val="2"/>
      </rPr>
      <t>, September 2011.</t>
    </r>
  </si>
  <si>
    <t>It is also the user's responsibility to exercise professional judgment on appropriateness to the specific details of their subject case. In cases where this is in doubt, the user is advised to either apply alternate methods or to validate the MXD method</t>
  </si>
  <si>
    <t>MODEL UPDATES</t>
  </si>
  <si>
    <t xml:space="preserve"> It is the user's responsibility to verify that the version in use is suitably up to date for his/her purposes. </t>
  </si>
  <si>
    <t>Calculated from other two percentages</t>
  </si>
  <si>
    <t>from the "baseline" trips before applying the model.  The overall trip reduction percentage will still take these trips into account, and thus be a higher reduction than</t>
  </si>
  <si>
    <t>Total "Baseline" ITE Trips</t>
  </si>
  <si>
    <t>Baseline</t>
  </si>
  <si>
    <t>The results are combined to produce "adjusted" external vehicle trips.</t>
  </si>
  <si>
    <t>The spreadsheet uses regression model cofficients to calculate trip reduction percentages by trip purpose. ITE Trip Generation and NCHRP 365 factors are used to calculate "Baseline" project site trips by purpose.</t>
  </si>
  <si>
    <t>if you were just letting the model work on all the "baseline" trips. An experienced transportation engineer or planner should be consulted to determine the appropriate</t>
  </si>
  <si>
    <t>Adjusted</t>
  </si>
  <si>
    <t>Section 3 - Land Use Inputs</t>
  </si>
  <si>
    <t>As is the case with all scientific and engineering methods, this MXD tool will continue to undergo enhancement and updates in the future, and the current version may become out-of-date or superseded.</t>
  </si>
  <si>
    <t>MXD</t>
  </si>
  <si>
    <t>mixed use development</t>
  </si>
  <si>
    <t>MXD tool</t>
  </si>
  <si>
    <t>For updates to the MXD tool spreadsheet, including versions that account for transit and peak hour validation please visit:</t>
  </si>
  <si>
    <t>ITE</t>
  </si>
  <si>
    <t>Institute of Transportation Engineers</t>
  </si>
  <si>
    <t>ASCE</t>
  </si>
  <si>
    <t>American Society of Civil Engineers</t>
  </si>
  <si>
    <t>NCHRP</t>
  </si>
  <si>
    <t>National Cooperative Highway Research Program</t>
  </si>
  <si>
    <t>ROW</t>
  </si>
  <si>
    <t>right-of-way</t>
  </si>
  <si>
    <t>TOD</t>
  </si>
  <si>
    <t>transit-oriented development</t>
  </si>
  <si>
    <t>EPA's Mixed-Use Development Trip Generation Tool</t>
  </si>
  <si>
    <t>home-based other trips</t>
  </si>
  <si>
    <t>non-home-based trips</t>
  </si>
  <si>
    <t>HH</t>
  </si>
  <si>
    <t>household</t>
  </si>
  <si>
    <t>ACS</t>
  </si>
  <si>
    <t>American Community Survey</t>
  </si>
  <si>
    <t>thousand square feet</t>
  </si>
  <si>
    <t>home-based work trips</t>
  </si>
  <si>
    <t>VMT</t>
  </si>
  <si>
    <t>vehicle-miles traveled</t>
  </si>
  <si>
    <t>dwelling unit</t>
  </si>
  <si>
    <t>Acronym</t>
  </si>
  <si>
    <t>Definition</t>
  </si>
  <si>
    <t>Baseline # of External Trips (ITE Model)</t>
  </si>
  <si>
    <t>%  External Trip Reduction 
(predicted by MXD Model)</t>
  </si>
  <si>
    <t># of Trips Reduced (predicted by MXD Model)</t>
  </si>
  <si>
    <t>MXD Model # of Vehicle Trips</t>
  </si>
  <si>
    <t>Adjusted # (MXD Model) of Vehicle Trips generated by Project Residences</t>
  </si>
  <si>
    <t>Total Trips Reduced</t>
  </si>
  <si>
    <t>Section 4 - VMT Inputs</t>
  </si>
  <si>
    <t xml:space="preserve">Average Trip Length in the Region </t>
  </si>
  <si>
    <t xml:space="preserve">Average Trip Length in the Traffic Analysis Zone </t>
  </si>
  <si>
    <t>Comparison of MXD forecasted daily trips to ITE forecasted daily trips</t>
  </si>
  <si>
    <t>Default National Factors - Can be changed for project based on site specific data, or regional values from census data, travel demand model, etc…</t>
  </si>
  <si>
    <t>Project / Scenario Specific Inputs</t>
  </si>
  <si>
    <t xml:space="preserve">Is Transit (bus or rail) present within the site or across the street? </t>
  </si>
  <si>
    <t>Daily VMT Reduced</t>
  </si>
  <si>
    <t>Total Daily VMT Avoided</t>
  </si>
  <si>
    <t>region's Metropolitan Planning Organization</t>
  </si>
  <si>
    <t>ITE Daily VMT</t>
  </si>
  <si>
    <t xml:space="preserve">MXD Daily Adjusted VMT </t>
  </si>
  <si>
    <t>MXD Reduction in Daily VMT 
(VMT Reduction from Trip Capture)</t>
  </si>
  <si>
    <t>as a percentage</t>
  </si>
  <si>
    <t>VMT Reduction from Trip Capture</t>
  </si>
  <si>
    <t>VMT Reduction from Shorter Trips
in TAZ relative to region</t>
  </si>
  <si>
    <t>This can be a difficult number to get - some suggestions are in the instructions tab in "Instructions."</t>
  </si>
  <si>
    <t>If local data is unavailable:</t>
  </si>
  <si>
    <t>1. Estimate the geographic area accessible by a 30-minute transit trip.</t>
  </si>
  <si>
    <t>2. Compare that geographic area to the Census' Longitudinal Employer-Household Dynamics data.
The Census LEHD program's "On the Map" allows users draw a geographic area within which the map will then calculate employment.  See http://onthemap.ces.census.gov/</t>
  </si>
  <si>
    <t>The U.S. Census American Community Survey is likely a good source. Go to the link at right, and search "Community Facts" for your community.  The vehicles per household data is within the housing statistics of the ACS.</t>
  </si>
  <si>
    <t>http://factfinder2.census.gov/faces/nav/jsf/pages/index.xhtml</t>
  </si>
  <si>
    <t>Lanzit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</si>
</sst>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00"/>
    <numFmt numFmtId="167" formatCode="_(* #,##0_);_(* \(#,##0\);_(* &quot;-&quot;??_);_(@_)"/>
  </numFmts>
  <fonts count="25" x14ac:knownFonts="1">
    <font>
      <sz val="10"/>
      <name val="Arial"/>
    </font>
    <font>
      <sz val="10"/>
      <name val="Arial"/>
      <family val="2"/>
    </font>
    <font>
      <b/>
      <sz val="10"/>
      <name val="Arial"/>
      <family val="2"/>
    </font>
    <font>
      <sz val="10"/>
      <name val="Arial"/>
      <family val="2"/>
    </font>
    <font>
      <b/>
      <u/>
      <sz val="10"/>
      <name val="Arial"/>
      <family val="2"/>
    </font>
    <font>
      <sz val="10"/>
      <color indexed="10"/>
      <name val="Arial"/>
      <family val="2"/>
    </font>
    <font>
      <u/>
      <sz val="10"/>
      <name val="Arial"/>
      <family val="2"/>
    </font>
    <font>
      <u/>
      <sz val="10"/>
      <name val="Arial"/>
      <family val="2"/>
    </font>
    <font>
      <b/>
      <sz val="8"/>
      <color indexed="81"/>
      <name val="Tahoma"/>
      <family val="2"/>
    </font>
    <font>
      <sz val="8"/>
      <color indexed="81"/>
      <name val="Tahoma"/>
      <family val="2"/>
    </font>
    <font>
      <sz val="8"/>
      <name val="Arial"/>
      <family val="2"/>
    </font>
    <font>
      <sz val="10"/>
      <color indexed="10"/>
      <name val="Arial"/>
      <family val="2"/>
    </font>
    <font>
      <i/>
      <sz val="10"/>
      <name val="Arial"/>
      <family val="2"/>
    </font>
    <font>
      <i/>
      <sz val="10"/>
      <color indexed="10"/>
      <name val="Arial"/>
      <family val="2"/>
    </font>
    <font>
      <sz val="10"/>
      <color indexed="12"/>
      <name val="Arial"/>
      <family val="2"/>
    </font>
    <font>
      <b/>
      <u/>
      <sz val="16"/>
      <name val="Arial"/>
      <family val="2"/>
    </font>
    <font>
      <b/>
      <sz val="16"/>
      <name val="Arial"/>
      <family val="2"/>
    </font>
    <font>
      <b/>
      <sz val="10"/>
      <color indexed="10"/>
      <name val="Arial"/>
      <family val="2"/>
    </font>
    <font>
      <u/>
      <sz val="10"/>
      <color theme="10"/>
      <name val="Arial"/>
      <family val="2"/>
    </font>
    <font>
      <b/>
      <sz val="14"/>
      <name val="Arial"/>
      <family val="2"/>
    </font>
    <font>
      <sz val="14"/>
      <name val="Arial"/>
      <family val="2"/>
    </font>
    <font>
      <sz val="12"/>
      <name val="Arial"/>
      <family val="2"/>
    </font>
    <font>
      <b/>
      <sz val="12"/>
      <name val="Arial"/>
      <family val="2"/>
    </font>
    <font>
      <u/>
      <sz val="12"/>
      <color theme="10"/>
      <name val="Arial"/>
      <family val="2"/>
    </font>
    <font>
      <sz val="10"/>
      <name val="Arial"/>
      <family val="2"/>
    </font>
  </fonts>
  <fills count="10">
    <fill>
      <patternFill patternType="none"/>
    </fill>
    <fill>
      <patternFill patternType="gray125"/>
    </fill>
    <fill>
      <patternFill patternType="solid">
        <fgColor indexed="13"/>
        <bgColor indexed="64"/>
      </patternFill>
    </fill>
    <fill>
      <patternFill patternType="solid">
        <fgColor indexed="8"/>
        <bgColor indexed="64"/>
      </patternFill>
    </fill>
    <fill>
      <patternFill patternType="solid">
        <fgColor indexed="45"/>
        <bgColor indexed="64"/>
      </patternFill>
    </fill>
    <fill>
      <patternFill patternType="solid">
        <fgColor indexed="41"/>
        <bgColor indexed="64"/>
      </patternFill>
    </fill>
    <fill>
      <patternFill patternType="solid">
        <fgColor rgb="FFCCFFFF"/>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0" fontId="18" fillId="0" borderId="0" applyNumberFormat="0" applyFill="0" applyBorder="0" applyAlignment="0" applyProtection="0">
      <alignment vertical="top"/>
      <protection locked="0"/>
    </xf>
    <xf numFmtId="43" fontId="24" fillId="0" borderId="0" applyFont="0" applyFill="0" applyBorder="0" applyAlignment="0" applyProtection="0"/>
  </cellStyleXfs>
  <cellXfs count="193">
    <xf numFmtId="0" fontId="0" fillId="0" borderId="0" xfId="0"/>
    <xf numFmtId="0" fontId="0" fillId="0" borderId="0" xfId="0" applyProtection="1"/>
    <xf numFmtId="0" fontId="2" fillId="0" borderId="0" xfId="0" applyFont="1" applyProtection="1"/>
    <xf numFmtId="0" fontId="3" fillId="0" borderId="0" xfId="0" applyFont="1" applyAlignment="1" applyProtection="1"/>
    <xf numFmtId="0" fontId="4" fillId="0" borderId="0" xfId="0" applyFont="1" applyAlignment="1" applyProtection="1">
      <alignment wrapText="1"/>
    </xf>
    <xf numFmtId="0" fontId="4" fillId="0" borderId="0" xfId="0" applyFont="1" applyProtection="1"/>
    <xf numFmtId="0" fontId="0" fillId="0" borderId="0" xfId="0" applyFill="1" applyProtection="1"/>
    <xf numFmtId="0" fontId="1" fillId="0" borderId="0" xfId="0" applyFont="1" applyProtection="1"/>
    <xf numFmtId="0" fontId="0" fillId="2" borderId="0" xfId="0" applyFill="1" applyProtection="1">
      <protection locked="0"/>
    </xf>
    <xf numFmtId="0" fontId="0" fillId="0" borderId="0" xfId="0" applyAlignment="1" applyProtection="1"/>
    <xf numFmtId="0" fontId="3" fillId="0" borderId="0" xfId="0" applyFont="1" applyProtection="1"/>
    <xf numFmtId="2" fontId="3" fillId="2" borderId="0" xfId="0" applyNumberFormat="1" applyFont="1" applyFill="1" applyAlignment="1" applyProtection="1">
      <alignment horizontal="center"/>
      <protection locked="0"/>
    </xf>
    <xf numFmtId="3" fontId="0" fillId="2" borderId="0" xfId="0" applyNumberFormat="1" applyFill="1" applyProtection="1">
      <protection locked="0"/>
    </xf>
    <xf numFmtId="2" fontId="3" fillId="0" borderId="0" xfId="0" applyNumberFormat="1" applyFont="1" applyFill="1" applyProtection="1"/>
    <xf numFmtId="0" fontId="3" fillId="0" borderId="0" xfId="0" applyFont="1" applyAlignment="1" applyProtection="1">
      <alignment horizontal="right"/>
    </xf>
    <xf numFmtId="0" fontId="5" fillId="0" borderId="0" xfId="0" applyFont="1" applyAlignment="1" applyProtection="1"/>
    <xf numFmtId="0" fontId="3" fillId="0" borderId="0" xfId="0" applyFont="1" applyAlignment="1" applyProtection="1">
      <alignment horizontal="left" wrapText="1"/>
    </xf>
    <xf numFmtId="0" fontId="0" fillId="0" borderId="0" xfId="0" applyAlignment="1" applyProtection="1">
      <alignment wrapText="1"/>
    </xf>
    <xf numFmtId="0" fontId="2" fillId="0" borderId="0" xfId="0" applyFont="1" applyAlignment="1" applyProtection="1">
      <alignment horizontal="center" wrapText="1"/>
    </xf>
    <xf numFmtId="0" fontId="2" fillId="0" borderId="0" xfId="0" applyFont="1" applyAlignment="1" applyProtection="1">
      <alignment horizontal="right" wrapText="1"/>
    </xf>
    <xf numFmtId="0" fontId="0" fillId="3" borderId="0" xfId="0" applyFill="1" applyProtection="1"/>
    <xf numFmtId="1" fontId="0" fillId="2" borderId="0" xfId="0" applyNumberFormat="1" applyFill="1" applyProtection="1">
      <protection locked="0"/>
    </xf>
    <xf numFmtId="1" fontId="0" fillId="0" borderId="0" xfId="0" applyNumberFormat="1" applyProtection="1"/>
    <xf numFmtId="0" fontId="2" fillId="0" borderId="0" xfId="0" applyFont="1" applyAlignment="1" applyProtection="1">
      <alignment wrapText="1"/>
    </xf>
    <xf numFmtId="0" fontId="0" fillId="0" borderId="0" xfId="0" applyFill="1" applyAlignment="1" applyProtection="1">
      <alignment horizontal="center"/>
    </xf>
    <xf numFmtId="0" fontId="0" fillId="0" borderId="0" xfId="0" applyAlignment="1" applyProtection="1">
      <alignment horizontal="right"/>
    </xf>
    <xf numFmtId="0" fontId="0" fillId="0" borderId="0" xfId="0" applyFont="1" applyAlignment="1" applyProtection="1">
      <alignment horizontal="right"/>
    </xf>
    <xf numFmtId="1" fontId="0" fillId="0" borderId="0" xfId="0" applyNumberFormat="1" applyFill="1" applyProtection="1"/>
    <xf numFmtId="0" fontId="2" fillId="0" borderId="0" xfId="0" applyFont="1" applyAlignment="1" applyProtection="1"/>
    <xf numFmtId="0" fontId="2" fillId="0" borderId="0" xfId="0" applyFont="1" applyFill="1" applyProtection="1"/>
    <xf numFmtId="164" fontId="0" fillId="0" borderId="0" xfId="0" applyNumberFormat="1" applyProtection="1"/>
    <xf numFmtId="1" fontId="2" fillId="0" borderId="0" xfId="0" applyNumberFormat="1" applyFont="1" applyFill="1" applyProtection="1"/>
    <xf numFmtId="1" fontId="2" fillId="0" borderId="0" xfId="0" applyNumberFormat="1" applyFont="1" applyProtection="1"/>
    <xf numFmtId="3" fontId="0" fillId="0" borderId="0" xfId="0" applyNumberFormat="1" applyProtection="1"/>
    <xf numFmtId="0" fontId="3" fillId="0" borderId="0" xfId="0" applyFont="1" applyBorder="1" applyAlignment="1" applyProtection="1">
      <alignment horizontal="left" vertical="center" wrapText="1"/>
    </xf>
    <xf numFmtId="0" fontId="7" fillId="0" borderId="0" xfId="0" applyFont="1" applyProtection="1"/>
    <xf numFmtId="0" fontId="7" fillId="0" borderId="0" xfId="0" applyFont="1" applyAlignment="1" applyProtection="1">
      <alignment horizontal="center"/>
    </xf>
    <xf numFmtId="2" fontId="0" fillId="0" borderId="0" xfId="0" applyNumberFormat="1" applyProtection="1"/>
    <xf numFmtId="2" fontId="2" fillId="0" borderId="0" xfId="0" applyNumberFormat="1" applyFont="1" applyProtection="1"/>
    <xf numFmtId="0" fontId="0" fillId="0" borderId="0" xfId="0" applyFill="1"/>
    <xf numFmtId="1" fontId="3" fillId="0" borderId="0" xfId="0" applyNumberFormat="1" applyFont="1" applyProtection="1"/>
    <xf numFmtId="10" fontId="1" fillId="0" borderId="0" xfId="1" applyNumberFormat="1" applyFill="1" applyProtection="1"/>
    <xf numFmtId="10" fontId="1" fillId="0" borderId="0" xfId="1" applyNumberFormat="1" applyProtection="1"/>
    <xf numFmtId="9" fontId="2" fillId="0" borderId="0" xfId="1" applyFont="1" applyFill="1" applyProtection="1"/>
    <xf numFmtId="165" fontId="1" fillId="0" borderId="0" xfId="1" applyNumberFormat="1" applyFill="1" applyBorder="1" applyProtection="1"/>
    <xf numFmtId="165" fontId="3" fillId="0" borderId="0" xfId="1" applyNumberFormat="1" applyFont="1" applyProtection="1"/>
    <xf numFmtId="0" fontId="0" fillId="0" borderId="0" xfId="0" quotePrefix="1" applyProtection="1"/>
    <xf numFmtId="0" fontId="0" fillId="0" borderId="0" xfId="0" applyAlignment="1" applyProtection="1">
      <alignment horizontal="center"/>
    </xf>
    <xf numFmtId="0" fontId="7" fillId="0" borderId="0" xfId="0" applyFont="1" applyAlignment="1" applyProtection="1"/>
    <xf numFmtId="49" fontId="0" fillId="0" borderId="0" xfId="0" applyNumberFormat="1" applyAlignment="1" applyProtection="1">
      <alignment horizontal="left" wrapText="1"/>
    </xf>
    <xf numFmtId="0" fontId="6" fillId="0" borderId="0" xfId="0" applyFont="1" applyAlignment="1" applyProtection="1">
      <alignment horizontal="center"/>
    </xf>
    <xf numFmtId="4" fontId="0" fillId="0" borderId="0" xfId="0" applyNumberFormat="1" applyProtection="1"/>
    <xf numFmtId="166" fontId="0" fillId="0" borderId="0" xfId="0" applyNumberFormat="1" applyProtection="1"/>
    <xf numFmtId="2" fontId="5" fillId="0" borderId="0" xfId="0" applyNumberFormat="1" applyFont="1" applyProtection="1"/>
    <xf numFmtId="1" fontId="5" fillId="0" borderId="0" xfId="0" applyNumberFormat="1" applyFont="1" applyFill="1" applyProtection="1"/>
    <xf numFmtId="9" fontId="0" fillId="0" borderId="0" xfId="0" applyNumberFormat="1" applyAlignment="1" applyProtection="1">
      <alignment wrapText="1"/>
    </xf>
    <xf numFmtId="10" fontId="0" fillId="0" borderId="0" xfId="1" applyNumberFormat="1" applyFont="1" applyProtection="1"/>
    <xf numFmtId="9" fontId="0" fillId="0" borderId="0" xfId="1" applyFont="1" applyProtection="1"/>
    <xf numFmtId="0" fontId="4" fillId="0" borderId="0" xfId="0" applyFont="1" applyBorder="1" applyAlignment="1" applyProtection="1">
      <alignment horizontal="left" vertical="center" wrapText="1"/>
    </xf>
    <xf numFmtId="165" fontId="0" fillId="0" borderId="0" xfId="1" applyNumberFormat="1" applyFont="1" applyProtection="1"/>
    <xf numFmtId="0" fontId="1" fillId="0" borderId="0" xfId="0" applyFont="1" applyFill="1" applyProtection="1"/>
    <xf numFmtId="0" fontId="1" fillId="0" borderId="0" xfId="0" applyFont="1" applyFill="1" applyAlignment="1" applyProtection="1">
      <alignment wrapText="1"/>
    </xf>
    <xf numFmtId="0" fontId="5" fillId="0" borderId="0" xfId="0" applyFont="1" applyFill="1" applyAlignment="1" applyProtection="1">
      <alignment wrapText="1"/>
    </xf>
    <xf numFmtId="0" fontId="5" fillId="0" borderId="0" xfId="0" applyFont="1" applyFill="1" applyBorder="1" applyProtection="1"/>
    <xf numFmtId="0" fontId="0" fillId="2" borderId="0" xfId="0" applyFill="1" applyAlignment="1" applyProtection="1">
      <alignment horizontal="center"/>
      <protection locked="0"/>
    </xf>
    <xf numFmtId="0" fontId="2" fillId="0" borderId="0" xfId="0" applyFont="1" applyFill="1" applyAlignment="1" applyProtection="1">
      <alignment horizontal="center" wrapText="1"/>
    </xf>
    <xf numFmtId="0" fontId="3" fillId="0" borderId="0" xfId="0" applyFont="1" applyFill="1" applyProtection="1"/>
    <xf numFmtId="0" fontId="3" fillId="0" borderId="0" xfId="0" applyFont="1" applyFill="1" applyAlignment="1" applyProtection="1">
      <alignment horizontal="center" wrapText="1"/>
    </xf>
    <xf numFmtId="0" fontId="3" fillId="0" borderId="0" xfId="0" applyFont="1" applyFill="1" applyAlignment="1" applyProtection="1">
      <alignment horizontal="center"/>
    </xf>
    <xf numFmtId="0" fontId="3" fillId="3" borderId="0" xfId="0" applyFont="1" applyFill="1" applyProtection="1"/>
    <xf numFmtId="164" fontId="3" fillId="0" borderId="0" xfId="0" applyNumberFormat="1" applyFont="1" applyFill="1" applyProtection="1"/>
    <xf numFmtId="164" fontId="3" fillId="3" borderId="0" xfId="0" applyNumberFormat="1" applyFont="1" applyFill="1" applyProtection="1"/>
    <xf numFmtId="1" fontId="0" fillId="2" borderId="0" xfId="0" applyNumberFormat="1" applyFill="1" applyAlignment="1" applyProtection="1">
      <alignment horizontal="center"/>
      <protection locked="0"/>
    </xf>
    <xf numFmtId="3" fontId="0" fillId="0" borderId="0" xfId="0" applyNumberFormat="1" applyAlignment="1" applyProtection="1">
      <alignment horizontal="center"/>
    </xf>
    <xf numFmtId="0" fontId="12" fillId="0" borderId="0" xfId="0" applyFont="1" applyProtection="1"/>
    <xf numFmtId="0" fontId="0" fillId="0" borderId="0" xfId="0" applyFill="1" applyAlignment="1" applyProtection="1"/>
    <xf numFmtId="0" fontId="3" fillId="0" borderId="0" xfId="0" applyFont="1" applyAlignment="1" applyProtection="1">
      <alignment wrapText="1"/>
    </xf>
    <xf numFmtId="0" fontId="0" fillId="0" borderId="0" xfId="0" applyAlignment="1" applyProtection="1">
      <alignment horizontal="center" wrapText="1"/>
    </xf>
    <xf numFmtId="0" fontId="2" fillId="0" borderId="0" xfId="0" applyFont="1" applyAlignment="1" applyProtection="1">
      <alignment horizontal="left" wrapText="1"/>
    </xf>
    <xf numFmtId="3" fontId="14" fillId="0" borderId="0" xfId="0" applyNumberFormat="1" applyFont="1" applyAlignment="1" applyProtection="1">
      <alignment horizontal="center"/>
    </xf>
    <xf numFmtId="1" fontId="5" fillId="0" borderId="0" xfId="0" applyNumberFormat="1" applyFont="1" applyProtection="1"/>
    <xf numFmtId="9" fontId="0" fillId="0" borderId="0" xfId="0" applyNumberFormat="1" applyFill="1" applyProtection="1"/>
    <xf numFmtId="165" fontId="1" fillId="0" borderId="0" xfId="1" applyNumberFormat="1" applyFont="1" applyFill="1" applyBorder="1" applyProtection="1"/>
    <xf numFmtId="1" fontId="0" fillId="4" borderId="0" xfId="0" applyNumberFormat="1" applyFill="1" applyProtection="1"/>
    <xf numFmtId="1" fontId="3" fillId="4" borderId="0" xfId="0" applyNumberFormat="1" applyFont="1" applyFill="1" applyProtection="1"/>
    <xf numFmtId="0" fontId="7" fillId="0" borderId="0" xfId="0" applyFont="1" applyFill="1" applyAlignment="1" applyProtection="1">
      <alignment horizontal="center"/>
    </xf>
    <xf numFmtId="0" fontId="2" fillId="0" borderId="0" xfId="0" applyFont="1" applyFill="1" applyAlignment="1" applyProtection="1">
      <alignment wrapText="1"/>
    </xf>
    <xf numFmtId="9" fontId="3" fillId="0" borderId="0" xfId="0" applyNumberFormat="1" applyFont="1" applyFill="1" applyProtection="1"/>
    <xf numFmtId="164" fontId="0" fillId="0" borderId="0" xfId="0" applyNumberFormat="1" applyFill="1" applyProtection="1"/>
    <xf numFmtId="2" fontId="0" fillId="0" borderId="0" xfId="0" applyNumberFormat="1" applyFill="1" applyProtection="1"/>
    <xf numFmtId="9" fontId="1" fillId="0" borderId="0" xfId="1" applyNumberFormat="1" applyFill="1" applyProtection="1"/>
    <xf numFmtId="3" fontId="2" fillId="0" borderId="0" xfId="0" applyNumberFormat="1" applyFont="1"/>
    <xf numFmtId="0" fontId="2" fillId="0" borderId="0" xfId="0" applyFont="1"/>
    <xf numFmtId="0" fontId="16" fillId="0" borderId="0" xfId="0" applyFont="1" applyProtection="1"/>
    <xf numFmtId="0" fontId="15" fillId="0" borderId="0" xfId="0" applyFont="1" applyProtection="1"/>
    <xf numFmtId="0" fontId="3" fillId="0" borderId="0" xfId="0" applyFont="1" applyFill="1" applyAlignment="1" applyProtection="1">
      <alignment horizontal="left" wrapText="1"/>
    </xf>
    <xf numFmtId="2" fontId="3" fillId="0" borderId="0" xfId="0" applyNumberFormat="1" applyFont="1" applyFill="1" applyProtection="1">
      <protection locked="0"/>
    </xf>
    <xf numFmtId="49" fontId="0" fillId="0" borderId="0" xfId="0" applyNumberFormat="1" applyFill="1" applyAlignment="1" applyProtection="1">
      <alignment horizontal="left" wrapText="1"/>
    </xf>
    <xf numFmtId="0" fontId="6" fillId="0" borderId="0" xfId="0" applyFont="1" applyProtection="1"/>
    <xf numFmtId="0" fontId="13" fillId="0" borderId="0" xfId="0" applyFont="1" applyFill="1" applyAlignment="1" applyProtection="1"/>
    <xf numFmtId="0" fontId="3" fillId="0" borderId="0" xfId="0" applyFont="1" applyFill="1" applyAlignment="1" applyProtection="1"/>
    <xf numFmtId="3" fontId="0" fillId="0" borderId="0" xfId="0" applyNumberFormat="1" applyFill="1" applyProtection="1"/>
    <xf numFmtId="0" fontId="15" fillId="0" borderId="0" xfId="0" applyFont="1" applyFill="1" applyProtection="1"/>
    <xf numFmtId="0" fontId="15" fillId="0" borderId="0" xfId="0" applyFont="1" applyFill="1" applyAlignment="1" applyProtection="1"/>
    <xf numFmtId="9" fontId="0" fillId="0" borderId="0" xfId="1" applyFont="1" applyFill="1" applyProtection="1"/>
    <xf numFmtId="1" fontId="3" fillId="3" borderId="0" xfId="0" applyNumberFormat="1" applyFont="1" applyFill="1" applyProtection="1"/>
    <xf numFmtId="10" fontId="0" fillId="0" borderId="0" xfId="1" applyNumberFormat="1" applyFont="1" applyFill="1" applyProtection="1"/>
    <xf numFmtId="0" fontId="16" fillId="0" borderId="0" xfId="0" applyFont="1" applyFill="1" applyProtection="1"/>
    <xf numFmtId="0" fontId="0" fillId="0" borderId="0" xfId="0" applyFill="1" applyAlignment="1" applyProtection="1">
      <alignment horizontal="center"/>
      <protection locked="0"/>
    </xf>
    <xf numFmtId="9" fontId="0" fillId="0" borderId="0" xfId="0" applyNumberFormat="1" applyProtection="1"/>
    <xf numFmtId="2" fontId="3" fillId="5" borderId="0" xfId="0" applyNumberFormat="1" applyFont="1" applyFill="1" applyProtection="1">
      <protection locked="0"/>
    </xf>
    <xf numFmtId="0" fontId="3" fillId="5" borderId="0" xfId="0" applyFont="1" applyFill="1" applyProtection="1"/>
    <xf numFmtId="3" fontId="0" fillId="0" borderId="0" xfId="0" applyNumberFormat="1" applyFill="1" applyProtection="1">
      <protection locked="0"/>
    </xf>
    <xf numFmtId="0" fontId="0" fillId="5" borderId="0" xfId="0" applyFill="1" applyProtection="1">
      <protection locked="0"/>
    </xf>
    <xf numFmtId="0" fontId="17" fillId="0" borderId="0" xfId="0" applyFont="1" applyProtection="1"/>
    <xf numFmtId="0" fontId="4" fillId="0" borderId="0" xfId="0" applyFont="1" applyFill="1" applyAlignment="1" applyProtection="1"/>
    <xf numFmtId="9" fontId="1" fillId="5" borderId="0" xfId="1" applyNumberFormat="1" applyFill="1" applyProtection="1">
      <protection locked="0"/>
    </xf>
    <xf numFmtId="9" fontId="0" fillId="5" borderId="0" xfId="1" applyFont="1" applyFill="1" applyProtection="1">
      <protection locked="0"/>
    </xf>
    <xf numFmtId="9" fontId="0" fillId="5" borderId="0" xfId="0" applyNumberFormat="1" applyFill="1" applyProtection="1">
      <protection locked="0"/>
    </xf>
    <xf numFmtId="165" fontId="0" fillId="5" borderId="0" xfId="0" applyNumberFormat="1" applyFill="1" applyProtection="1">
      <protection locked="0"/>
    </xf>
    <xf numFmtId="0" fontId="1" fillId="2" borderId="0" xfId="0" applyFont="1" applyFill="1" applyProtection="1">
      <protection locked="0"/>
    </xf>
    <xf numFmtId="0" fontId="3" fillId="0" borderId="0" xfId="0" applyFont="1" applyProtection="1"/>
    <xf numFmtId="1" fontId="0" fillId="0" borderId="0" xfId="0" applyNumberFormat="1" applyFill="1" applyProtection="1"/>
    <xf numFmtId="0" fontId="11" fillId="0" borderId="0" xfId="0" applyFont="1" applyProtection="1"/>
    <xf numFmtId="0" fontId="15" fillId="0" borderId="0" xfId="0" applyFont="1" applyFill="1" applyProtection="1"/>
    <xf numFmtId="0" fontId="19" fillId="0" borderId="0" xfId="0" applyFont="1" applyProtection="1"/>
    <xf numFmtId="0" fontId="18" fillId="0" borderId="0" xfId="2" applyAlignment="1" applyProtection="1">
      <protection locked="0"/>
    </xf>
    <xf numFmtId="0" fontId="23" fillId="0" borderId="0" xfId="2" applyFont="1" applyAlignment="1" applyProtection="1">
      <protection locked="0"/>
    </xf>
    <xf numFmtId="0" fontId="21" fillId="0" borderId="0" xfId="0" applyFont="1" applyProtection="1"/>
    <xf numFmtId="0" fontId="22" fillId="0" borderId="0" xfId="0" applyFont="1" applyProtection="1"/>
    <xf numFmtId="0" fontId="20" fillId="0" borderId="0" xfId="0" applyFont="1" applyProtection="1"/>
    <xf numFmtId="0" fontId="1" fillId="2" borderId="0" xfId="0" applyFont="1" applyFill="1" applyProtection="1"/>
    <xf numFmtId="0" fontId="2" fillId="0" borderId="0" xfId="0" applyFont="1" applyAlignment="1" applyProtection="1">
      <alignment wrapText="1"/>
    </xf>
    <xf numFmtId="0" fontId="15" fillId="0" borderId="0" xfId="0" applyFont="1" applyAlignment="1" applyProtection="1">
      <alignment wrapText="1"/>
    </xf>
    <xf numFmtId="9" fontId="2" fillId="0" borderId="0" xfId="1" applyFont="1" applyFill="1" applyAlignment="1" applyProtection="1">
      <alignment horizontal="center"/>
    </xf>
    <xf numFmtId="0" fontId="0" fillId="0" borderId="0" xfId="0" applyAlignment="1" applyProtection="1">
      <alignment horizontal="center"/>
    </xf>
    <xf numFmtId="0" fontId="15" fillId="0" borderId="0" xfId="0" applyFont="1" applyAlignment="1" applyProtection="1">
      <alignment wrapText="1"/>
    </xf>
    <xf numFmtId="164" fontId="0" fillId="6" borderId="0" xfId="0" applyNumberFormat="1" applyFill="1" applyProtection="1">
      <protection locked="0"/>
    </xf>
    <xf numFmtId="2" fontId="0" fillId="6" borderId="0" xfId="0" applyNumberFormat="1" applyFill="1" applyProtection="1">
      <protection locked="0"/>
    </xf>
    <xf numFmtId="0" fontId="0" fillId="6" borderId="0" xfId="0" applyFill="1" applyProtection="1">
      <protection locked="0"/>
    </xf>
    <xf numFmtId="0" fontId="1" fillId="0" borderId="0" xfId="0" applyFont="1" applyAlignment="1" applyProtection="1">
      <alignment horizontal="center"/>
    </xf>
    <xf numFmtId="0" fontId="1" fillId="0" borderId="0" xfId="0" applyFont="1"/>
    <xf numFmtId="0" fontId="12" fillId="0" borderId="0" xfId="0" applyFont="1" applyAlignment="1" applyProtection="1">
      <alignment horizontal="right"/>
    </xf>
    <xf numFmtId="1" fontId="12" fillId="0" borderId="0" xfId="0" applyNumberFormat="1" applyFont="1" applyFill="1" applyProtection="1"/>
    <xf numFmtId="0" fontId="1" fillId="0" borderId="0" xfId="0" applyFont="1" applyFill="1" applyAlignment="1" applyProtection="1">
      <alignment horizontal="right"/>
    </xf>
    <xf numFmtId="0" fontId="2" fillId="0" borderId="0" xfId="0" applyFont="1" applyAlignment="1" applyProtection="1">
      <alignment horizontal="left"/>
    </xf>
    <xf numFmtId="0" fontId="0" fillId="7" borderId="0" xfId="0" applyFill="1"/>
    <xf numFmtId="0" fontId="0" fillId="7" borderId="0" xfId="0" applyFill="1" applyProtection="1"/>
    <xf numFmtId="0" fontId="12" fillId="7" borderId="0" xfId="0" applyFont="1" applyFill="1" applyProtection="1"/>
    <xf numFmtId="0" fontId="2" fillId="0" borderId="0" xfId="0" applyFont="1" applyAlignment="1">
      <alignment wrapText="1"/>
    </xf>
    <xf numFmtId="0" fontId="0" fillId="0" borderId="0" xfId="0" applyAlignment="1" applyProtection="1">
      <alignment wrapText="1"/>
    </xf>
    <xf numFmtId="0" fontId="3" fillId="6" borderId="0" xfId="0" applyFont="1" applyFill="1" applyProtection="1"/>
    <xf numFmtId="0" fontId="2" fillId="2" borderId="0" xfId="0" applyFont="1" applyFill="1" applyProtection="1"/>
    <xf numFmtId="0" fontId="2" fillId="5" borderId="0" xfId="0" applyFont="1" applyFill="1" applyProtection="1"/>
    <xf numFmtId="0" fontId="0" fillId="6" borderId="0" xfId="0" applyFill="1" applyProtection="1"/>
    <xf numFmtId="167" fontId="0" fillId="0" borderId="0" xfId="3" applyNumberFormat="1" applyFont="1" applyProtection="1"/>
    <xf numFmtId="167" fontId="0" fillId="0" borderId="0" xfId="0" applyNumberFormat="1" applyProtection="1"/>
    <xf numFmtId="0" fontId="0" fillId="6" borderId="0" xfId="0" applyFill="1" applyAlignment="1" applyProtection="1">
      <alignment horizontal="center"/>
      <protection locked="0"/>
    </xf>
    <xf numFmtId="0" fontId="1" fillId="6" borderId="0" xfId="0" applyFont="1" applyFill="1" applyProtection="1">
      <protection locked="0"/>
    </xf>
    <xf numFmtId="1" fontId="0" fillId="6" borderId="0" xfId="0" applyNumberFormat="1" applyFill="1" applyProtection="1">
      <protection locked="0"/>
    </xf>
    <xf numFmtId="1" fontId="3" fillId="6" borderId="0" xfId="0" applyNumberFormat="1" applyFont="1" applyFill="1" applyProtection="1">
      <protection locked="0"/>
    </xf>
    <xf numFmtId="3" fontId="1" fillId="0" borderId="0" xfId="0" applyNumberFormat="1" applyFont="1" applyProtection="1"/>
    <xf numFmtId="0" fontId="0" fillId="9" borderId="0" xfId="0" applyFill="1" applyProtection="1"/>
    <xf numFmtId="0" fontId="0" fillId="9" borderId="0" xfId="0" applyFill="1"/>
    <xf numFmtId="0" fontId="0" fillId="8" borderId="0" xfId="0" applyFill="1" applyProtection="1">
      <protection locked="0"/>
    </xf>
    <xf numFmtId="0" fontId="1" fillId="0" borderId="0" xfId="0" applyFont="1" applyAlignment="1" applyProtection="1">
      <alignment wrapText="1"/>
    </xf>
    <xf numFmtId="0" fontId="0" fillId="0" borderId="0" xfId="0" applyAlignment="1" applyProtection="1"/>
    <xf numFmtId="0" fontId="1" fillId="0" borderId="0" xfId="0" applyFont="1" applyAlignment="1">
      <alignment wrapText="1"/>
    </xf>
    <xf numFmtId="0" fontId="0" fillId="0" borderId="0" xfId="0" applyAlignment="1">
      <alignment wrapText="1"/>
    </xf>
    <xf numFmtId="0" fontId="0" fillId="0" borderId="0" xfId="0" applyAlignment="1" applyProtection="1">
      <alignment wrapText="1"/>
    </xf>
    <xf numFmtId="0" fontId="0" fillId="0" borderId="0" xfId="0" applyAlignment="1" applyProtection="1">
      <alignment horizontal="center"/>
    </xf>
    <xf numFmtId="0" fontId="0" fillId="0" borderId="0" xfId="0" applyAlignment="1" applyProtection="1">
      <alignment horizontal="center" vertical="center" wrapText="1"/>
    </xf>
    <xf numFmtId="0" fontId="15" fillId="0" borderId="0" xfId="0" applyFont="1" applyFill="1" applyAlignment="1" applyProtection="1">
      <alignment wrapText="1"/>
    </xf>
    <xf numFmtId="49" fontId="1" fillId="0" borderId="0" xfId="0" applyNumberFormat="1" applyFont="1" applyAlignment="1" applyProtection="1">
      <alignment horizontal="left" wrapText="1"/>
    </xf>
    <xf numFmtId="49" fontId="0" fillId="0" borderId="0" xfId="0" applyNumberFormat="1" applyAlignment="1" applyProtection="1">
      <alignment horizontal="left" wrapText="1"/>
    </xf>
    <xf numFmtId="49" fontId="18" fillId="0" borderId="0" xfId="2" applyNumberFormat="1" applyAlignment="1" applyProtection="1">
      <alignment horizontal="left" wrapText="1"/>
    </xf>
    <xf numFmtId="0" fontId="2" fillId="0" borderId="0" xfId="0" applyFont="1" applyAlignment="1" applyProtection="1">
      <alignment wrapText="1"/>
    </xf>
    <xf numFmtId="0" fontId="2" fillId="0" borderId="0" xfId="0" applyFont="1" applyAlignment="1" applyProtection="1">
      <alignment horizontal="left" wrapText="1"/>
    </xf>
    <xf numFmtId="0" fontId="0" fillId="0" borderId="0" xfId="0" applyAlignment="1" applyProtection="1">
      <alignment horizontal="center" wrapText="1"/>
    </xf>
    <xf numFmtId="0" fontId="7" fillId="0" borderId="0" xfId="0" applyFont="1" applyAlignment="1" applyProtection="1">
      <alignment horizontal="center"/>
    </xf>
    <xf numFmtId="0" fontId="15" fillId="0" borderId="0" xfId="0" applyFont="1" applyBorder="1" applyAlignment="1" applyProtection="1">
      <alignment vertical="center" wrapText="1"/>
    </xf>
    <xf numFmtId="0" fontId="2" fillId="0" borderId="0" xfId="0" applyFont="1" applyAlignment="1" applyProtection="1"/>
    <xf numFmtId="0" fontId="0" fillId="0" borderId="0" xfId="0" applyAlignment="1"/>
    <xf numFmtId="0" fontId="2" fillId="0" borderId="0" xfId="0" applyFont="1" applyAlignment="1"/>
    <xf numFmtId="0" fontId="15" fillId="0" borderId="0" xfId="0" applyFont="1" applyAlignment="1"/>
    <xf numFmtId="0" fontId="4" fillId="0" borderId="0" xfId="0" applyFont="1" applyAlignment="1"/>
    <xf numFmtId="0" fontId="2" fillId="0" borderId="0" xfId="0" applyFont="1" applyAlignment="1" applyProtection="1">
      <alignment horizontal="center"/>
    </xf>
    <xf numFmtId="9" fontId="2" fillId="0" borderId="0" xfId="1" applyFont="1" applyFill="1" applyAlignment="1" applyProtection="1">
      <alignment horizontal="center"/>
    </xf>
    <xf numFmtId="0" fontId="2" fillId="0" borderId="0" xfId="0" applyFont="1" applyFill="1" applyAlignment="1" applyProtection="1">
      <alignment horizontal="center"/>
    </xf>
    <xf numFmtId="0" fontId="15" fillId="0" borderId="0" xfId="0" applyFont="1" applyAlignment="1" applyProtection="1">
      <alignment wrapText="1"/>
    </xf>
    <xf numFmtId="3" fontId="1" fillId="0" borderId="0" xfId="0" applyNumberFormat="1" applyFont="1" applyFill="1" applyAlignment="1" applyProtection="1">
      <alignment horizontal="right"/>
    </xf>
    <xf numFmtId="0" fontId="0" fillId="0" borderId="0" xfId="0" applyAlignment="1">
      <alignment horizontal="right"/>
    </xf>
    <xf numFmtId="0" fontId="1" fillId="0" borderId="0" xfId="0" applyFont="1" applyAlignment="1">
      <alignment horizontal="center"/>
    </xf>
  </cellXfs>
  <cellStyles count="4">
    <cellStyle name="Comma" xfId="3" builtinId="3"/>
    <cellStyle name="Hyperlink" xfId="2" builtinId="8"/>
    <cellStyle name="Normal" xfId="0" builtinId="0"/>
    <cellStyle name="Percent" xfId="1" builtinId="5"/>
  </cellStyles>
  <dxfs count="2">
    <dxf>
      <fill>
        <patternFill patternType="none">
          <bgColor indexed="65"/>
        </patternFill>
      </fill>
    </dxf>
    <dxf>
      <font>
        <condense val="0"/>
        <extend val="0"/>
        <color indexed="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ITE Trips</c:v>
          </c:tx>
          <c:invertIfNegative val="0"/>
          <c:cat>
            <c:strRef>
              <c:f>'Results '!$A$21:$A$23</c:f>
              <c:strCache>
                <c:ptCount val="3"/>
                <c:pt idx="0">
                  <c:v>Daily</c:v>
                </c:pt>
                <c:pt idx="1">
                  <c:v>AM Peak Hour</c:v>
                </c:pt>
                <c:pt idx="2">
                  <c:v>PM Peak Hour</c:v>
                </c:pt>
              </c:strCache>
            </c:strRef>
          </c:cat>
          <c:val>
            <c:numRef>
              <c:f>('Results '!$E$6,'Results '!$I$6,'Results '!$M$6)</c:f>
              <c:numCache>
                <c:formatCode>0</c:formatCode>
                <c:ptCount val="3"/>
                <c:pt idx="0">
                  <c:v>3894.9224648130144</c:v>
                </c:pt>
                <c:pt idx="1">
                  <c:v>279.07326992152792</c:v>
                </c:pt>
                <c:pt idx="2">
                  <c:v>487.59974598605589</c:v>
                </c:pt>
              </c:numCache>
            </c:numRef>
          </c:val>
          <c:extLst>
            <c:ext xmlns:c16="http://schemas.microsoft.com/office/drawing/2014/chart" uri="{C3380CC4-5D6E-409C-BE32-E72D297353CC}">
              <c16:uniqueId val="{00000000-61DC-47BD-A329-F879262B1976}"/>
            </c:ext>
          </c:extLst>
        </c:ser>
        <c:ser>
          <c:idx val="1"/>
          <c:order val="1"/>
          <c:tx>
            <c:v>MXD Trips</c:v>
          </c:tx>
          <c:invertIfNegative val="0"/>
          <c:cat>
            <c:strRef>
              <c:f>'Results '!$A$21:$A$23</c:f>
              <c:strCache>
                <c:ptCount val="3"/>
                <c:pt idx="0">
                  <c:v>Daily</c:v>
                </c:pt>
                <c:pt idx="1">
                  <c:v>AM Peak Hour</c:v>
                </c:pt>
                <c:pt idx="2">
                  <c:v>PM Peak Hour</c:v>
                </c:pt>
              </c:strCache>
            </c:strRef>
          </c:cat>
          <c:val>
            <c:numRef>
              <c:f>('Results '!$E$17,'Results '!$I$17,'Results '!$M$17)</c:f>
              <c:numCache>
                <c:formatCode>0</c:formatCode>
                <c:ptCount val="3"/>
                <c:pt idx="0">
                  <c:v>3652.8706245189646</c:v>
                </c:pt>
                <c:pt idx="1">
                  <c:v>267.44238327720012</c:v>
                </c:pt>
                <c:pt idx="2">
                  <c:v>459.87050128866861</c:v>
                </c:pt>
              </c:numCache>
            </c:numRef>
          </c:val>
          <c:extLst>
            <c:ext xmlns:c16="http://schemas.microsoft.com/office/drawing/2014/chart" uri="{C3380CC4-5D6E-409C-BE32-E72D297353CC}">
              <c16:uniqueId val="{00000001-61DC-47BD-A329-F879262B1976}"/>
            </c:ext>
          </c:extLst>
        </c:ser>
        <c:dLbls>
          <c:showLegendKey val="0"/>
          <c:showVal val="0"/>
          <c:showCatName val="0"/>
          <c:showSerName val="0"/>
          <c:showPercent val="0"/>
          <c:showBubbleSize val="0"/>
        </c:dLbls>
        <c:gapWidth val="150"/>
        <c:axId val="249288552"/>
        <c:axId val="361456312"/>
      </c:barChart>
      <c:catAx>
        <c:axId val="249288552"/>
        <c:scaling>
          <c:orientation val="minMax"/>
        </c:scaling>
        <c:delete val="0"/>
        <c:axPos val="b"/>
        <c:numFmt formatCode="General" sourceLinked="1"/>
        <c:majorTickMark val="out"/>
        <c:minorTickMark val="none"/>
        <c:tickLblPos val="nextTo"/>
        <c:crossAx val="361456312"/>
        <c:crosses val="autoZero"/>
        <c:auto val="1"/>
        <c:lblAlgn val="ctr"/>
        <c:lblOffset val="100"/>
        <c:noMultiLvlLbl val="0"/>
      </c:catAx>
      <c:valAx>
        <c:axId val="361456312"/>
        <c:scaling>
          <c:orientation val="minMax"/>
        </c:scaling>
        <c:delete val="0"/>
        <c:axPos val="l"/>
        <c:majorGridlines/>
        <c:numFmt formatCode="0" sourceLinked="1"/>
        <c:majorTickMark val="out"/>
        <c:minorTickMark val="none"/>
        <c:tickLblPos val="nextTo"/>
        <c:crossAx val="249288552"/>
        <c:crosses val="autoZero"/>
        <c:crossBetween val="between"/>
      </c:valAx>
    </c:plotArea>
    <c:legend>
      <c:legendPos val="r"/>
      <c:overlay val="0"/>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strRef>
              <c:f>'Results '!$O$5:$O$7</c:f>
              <c:strCache>
                <c:ptCount val="3"/>
                <c:pt idx="0">
                  <c:v>ITE Daily VMT</c:v>
                </c:pt>
                <c:pt idx="1">
                  <c:v>MXD Daily Adjusted VMT </c:v>
                </c:pt>
                <c:pt idx="2">
                  <c:v>MXD Reduction in Daily VMT 
(VMT Reduction from Trip Capture)</c:v>
                </c:pt>
              </c:strCache>
            </c:strRef>
          </c:cat>
          <c:val>
            <c:numRef>
              <c:f>'Results '!$P$5:$P$7</c:f>
              <c:numCache>
                <c:formatCode>General</c:formatCode>
                <c:ptCount val="3"/>
              </c:numCache>
            </c:numRef>
          </c:val>
          <c:extLst>
            <c:ext xmlns:c16="http://schemas.microsoft.com/office/drawing/2014/chart" uri="{C3380CC4-5D6E-409C-BE32-E72D297353CC}">
              <c16:uniqueId val="{00000000-E565-4351-9746-03B261DA3E9C}"/>
            </c:ext>
          </c:extLst>
        </c:ser>
        <c:ser>
          <c:idx val="1"/>
          <c:order val="1"/>
          <c:invertIfNegative val="0"/>
          <c:cat>
            <c:strRef>
              <c:f>'Results '!$O$5:$O$7</c:f>
              <c:strCache>
                <c:ptCount val="3"/>
                <c:pt idx="0">
                  <c:v>ITE Daily VMT</c:v>
                </c:pt>
                <c:pt idx="1">
                  <c:v>MXD Daily Adjusted VMT </c:v>
                </c:pt>
                <c:pt idx="2">
                  <c:v>MXD Reduction in Daily VMT 
(VMT Reduction from Trip Capture)</c:v>
                </c:pt>
              </c:strCache>
            </c:strRef>
          </c:cat>
          <c:val>
            <c:numRef>
              <c:f>'Results '!$T$5:$T$7</c:f>
              <c:numCache>
                <c:formatCode>#,##0</c:formatCode>
                <c:ptCount val="3"/>
                <c:pt idx="0">
                  <c:v>0</c:v>
                </c:pt>
                <c:pt idx="1">
                  <c:v>0</c:v>
                </c:pt>
                <c:pt idx="2">
                  <c:v>0</c:v>
                </c:pt>
              </c:numCache>
            </c:numRef>
          </c:val>
          <c:extLst>
            <c:ext xmlns:c16="http://schemas.microsoft.com/office/drawing/2014/chart" uri="{C3380CC4-5D6E-409C-BE32-E72D297353CC}">
              <c16:uniqueId val="{00000001-E565-4351-9746-03B261DA3E9C}"/>
            </c:ext>
          </c:extLst>
        </c:ser>
        <c:dLbls>
          <c:showLegendKey val="0"/>
          <c:showVal val="0"/>
          <c:showCatName val="0"/>
          <c:showSerName val="0"/>
          <c:showPercent val="0"/>
          <c:showBubbleSize val="0"/>
        </c:dLbls>
        <c:gapWidth val="150"/>
        <c:shape val="cylinder"/>
        <c:axId val="361457096"/>
        <c:axId val="361457488"/>
        <c:axId val="0"/>
      </c:bar3DChart>
      <c:catAx>
        <c:axId val="361457096"/>
        <c:scaling>
          <c:orientation val="minMax"/>
        </c:scaling>
        <c:delete val="0"/>
        <c:axPos val="b"/>
        <c:numFmt formatCode="General" sourceLinked="0"/>
        <c:majorTickMark val="out"/>
        <c:minorTickMark val="none"/>
        <c:tickLblPos val="nextTo"/>
        <c:crossAx val="361457488"/>
        <c:crosses val="autoZero"/>
        <c:auto val="1"/>
        <c:lblAlgn val="ctr"/>
        <c:lblOffset val="100"/>
        <c:noMultiLvlLbl val="0"/>
      </c:catAx>
      <c:valAx>
        <c:axId val="361457488"/>
        <c:scaling>
          <c:orientation val="minMax"/>
        </c:scaling>
        <c:delete val="0"/>
        <c:axPos val="l"/>
        <c:majorGridlines/>
        <c:numFmt formatCode="General" sourceLinked="1"/>
        <c:majorTickMark val="out"/>
        <c:minorTickMark val="none"/>
        <c:tickLblPos val="nextTo"/>
        <c:crossAx val="361457096"/>
        <c:crosses val="autoZero"/>
        <c:crossBetween val="between"/>
      </c:valAx>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fehrandpeers.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fehrandpeers.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fehrandpeers.com/" TargetMode="External"/></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13</xdr:col>
      <xdr:colOff>22412</xdr:colOff>
      <xdr:row>2</xdr:row>
      <xdr:rowOff>118782</xdr:rowOff>
    </xdr:to>
    <xdr:pic>
      <xdr:nvPicPr>
        <xdr:cNvPr id="3" name="Picture 2" descr="F_110105_N1_small.jpg">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stretch>
          <a:fillRect/>
        </a:stretch>
      </xdr:blipFill>
      <xdr:spPr>
        <a:xfrm>
          <a:off x="4840941" y="0"/>
          <a:ext cx="30480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571500</xdr:colOff>
      <xdr:row>0</xdr:row>
      <xdr:rowOff>0</xdr:rowOff>
    </xdr:from>
    <xdr:to>
      <xdr:col>9</xdr:col>
      <xdr:colOff>0</xdr:colOff>
      <xdr:row>2</xdr:row>
      <xdr:rowOff>118782</xdr:rowOff>
    </xdr:to>
    <xdr:pic>
      <xdr:nvPicPr>
        <xdr:cNvPr id="2" name="Picture 1" descr="F_110105_N1_small.jpg">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cstate="print"/>
        <a:stretch>
          <a:fillRect/>
        </a:stretch>
      </xdr:blipFill>
      <xdr:spPr>
        <a:xfrm>
          <a:off x="5726206" y="0"/>
          <a:ext cx="3048000" cy="533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67236</xdr:colOff>
      <xdr:row>0</xdr:row>
      <xdr:rowOff>0</xdr:rowOff>
    </xdr:from>
    <xdr:to>
      <xdr:col>11</xdr:col>
      <xdr:colOff>1</xdr:colOff>
      <xdr:row>2</xdr:row>
      <xdr:rowOff>17929</xdr:rowOff>
    </xdr:to>
    <xdr:pic>
      <xdr:nvPicPr>
        <xdr:cNvPr id="2" name="Picture 1" descr="F_110105_N1_small.jpg">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cstate="print"/>
        <a:stretch>
          <a:fillRect/>
        </a:stretch>
      </xdr:blipFill>
      <xdr:spPr>
        <a:xfrm>
          <a:off x="5950324" y="0"/>
          <a:ext cx="3048000" cy="533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49866</xdr:colOff>
      <xdr:row>2</xdr:row>
      <xdr:rowOff>137832</xdr:rowOff>
    </xdr:from>
    <xdr:to>
      <xdr:col>0</xdr:col>
      <xdr:colOff>4621866</xdr:colOff>
      <xdr:row>19</xdr:row>
      <xdr:rowOff>130549</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22</xdr:row>
      <xdr:rowOff>123825</xdr:rowOff>
    </xdr:from>
    <xdr:to>
      <xdr:col>0</xdr:col>
      <xdr:colOff>4657725</xdr:colOff>
      <xdr:row>39</xdr:row>
      <xdr:rowOff>114300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oolconnections.org/" TargetMode="External"/><Relationship Id="rId1" Type="http://schemas.openxmlformats.org/officeDocument/2006/relationships/hyperlink" Target="http://www.coolconnections.org/"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factfinder2.census.gov/faces/nav/jsf/pages/index.xhtml"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91"/>
  <sheetViews>
    <sheetView topLeftCell="A76" zoomScale="85" workbookViewId="0">
      <selection activeCell="H92" sqref="H92"/>
    </sheetView>
  </sheetViews>
  <sheetFormatPr defaultRowHeight="12.75" x14ac:dyDescent="0.2"/>
  <cols>
    <col min="1" max="16384" width="9.140625" style="1"/>
  </cols>
  <sheetData>
    <row r="1" spans="1:19" ht="20.25" x14ac:dyDescent="0.3">
      <c r="A1" s="93" t="s">
        <v>268</v>
      </c>
    </row>
    <row r="4" spans="1:19" ht="18" x14ac:dyDescent="0.25">
      <c r="A4" s="125" t="s">
        <v>294</v>
      </c>
    </row>
    <row r="5" spans="1:19" ht="12.75" customHeight="1" x14ac:dyDescent="0.25">
      <c r="A5" s="125"/>
    </row>
    <row r="6" spans="1:19" s="128" customFormat="1" ht="15" x14ac:dyDescent="0.2">
      <c r="A6" s="128" t="s">
        <v>305</v>
      </c>
    </row>
    <row r="7" spans="1:19" s="128" customFormat="1" ht="15" x14ac:dyDescent="0.2">
      <c r="A7" s="128" t="s">
        <v>295</v>
      </c>
    </row>
    <row r="8" spans="1:19" s="128" customFormat="1" ht="15.75" x14ac:dyDescent="0.25">
      <c r="A8" s="129" t="s">
        <v>309</v>
      </c>
      <c r="Q8" s="127" t="s">
        <v>290</v>
      </c>
      <c r="S8" s="127"/>
    </row>
    <row r="9" spans="1:19" ht="12.75" customHeight="1" x14ac:dyDescent="0.2"/>
    <row r="10" spans="1:19" s="130" customFormat="1" ht="18" x14ac:dyDescent="0.25">
      <c r="A10" s="125" t="s">
        <v>267</v>
      </c>
    </row>
    <row r="11" spans="1:19" s="130" customFormat="1" ht="12.75" customHeight="1" x14ac:dyDescent="0.25">
      <c r="A11" s="125"/>
    </row>
    <row r="12" spans="1:19" s="130" customFormat="1" ht="18" x14ac:dyDescent="0.25">
      <c r="A12" s="121" t="s">
        <v>271</v>
      </c>
    </row>
    <row r="13" spans="1:19" s="121" customFormat="1" x14ac:dyDescent="0.2">
      <c r="A13" s="121" t="s">
        <v>285</v>
      </c>
    </row>
    <row r="14" spans="1:19" s="121" customFormat="1" x14ac:dyDescent="0.2">
      <c r="A14" s="121" t="s">
        <v>274</v>
      </c>
    </row>
    <row r="15" spans="1:19" s="121" customFormat="1" x14ac:dyDescent="0.2">
      <c r="A15" s="121" t="s">
        <v>272</v>
      </c>
    </row>
    <row r="16" spans="1:19" s="121" customFormat="1" x14ac:dyDescent="0.2"/>
    <row r="17" spans="1:1" s="121" customFormat="1" x14ac:dyDescent="0.2">
      <c r="A17" s="121" t="s">
        <v>275</v>
      </c>
    </row>
    <row r="18" spans="1:1" s="121" customFormat="1" x14ac:dyDescent="0.2">
      <c r="A18" s="121" t="s">
        <v>293</v>
      </c>
    </row>
    <row r="19" spans="1:1" s="121" customFormat="1" x14ac:dyDescent="0.2">
      <c r="A19" s="121" t="s">
        <v>273</v>
      </c>
    </row>
    <row r="20" spans="1:1" s="121" customFormat="1" x14ac:dyDescent="0.2"/>
    <row r="21" spans="1:1" s="121" customFormat="1" x14ac:dyDescent="0.2">
      <c r="A21" s="121" t="s">
        <v>286</v>
      </c>
    </row>
    <row r="22" spans="1:1" s="121" customFormat="1" x14ac:dyDescent="0.2">
      <c r="A22" s="121" t="s">
        <v>287</v>
      </c>
    </row>
    <row r="23" spans="1:1" s="121" customFormat="1" x14ac:dyDescent="0.2"/>
    <row r="24" spans="1:1" s="121" customFormat="1" x14ac:dyDescent="0.2">
      <c r="A24" s="121" t="s">
        <v>270</v>
      </c>
    </row>
    <row r="25" spans="1:1" s="121" customFormat="1" x14ac:dyDescent="0.2"/>
    <row r="26" spans="1:1" s="121" customFormat="1" x14ac:dyDescent="0.2">
      <c r="A26" s="121" t="s">
        <v>276</v>
      </c>
    </row>
    <row r="27" spans="1:1" s="121" customFormat="1" x14ac:dyDescent="0.2"/>
    <row r="28" spans="1:1" s="121" customFormat="1" x14ac:dyDescent="0.2">
      <c r="A28" s="121" t="s">
        <v>277</v>
      </c>
    </row>
    <row r="29" spans="1:1" s="121" customFormat="1" x14ac:dyDescent="0.2"/>
    <row r="30" spans="1:1" s="121" customFormat="1" x14ac:dyDescent="0.2">
      <c r="A30" s="121" t="s">
        <v>278</v>
      </c>
    </row>
    <row r="31" spans="1:1" s="121" customFormat="1" x14ac:dyDescent="0.2">
      <c r="A31" s="121" t="s">
        <v>279</v>
      </c>
    </row>
    <row r="32" spans="1:1" s="121" customFormat="1" x14ac:dyDescent="0.2"/>
    <row r="33" spans="1:19" s="121" customFormat="1" x14ac:dyDescent="0.2">
      <c r="A33" s="121" t="s">
        <v>280</v>
      </c>
    </row>
    <row r="34" spans="1:19" s="121" customFormat="1" x14ac:dyDescent="0.2"/>
    <row r="35" spans="1:19" s="121" customFormat="1" x14ac:dyDescent="0.2">
      <c r="A35" s="121" t="s">
        <v>281</v>
      </c>
    </row>
    <row r="36" spans="1:19" s="121" customFormat="1" x14ac:dyDescent="0.2">
      <c r="A36" s="121" t="s">
        <v>282</v>
      </c>
    </row>
    <row r="37" spans="1:19" s="121" customFormat="1" x14ac:dyDescent="0.2"/>
    <row r="38" spans="1:19" s="121" customFormat="1" x14ac:dyDescent="0.2">
      <c r="A38" s="121" t="s">
        <v>283</v>
      </c>
    </row>
    <row r="39" spans="1:19" s="121" customFormat="1" x14ac:dyDescent="0.2">
      <c r="A39" s="121" t="s">
        <v>284</v>
      </c>
    </row>
    <row r="40" spans="1:19" s="121" customFormat="1" x14ac:dyDescent="0.2"/>
    <row r="41" spans="1:19" s="121" customFormat="1" x14ac:dyDescent="0.2">
      <c r="A41" s="121" t="s">
        <v>288</v>
      </c>
    </row>
    <row r="42" spans="1:19" s="121" customFormat="1" x14ac:dyDescent="0.2">
      <c r="A42" s="121" t="s">
        <v>289</v>
      </c>
      <c r="S42" s="126" t="s">
        <v>290</v>
      </c>
    </row>
    <row r="43" spans="1:19" s="121" customFormat="1" x14ac:dyDescent="0.2">
      <c r="S43" s="126"/>
    </row>
    <row r="44" spans="1:19" s="121" customFormat="1" x14ac:dyDescent="0.2">
      <c r="A44" s="121" t="s">
        <v>292</v>
      </c>
      <c r="S44" s="126"/>
    </row>
    <row r="45" spans="1:19" s="121" customFormat="1" x14ac:dyDescent="0.2">
      <c r="A45" s="121" t="s">
        <v>291</v>
      </c>
    </row>
    <row r="46" spans="1:19" s="6" customFormat="1" x14ac:dyDescent="0.2"/>
    <row r="47" spans="1:19" ht="18" x14ac:dyDescent="0.25">
      <c r="A47" s="125" t="s">
        <v>269</v>
      </c>
    </row>
    <row r="49" spans="1:16" x14ac:dyDescent="0.2">
      <c r="A49" s="1" t="s">
        <v>80</v>
      </c>
    </row>
    <row r="50" spans="1:16" x14ac:dyDescent="0.2">
      <c r="A50" s="1" t="s">
        <v>81</v>
      </c>
    </row>
    <row r="51" spans="1:16" x14ac:dyDescent="0.2">
      <c r="B51" s="1" t="s">
        <v>82</v>
      </c>
    </row>
    <row r="52" spans="1:16" x14ac:dyDescent="0.2">
      <c r="B52" s="1" t="s">
        <v>83</v>
      </c>
    </row>
    <row r="53" spans="1:16" x14ac:dyDescent="0.2">
      <c r="B53" s="1" t="s">
        <v>84</v>
      </c>
    </row>
    <row r="55" spans="1:16" x14ac:dyDescent="0.2">
      <c r="A55" s="121" t="s">
        <v>263</v>
      </c>
    </row>
    <row r="56" spans="1:16" x14ac:dyDescent="0.2">
      <c r="A56" s="121"/>
    </row>
    <row r="57" spans="1:16" x14ac:dyDescent="0.2">
      <c r="A57" s="7" t="s">
        <v>301</v>
      </c>
    </row>
    <row r="58" spans="1:16" x14ac:dyDescent="0.2">
      <c r="A58" s="7" t="s">
        <v>300</v>
      </c>
    </row>
    <row r="60" spans="1:16" x14ac:dyDescent="0.2">
      <c r="A60" s="131" t="s">
        <v>233</v>
      </c>
      <c r="B60" s="131"/>
      <c r="C60" s="131"/>
      <c r="D60" s="131"/>
      <c r="E60" s="131"/>
      <c r="F60" s="131"/>
      <c r="G60" s="131"/>
      <c r="H60" s="131"/>
      <c r="I60" s="131"/>
      <c r="J60" s="131"/>
      <c r="K60" s="131"/>
      <c r="L60" s="131"/>
      <c r="M60" s="131"/>
      <c r="N60" s="131"/>
      <c r="O60" s="131"/>
      <c r="P60" s="131"/>
    </row>
    <row r="62" spans="1:16" x14ac:dyDescent="0.2">
      <c r="A62" s="121" t="s">
        <v>260</v>
      </c>
    </row>
    <row r="64" spans="1:16" x14ac:dyDescent="0.2">
      <c r="A64" s="2" t="s">
        <v>230</v>
      </c>
    </row>
    <row r="65" spans="1:1" x14ac:dyDescent="0.2">
      <c r="A65" s="1" t="s">
        <v>224</v>
      </c>
    </row>
    <row r="66" spans="1:1" x14ac:dyDescent="0.2">
      <c r="A66" s="1" t="s">
        <v>203</v>
      </c>
    </row>
    <row r="68" spans="1:1" x14ac:dyDescent="0.2">
      <c r="A68" s="2" t="s">
        <v>231</v>
      </c>
    </row>
    <row r="69" spans="1:1" x14ac:dyDescent="0.2">
      <c r="A69" s="1" t="s">
        <v>225</v>
      </c>
    </row>
    <row r="70" spans="1:1" x14ac:dyDescent="0.2">
      <c r="A70" s="1" t="s">
        <v>228</v>
      </c>
    </row>
    <row r="71" spans="1:1" x14ac:dyDescent="0.2">
      <c r="A71" s="1" t="s">
        <v>226</v>
      </c>
    </row>
    <row r="72" spans="1:1" x14ac:dyDescent="0.2">
      <c r="A72" s="1" t="s">
        <v>227</v>
      </c>
    </row>
    <row r="74" spans="1:1" x14ac:dyDescent="0.2">
      <c r="A74" s="2" t="s">
        <v>252</v>
      </c>
    </row>
    <row r="75" spans="1:1" x14ac:dyDescent="0.2">
      <c r="A75" s="121" t="s">
        <v>261</v>
      </c>
    </row>
    <row r="76" spans="1:1" x14ac:dyDescent="0.2">
      <c r="A76" s="121" t="s">
        <v>262</v>
      </c>
    </row>
    <row r="78" spans="1:1" x14ac:dyDescent="0.2">
      <c r="A78" s="2" t="s">
        <v>232</v>
      </c>
    </row>
    <row r="79" spans="1:1" x14ac:dyDescent="0.2">
      <c r="A79" s="1" t="s">
        <v>130</v>
      </c>
    </row>
    <row r="81" spans="1:11" x14ac:dyDescent="0.2">
      <c r="B81" s="1" t="s">
        <v>131</v>
      </c>
    </row>
    <row r="82" spans="1:11" x14ac:dyDescent="0.2">
      <c r="B82" s="1" t="s">
        <v>253</v>
      </c>
    </row>
    <row r="84" spans="1:11" x14ac:dyDescent="0.2">
      <c r="A84" s="1" t="s">
        <v>132</v>
      </c>
    </row>
    <row r="86" spans="1:11" x14ac:dyDescent="0.2">
      <c r="A86" s="2" t="s">
        <v>236</v>
      </c>
    </row>
    <row r="87" spans="1:11" x14ac:dyDescent="0.2">
      <c r="A87" s="121" t="s">
        <v>257</v>
      </c>
    </row>
    <row r="88" spans="1:11" x14ac:dyDescent="0.2">
      <c r="A88" s="121" t="s">
        <v>258</v>
      </c>
    </row>
    <row r="89" spans="1:11" x14ac:dyDescent="0.2">
      <c r="A89" s="7" t="s">
        <v>357</v>
      </c>
    </row>
    <row r="90" spans="1:11" x14ac:dyDescent="0.2">
      <c r="B90" s="7" t="s">
        <v>358</v>
      </c>
    </row>
    <row r="91" spans="1:11" ht="40.5" customHeight="1" x14ac:dyDescent="0.2">
      <c r="B91" s="165" t="s">
        <v>359</v>
      </c>
      <c r="C91" s="166"/>
      <c r="D91" s="166"/>
      <c r="E91" s="166"/>
      <c r="F91" s="166"/>
      <c r="G91" s="166"/>
      <c r="H91" s="166"/>
      <c r="I91" s="166"/>
      <c r="J91" s="166"/>
      <c r="K91" s="166"/>
    </row>
  </sheetData>
  <sheetProtection selectLockedCells="1"/>
  <mergeCells count="1">
    <mergeCell ref="B91:K91"/>
  </mergeCells>
  <phoneticPr fontId="10" type="noConversion"/>
  <hyperlinks>
    <hyperlink ref="S42" r:id="rId1" xr:uid="{00000000-0004-0000-0000-000000000000}"/>
    <hyperlink ref="Q8" r:id="rId2" xr:uid="{00000000-0004-0000-0000-000001000000}"/>
  </hyperlinks>
  <pageMargins left="0.75" right="0.75" top="1" bottom="1" header="0.5" footer="0.5"/>
  <pageSetup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workbookViewId="0">
      <selection activeCell="B33" sqref="B33"/>
    </sheetView>
  </sheetViews>
  <sheetFormatPr defaultRowHeight="12.75" x14ac:dyDescent="0.2"/>
  <cols>
    <col min="1" max="1" width="12.140625" customWidth="1"/>
    <col min="2" max="2" width="45" bestFit="1" customWidth="1"/>
  </cols>
  <sheetData>
    <row r="1" spans="1:2" x14ac:dyDescent="0.2">
      <c r="A1" s="92" t="s">
        <v>332</v>
      </c>
      <c r="B1" s="92" t="s">
        <v>333</v>
      </c>
    </row>
    <row r="2" spans="1:2" x14ac:dyDescent="0.2">
      <c r="A2" s="141" t="s">
        <v>325</v>
      </c>
      <c r="B2" s="141" t="s">
        <v>326</v>
      </c>
    </row>
    <row r="3" spans="1:2" x14ac:dyDescent="0.2">
      <c r="A3" s="141" t="s">
        <v>312</v>
      </c>
      <c r="B3" s="141" t="s">
        <v>313</v>
      </c>
    </row>
    <row r="4" spans="1:2" x14ac:dyDescent="0.2">
      <c r="A4" s="141" t="s">
        <v>164</v>
      </c>
      <c r="B4" s="141" t="s">
        <v>331</v>
      </c>
    </row>
    <row r="5" spans="1:2" x14ac:dyDescent="0.2">
      <c r="A5" s="141" t="s">
        <v>41</v>
      </c>
      <c r="B5" s="141" t="s">
        <v>321</v>
      </c>
    </row>
    <row r="6" spans="1:2" x14ac:dyDescent="0.2">
      <c r="A6" s="141" t="s">
        <v>40</v>
      </c>
      <c r="B6" s="141" t="s">
        <v>328</v>
      </c>
    </row>
    <row r="7" spans="1:2" x14ac:dyDescent="0.2">
      <c r="A7" s="141" t="s">
        <v>323</v>
      </c>
      <c r="B7" s="141" t="s">
        <v>324</v>
      </c>
    </row>
    <row r="8" spans="1:2" x14ac:dyDescent="0.2">
      <c r="A8" s="141" t="s">
        <v>310</v>
      </c>
      <c r="B8" s="141" t="s">
        <v>311</v>
      </c>
    </row>
    <row r="9" spans="1:2" x14ac:dyDescent="0.2">
      <c r="A9" s="141" t="s">
        <v>151</v>
      </c>
      <c r="B9" s="141" t="s">
        <v>327</v>
      </c>
    </row>
    <row r="10" spans="1:2" x14ac:dyDescent="0.2">
      <c r="A10" s="141" t="s">
        <v>306</v>
      </c>
      <c r="B10" s="141" t="s">
        <v>307</v>
      </c>
    </row>
    <row r="11" spans="1:2" x14ac:dyDescent="0.2">
      <c r="A11" s="141" t="s">
        <v>308</v>
      </c>
      <c r="B11" s="141" t="s">
        <v>320</v>
      </c>
    </row>
    <row r="12" spans="1:2" x14ac:dyDescent="0.2">
      <c r="A12" s="141" t="s">
        <v>314</v>
      </c>
      <c r="B12" s="141" t="s">
        <v>315</v>
      </c>
    </row>
    <row r="13" spans="1:2" x14ac:dyDescent="0.2">
      <c r="A13" s="141" t="s">
        <v>42</v>
      </c>
      <c r="B13" s="141" t="s">
        <v>322</v>
      </c>
    </row>
    <row r="14" spans="1:2" x14ac:dyDescent="0.2">
      <c r="A14" s="141" t="s">
        <v>316</v>
      </c>
      <c r="B14" s="141" t="s">
        <v>317</v>
      </c>
    </row>
    <row r="15" spans="1:2" x14ac:dyDescent="0.2">
      <c r="A15" s="141" t="s">
        <v>318</v>
      </c>
      <c r="B15" s="141" t="s">
        <v>319</v>
      </c>
    </row>
    <row r="16" spans="1:2" x14ac:dyDescent="0.2">
      <c r="A16" s="141" t="s">
        <v>329</v>
      </c>
      <c r="B16" s="141" t="s">
        <v>330</v>
      </c>
    </row>
  </sheetData>
  <sortState xmlns:xlrd2="http://schemas.microsoft.com/office/spreadsheetml/2017/richdata2" ref="A1:B1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outlinePr summaryBelow="0"/>
  </sheetPr>
  <dimension ref="A1:AH147"/>
  <sheetViews>
    <sheetView topLeftCell="A40" zoomScale="85" workbookViewId="0">
      <selection activeCell="B25" sqref="B25"/>
    </sheetView>
  </sheetViews>
  <sheetFormatPr defaultRowHeight="12.75" outlineLevelRow="1" x14ac:dyDescent="0.2"/>
  <cols>
    <col min="1" max="1" width="48.42578125" customWidth="1"/>
    <col min="4" max="4" width="10.7109375" customWidth="1"/>
    <col min="5" max="6" width="12.42578125" bestFit="1" customWidth="1"/>
    <col min="7" max="7" width="11.28515625" customWidth="1"/>
    <col min="14" max="14" width="10.140625" customWidth="1"/>
    <col min="15" max="15" width="9.7109375" customWidth="1"/>
    <col min="17" max="17" width="10.140625" customWidth="1"/>
    <col min="20" max="20" width="9.85546875" customWidth="1"/>
    <col min="21" max="21" width="9.7109375" customWidth="1"/>
    <col min="23" max="23" width="9.28515625" customWidth="1"/>
    <col min="26" max="26" width="10" customWidth="1"/>
    <col min="27" max="27" width="9.7109375" customWidth="1"/>
    <col min="29" max="29" width="9.42578125" customWidth="1"/>
    <col min="31" max="31" width="11.140625" customWidth="1"/>
  </cols>
  <sheetData>
    <row r="1" spans="1:10" s="1" customFormat="1" ht="20.25" x14ac:dyDescent="0.3">
      <c r="A1" s="93" t="s">
        <v>196</v>
      </c>
    </row>
    <row r="2" spans="1:10" s="10" customFormat="1" x14ac:dyDescent="0.2">
      <c r="A2" s="2"/>
    </row>
    <row r="3" spans="1:10" s="10" customFormat="1" x14ac:dyDescent="0.2">
      <c r="A3" s="10" t="s">
        <v>234</v>
      </c>
      <c r="B3" s="66"/>
      <c r="C3" s="66"/>
    </row>
    <row r="4" spans="1:10" s="10" customFormat="1" ht="12" customHeight="1" x14ac:dyDescent="0.2">
      <c r="A4" s="152" t="s">
        <v>345</v>
      </c>
    </row>
    <row r="5" spans="1:10" s="1" customFormat="1" x14ac:dyDescent="0.2">
      <c r="A5" s="153" t="s">
        <v>344</v>
      </c>
      <c r="B5" s="111"/>
      <c r="C5" s="111"/>
      <c r="D5" s="111"/>
      <c r="E5" s="151"/>
      <c r="F5" s="151"/>
      <c r="G5" s="151"/>
      <c r="H5" s="151"/>
      <c r="I5" s="151"/>
      <c r="J5" s="154"/>
    </row>
    <row r="6" spans="1:10" s="1" customFormat="1" ht="12" customHeight="1" x14ac:dyDescent="0.3">
      <c r="A6" s="107"/>
    </row>
    <row r="7" spans="1:10" s="1" customFormat="1" ht="20.25" x14ac:dyDescent="0.3">
      <c r="A7" s="94" t="s">
        <v>195</v>
      </c>
    </row>
    <row r="8" spans="1:10" s="1" customFormat="1" ht="12" customHeight="1" outlineLevel="1" x14ac:dyDescent="0.3">
      <c r="A8" s="93"/>
    </row>
    <row r="9" spans="1:10" s="1" customFormat="1" ht="12.75" customHeight="1" outlineLevel="1" x14ac:dyDescent="0.2">
      <c r="A9" s="3" t="s">
        <v>1</v>
      </c>
      <c r="B9" s="120" t="s">
        <v>362</v>
      </c>
    </row>
    <row r="10" spans="1:10" s="1" customFormat="1" ht="12.75" customHeight="1" outlineLevel="1" x14ac:dyDescent="0.2">
      <c r="A10" s="3"/>
      <c r="B10" s="60"/>
    </row>
    <row r="11" spans="1:10" s="1" customFormat="1" outlineLevel="1" x14ac:dyDescent="0.2">
      <c r="A11" s="5" t="s">
        <v>2</v>
      </c>
      <c r="B11" s="54"/>
      <c r="C11" s="2" t="s">
        <v>0</v>
      </c>
    </row>
    <row r="12" spans="1:10" s="1" customFormat="1" outlineLevel="1" x14ac:dyDescent="0.2">
      <c r="A12" s="7" t="s">
        <v>254</v>
      </c>
      <c r="B12" s="8">
        <v>9</v>
      </c>
      <c r="C12" s="9" t="s">
        <v>255</v>
      </c>
    </row>
    <row r="13" spans="1:10" s="1" customFormat="1" outlineLevel="1" x14ac:dyDescent="0.2">
      <c r="A13" s="1" t="s">
        <v>3</v>
      </c>
      <c r="B13" s="8">
        <v>2</v>
      </c>
      <c r="C13" s="9" t="s">
        <v>256</v>
      </c>
    </row>
    <row r="14" spans="1:10" s="1" customFormat="1" ht="25.5" outlineLevel="1" x14ac:dyDescent="0.2">
      <c r="A14" s="150" t="s">
        <v>346</v>
      </c>
      <c r="B14" s="64" t="s">
        <v>185</v>
      </c>
      <c r="C14" s="15" t="s">
        <v>194</v>
      </c>
    </row>
    <row r="15" spans="1:10" s="1" customFormat="1" outlineLevel="1" x14ac:dyDescent="0.2">
      <c r="B15" s="6"/>
      <c r="C15" s="9"/>
    </row>
    <row r="16" spans="1:10" s="1" customFormat="1" outlineLevel="1" x14ac:dyDescent="0.2">
      <c r="A16" s="5" t="s">
        <v>4</v>
      </c>
      <c r="B16" s="6"/>
      <c r="C16" s="9"/>
    </row>
    <row r="17" spans="1:15" s="1" customFormat="1" ht="27" customHeight="1" outlineLevel="1" x14ac:dyDescent="0.2">
      <c r="A17" s="10" t="s">
        <v>204</v>
      </c>
      <c r="B17" s="11" t="s">
        <v>185</v>
      </c>
      <c r="C17" s="169" t="s">
        <v>205</v>
      </c>
      <c r="D17" s="169"/>
      <c r="E17" s="169"/>
      <c r="F17" s="169"/>
      <c r="G17" s="169"/>
      <c r="H17" s="169"/>
      <c r="I17" s="169"/>
      <c r="J17" s="169"/>
      <c r="K17" s="169"/>
      <c r="L17" s="169"/>
    </row>
    <row r="18" spans="1:15" s="1" customFormat="1" outlineLevel="1" x14ac:dyDescent="0.2">
      <c r="A18" s="1" t="s">
        <v>6</v>
      </c>
      <c r="B18" s="12">
        <v>5000</v>
      </c>
      <c r="C18" s="9" t="s">
        <v>7</v>
      </c>
    </row>
    <row r="19" spans="1:15" s="1" customFormat="1" outlineLevel="1" x14ac:dyDescent="0.2">
      <c r="A19" s="1" t="s">
        <v>259</v>
      </c>
      <c r="B19" s="12">
        <v>1000000</v>
      </c>
      <c r="C19" s="9" t="s">
        <v>235</v>
      </c>
    </row>
    <row r="20" spans="1:15" s="1" customFormat="1" outlineLevel="1" x14ac:dyDescent="0.2">
      <c r="B20" s="112"/>
      <c r="C20" s="9" t="s">
        <v>356</v>
      </c>
    </row>
    <row r="21" spans="1:15" s="1" customFormat="1" outlineLevel="1" x14ac:dyDescent="0.2">
      <c r="B21" s="13"/>
      <c r="C21" s="9"/>
    </row>
    <row r="22" spans="1:15" s="1" customFormat="1" outlineLevel="1" x14ac:dyDescent="0.2">
      <c r="A22" s="5" t="s">
        <v>8</v>
      </c>
      <c r="B22" s="13"/>
      <c r="C22" s="9"/>
    </row>
    <row r="23" spans="1:15" s="1" customFormat="1" outlineLevel="1" x14ac:dyDescent="0.2">
      <c r="A23" s="10" t="s">
        <v>9</v>
      </c>
      <c r="B23" s="11"/>
      <c r="C23" s="9" t="s">
        <v>238</v>
      </c>
    </row>
    <row r="24" spans="1:15" s="1" customFormat="1" outlineLevel="1" x14ac:dyDescent="0.2">
      <c r="A24" s="14" t="s">
        <v>10</v>
      </c>
      <c r="B24" s="160"/>
      <c r="C24" s="15" t="str">
        <f>IF(B23="Yes","Enter Population Here.  You still need to enter dwelling units below.","You do not need to enter population here.  It will be calculated based on dwelling units below and average HH sizes in section 2.")</f>
        <v>You do not need to enter population here.  It will be calculated based on dwelling units below and average HH sizes in section 2.</v>
      </c>
      <c r="D24" s="15"/>
      <c r="E24" s="15"/>
    </row>
    <row r="25" spans="1:15" s="1" customFormat="1" ht="51" customHeight="1" outlineLevel="1" x14ac:dyDescent="0.2">
      <c r="A25" s="16" t="s">
        <v>108</v>
      </c>
      <c r="B25" s="110">
        <v>1.85</v>
      </c>
      <c r="C25" s="173" t="s">
        <v>360</v>
      </c>
      <c r="D25" s="174"/>
      <c r="E25" s="174"/>
      <c r="F25" s="174"/>
      <c r="G25" s="174"/>
      <c r="H25" s="174"/>
      <c r="I25" s="174"/>
      <c r="J25" s="175" t="s">
        <v>361</v>
      </c>
      <c r="K25" s="174"/>
      <c r="L25" s="174"/>
      <c r="M25" s="174"/>
      <c r="N25" s="174"/>
      <c r="O25" s="174"/>
    </row>
    <row r="26" spans="1:15" s="1" customFormat="1" ht="12" customHeight="1" x14ac:dyDescent="0.2">
      <c r="A26" s="16"/>
      <c r="B26" s="96"/>
      <c r="C26" s="49"/>
      <c r="D26" s="49"/>
      <c r="E26" s="49"/>
      <c r="F26" s="49"/>
      <c r="G26" s="49"/>
      <c r="H26" s="49"/>
      <c r="I26" s="49"/>
      <c r="J26" s="49"/>
      <c r="K26" s="49"/>
      <c r="L26" s="49"/>
      <c r="M26" s="49"/>
      <c r="N26" s="49"/>
      <c r="O26" s="49"/>
    </row>
    <row r="27" spans="1:15" s="6" customFormat="1" ht="20.25" x14ac:dyDescent="0.3">
      <c r="A27" s="172" t="s">
        <v>229</v>
      </c>
      <c r="B27" s="172"/>
      <c r="C27" s="172"/>
      <c r="D27" s="97"/>
      <c r="E27" s="97"/>
      <c r="F27" s="97"/>
      <c r="G27" s="97"/>
      <c r="H27" s="97"/>
      <c r="I27" s="97"/>
      <c r="J27" s="97"/>
      <c r="K27" s="97"/>
      <c r="L27" s="97"/>
      <c r="M27" s="97"/>
      <c r="N27" s="97"/>
      <c r="O27" s="97"/>
    </row>
    <row r="28" spans="1:15" s="6" customFormat="1" outlineLevel="1" x14ac:dyDescent="0.2">
      <c r="D28" s="97"/>
      <c r="E28" s="97"/>
      <c r="F28" s="97"/>
      <c r="G28" s="97"/>
      <c r="H28" s="97"/>
      <c r="I28" s="97"/>
      <c r="J28" s="97"/>
      <c r="K28" s="97"/>
      <c r="L28" s="97"/>
      <c r="M28" s="97"/>
      <c r="N28" s="97"/>
      <c r="O28" s="97"/>
    </row>
    <row r="29" spans="1:15" s="6" customFormat="1" outlineLevel="1" x14ac:dyDescent="0.2">
      <c r="A29" s="29" t="s">
        <v>207</v>
      </c>
      <c r="D29" s="97"/>
      <c r="E29" s="97"/>
      <c r="F29" s="97"/>
      <c r="G29" s="97"/>
      <c r="H29" s="97"/>
      <c r="I29" s="97"/>
      <c r="J29" s="97"/>
      <c r="K29" s="97"/>
      <c r="L29" s="97"/>
      <c r="M29" s="97"/>
      <c r="N29" s="97"/>
      <c r="O29" s="97"/>
    </row>
    <row r="30" spans="1:15" s="6" customFormat="1" outlineLevel="1" x14ac:dyDescent="0.2">
      <c r="D30" s="97"/>
      <c r="E30" s="97"/>
      <c r="F30" s="97"/>
      <c r="G30" s="97"/>
      <c r="H30" s="97"/>
      <c r="I30" s="97"/>
      <c r="J30" s="97"/>
      <c r="K30" s="97"/>
      <c r="L30" s="97"/>
      <c r="M30" s="97"/>
      <c r="N30" s="97"/>
      <c r="O30" s="97"/>
    </row>
    <row r="31" spans="1:15" s="1" customFormat="1" outlineLevel="1" x14ac:dyDescent="0.2">
      <c r="A31" s="35"/>
      <c r="E31" s="2" t="s">
        <v>133</v>
      </c>
      <c r="G31" s="2" t="s">
        <v>237</v>
      </c>
    </row>
    <row r="32" spans="1:15" s="1" customFormat="1" outlineLevel="1" x14ac:dyDescent="0.2">
      <c r="A32" s="35" t="s">
        <v>239</v>
      </c>
      <c r="E32" s="2"/>
      <c r="G32" s="2"/>
    </row>
    <row r="33" spans="1:10" s="1" customFormat="1" outlineLevel="1" x14ac:dyDescent="0.2">
      <c r="B33" s="14" t="s">
        <v>19</v>
      </c>
      <c r="C33" s="113">
        <v>3.2</v>
      </c>
      <c r="E33" s="139"/>
      <c r="G33" s="178" t="s">
        <v>240</v>
      </c>
      <c r="H33" s="178"/>
      <c r="I33" s="178"/>
      <c r="J33" s="178"/>
    </row>
    <row r="34" spans="1:10" s="1" customFormat="1" outlineLevel="1" x14ac:dyDescent="0.2">
      <c r="B34" s="14" t="s">
        <v>20</v>
      </c>
      <c r="C34" s="113">
        <v>2.5</v>
      </c>
      <c r="E34" s="139"/>
      <c r="G34" s="178"/>
      <c r="H34" s="178"/>
      <c r="I34" s="178"/>
      <c r="J34" s="178"/>
    </row>
    <row r="35" spans="1:10" s="1" customFormat="1" outlineLevel="1" x14ac:dyDescent="0.2">
      <c r="B35" s="14" t="s">
        <v>21</v>
      </c>
      <c r="C35" s="113">
        <v>2.5</v>
      </c>
      <c r="E35" s="139"/>
      <c r="G35" s="178"/>
      <c r="H35" s="178"/>
      <c r="I35" s="178"/>
      <c r="J35" s="178"/>
    </row>
    <row r="36" spans="1:10" s="1" customFormat="1" outlineLevel="1" x14ac:dyDescent="0.2"/>
    <row r="37" spans="1:10" s="1" customFormat="1" outlineLevel="1" x14ac:dyDescent="0.2">
      <c r="A37" s="35" t="s">
        <v>60</v>
      </c>
    </row>
    <row r="38" spans="1:10" s="1" customFormat="1" outlineLevel="1" x14ac:dyDescent="0.2">
      <c r="B38" s="14" t="s">
        <v>35</v>
      </c>
      <c r="C38" s="137">
        <v>2</v>
      </c>
      <c r="E38" s="139" t="s">
        <v>176</v>
      </c>
      <c r="G38" s="178" t="s">
        <v>243</v>
      </c>
      <c r="H38" s="178"/>
      <c r="I38" s="178"/>
      <c r="J38" s="178"/>
    </row>
    <row r="39" spans="1:10" s="1" customFormat="1" outlineLevel="1" x14ac:dyDescent="0.2">
      <c r="B39" s="14" t="s">
        <v>61</v>
      </c>
      <c r="C39" s="137">
        <v>3</v>
      </c>
      <c r="E39" s="139" t="s">
        <v>176</v>
      </c>
      <c r="G39" s="178"/>
      <c r="H39" s="178"/>
      <c r="I39" s="178"/>
      <c r="J39" s="178"/>
    </row>
    <row r="40" spans="1:10" s="1" customFormat="1" outlineLevel="1" x14ac:dyDescent="0.2">
      <c r="B40" s="26" t="s">
        <v>30</v>
      </c>
      <c r="C40" s="137">
        <v>1</v>
      </c>
      <c r="E40" s="139" t="s">
        <v>176</v>
      </c>
      <c r="G40" s="178"/>
      <c r="H40" s="178"/>
      <c r="I40" s="178"/>
      <c r="J40" s="178"/>
    </row>
    <row r="41" spans="1:10" s="1" customFormat="1" outlineLevel="1" x14ac:dyDescent="0.2">
      <c r="B41" s="14" t="s">
        <v>31</v>
      </c>
      <c r="C41" s="137">
        <v>0.5</v>
      </c>
      <c r="E41" s="139" t="s">
        <v>176</v>
      </c>
      <c r="G41" s="178"/>
      <c r="H41" s="178"/>
      <c r="I41" s="178"/>
      <c r="J41" s="178"/>
    </row>
    <row r="42" spans="1:10" s="1" customFormat="1" outlineLevel="1" x14ac:dyDescent="0.2">
      <c r="B42" s="14" t="s">
        <v>32</v>
      </c>
      <c r="C42" s="137">
        <v>2</v>
      </c>
      <c r="E42" s="139" t="s">
        <v>176</v>
      </c>
      <c r="G42" s="178"/>
      <c r="H42" s="178"/>
      <c r="I42" s="178"/>
      <c r="J42" s="178"/>
    </row>
    <row r="43" spans="1:10" s="1" customFormat="1" outlineLevel="1" x14ac:dyDescent="0.2">
      <c r="B43" s="14" t="s">
        <v>62</v>
      </c>
      <c r="C43" s="137">
        <v>2</v>
      </c>
      <c r="E43" s="139" t="s">
        <v>176</v>
      </c>
      <c r="G43" s="178"/>
      <c r="H43" s="178"/>
      <c r="I43" s="178"/>
      <c r="J43" s="178"/>
    </row>
    <row r="44" spans="1:10" s="1" customFormat="1" outlineLevel="1" x14ac:dyDescent="0.2"/>
    <row r="45" spans="1:10" s="1" customFormat="1" outlineLevel="1" x14ac:dyDescent="0.2">
      <c r="A45" s="98" t="s">
        <v>89</v>
      </c>
    </row>
    <row r="46" spans="1:10" s="1" customFormat="1" outlineLevel="1" x14ac:dyDescent="0.2">
      <c r="A46" s="2"/>
      <c r="E46" s="1" t="s">
        <v>175</v>
      </c>
    </row>
    <row r="47" spans="1:10" s="1" customFormat="1" outlineLevel="1" x14ac:dyDescent="0.2">
      <c r="A47" s="1" t="s">
        <v>90</v>
      </c>
      <c r="C47" s="138">
        <v>0.5</v>
      </c>
      <c r="E47" s="139" t="s">
        <v>176</v>
      </c>
      <c r="G47" s="178" t="s">
        <v>242</v>
      </c>
      <c r="H47" s="178"/>
      <c r="I47" s="178"/>
      <c r="J47" s="178"/>
    </row>
    <row r="48" spans="1:10" s="1" customFormat="1" outlineLevel="1" x14ac:dyDescent="0.2">
      <c r="A48" s="1" t="s">
        <v>91</v>
      </c>
      <c r="C48" s="138">
        <v>4</v>
      </c>
      <c r="E48" s="139" t="s">
        <v>176</v>
      </c>
      <c r="G48" s="178"/>
      <c r="H48" s="178"/>
      <c r="I48" s="178"/>
      <c r="J48" s="178"/>
    </row>
    <row r="49" spans="1:10" s="1" customFormat="1" outlineLevel="1" x14ac:dyDescent="0.2">
      <c r="A49" s="1" t="s">
        <v>92</v>
      </c>
      <c r="C49" s="138">
        <v>0.1</v>
      </c>
      <c r="E49" s="139" t="s">
        <v>176</v>
      </c>
      <c r="G49" s="178"/>
      <c r="H49" s="178"/>
      <c r="I49" s="178"/>
      <c r="J49" s="178"/>
    </row>
    <row r="50" spans="1:10" s="1" customFormat="1" outlineLevel="1" x14ac:dyDescent="0.2">
      <c r="A50" s="1" t="s">
        <v>155</v>
      </c>
      <c r="C50" s="138">
        <v>0.1</v>
      </c>
      <c r="E50" s="139" t="s">
        <v>176</v>
      </c>
      <c r="G50" s="178"/>
      <c r="H50" s="178"/>
      <c r="I50" s="178"/>
      <c r="J50" s="178"/>
    </row>
    <row r="51" spans="1:10" s="1" customFormat="1" outlineLevel="1" x14ac:dyDescent="0.2">
      <c r="A51" s="1" t="s">
        <v>93</v>
      </c>
      <c r="C51" s="138">
        <v>0.25</v>
      </c>
      <c r="E51" s="139" t="s">
        <v>176</v>
      </c>
      <c r="G51" s="178"/>
      <c r="H51" s="178"/>
      <c r="I51" s="178"/>
      <c r="J51" s="178"/>
    </row>
    <row r="52" spans="1:10" s="1" customFormat="1" outlineLevel="1" x14ac:dyDescent="0.2"/>
    <row r="53" spans="1:10" s="1" customFormat="1" outlineLevel="1" x14ac:dyDescent="0.2"/>
    <row r="54" spans="1:10" s="1" customFormat="1" outlineLevel="1" x14ac:dyDescent="0.2">
      <c r="A54" s="2" t="s">
        <v>206</v>
      </c>
    </row>
    <row r="55" spans="1:10" s="1" customFormat="1" outlineLevel="1" x14ac:dyDescent="0.2">
      <c r="A55" s="114" t="s">
        <v>244</v>
      </c>
    </row>
    <row r="56" spans="1:10" s="1" customFormat="1" outlineLevel="1" x14ac:dyDescent="0.2">
      <c r="A56" s="2"/>
    </row>
    <row r="57" spans="1:10" s="1" customFormat="1" outlineLevel="1" x14ac:dyDescent="0.2">
      <c r="A57" s="10" t="s">
        <v>209</v>
      </c>
    </row>
    <row r="58" spans="1:10" s="1" customFormat="1" outlineLevel="1" x14ac:dyDescent="0.2">
      <c r="A58" s="10" t="s">
        <v>218</v>
      </c>
    </row>
    <row r="59" spans="1:10" s="1" customFormat="1" outlineLevel="1" x14ac:dyDescent="0.2">
      <c r="A59" s="10"/>
    </row>
    <row r="60" spans="1:10" s="1" customFormat="1" outlineLevel="1" x14ac:dyDescent="0.2">
      <c r="A60" s="10" t="s">
        <v>219</v>
      </c>
    </row>
    <row r="61" spans="1:10" s="1" customFormat="1" outlineLevel="1" x14ac:dyDescent="0.2">
      <c r="A61" s="10" t="s">
        <v>220</v>
      </c>
    </row>
    <row r="62" spans="1:10" s="1" customFormat="1" outlineLevel="1" x14ac:dyDescent="0.2">
      <c r="A62" s="10" t="s">
        <v>221</v>
      </c>
    </row>
    <row r="63" spans="1:10" s="1" customFormat="1" outlineLevel="1" x14ac:dyDescent="0.2">
      <c r="A63" s="74" t="s">
        <v>214</v>
      </c>
    </row>
    <row r="64" spans="1:10" s="1" customFormat="1" outlineLevel="1" x14ac:dyDescent="0.2">
      <c r="A64" s="10"/>
      <c r="D64" s="170" t="s">
        <v>38</v>
      </c>
      <c r="E64" s="170"/>
      <c r="F64" s="170"/>
      <c r="G64" s="170" t="s">
        <v>39</v>
      </c>
      <c r="H64" s="170"/>
      <c r="I64" s="170"/>
    </row>
    <row r="65" spans="1:11" s="1" customFormat="1" outlineLevel="1" x14ac:dyDescent="0.2">
      <c r="A65" s="5" t="s">
        <v>211</v>
      </c>
      <c r="B65" s="2" t="s">
        <v>208</v>
      </c>
      <c r="D65" s="29" t="s">
        <v>40</v>
      </c>
      <c r="E65" s="29" t="s">
        <v>41</v>
      </c>
      <c r="F65" s="29" t="s">
        <v>42</v>
      </c>
      <c r="G65" s="29" t="s">
        <v>40</v>
      </c>
      <c r="H65" s="29" t="s">
        <v>41</v>
      </c>
      <c r="I65" s="29" t="s">
        <v>42</v>
      </c>
      <c r="K65" s="29" t="s">
        <v>210</v>
      </c>
    </row>
    <row r="66" spans="1:11" s="1" customFormat="1" outlineLevel="1" x14ac:dyDescent="0.2">
      <c r="A66" s="1" t="s">
        <v>215</v>
      </c>
      <c r="B66" s="157" t="s">
        <v>185</v>
      </c>
      <c r="D66" s="116">
        <v>0.15</v>
      </c>
      <c r="E66" s="116">
        <v>0.5</v>
      </c>
      <c r="F66" s="117">
        <v>0.1</v>
      </c>
      <c r="G66" s="117">
        <v>7.0000000000000007E-2</v>
      </c>
      <c r="H66" s="117">
        <v>0.08</v>
      </c>
      <c r="I66" s="109">
        <f>1-SUM(D66:H66)</f>
        <v>9.9999999999999978E-2</v>
      </c>
      <c r="K66" s="158"/>
    </row>
    <row r="67" spans="1:11" s="1" customFormat="1" outlineLevel="1" x14ac:dyDescent="0.2">
      <c r="A67" s="1" t="s">
        <v>35</v>
      </c>
      <c r="B67" s="157" t="s">
        <v>185</v>
      </c>
      <c r="D67" s="104">
        <v>0</v>
      </c>
      <c r="E67" s="104">
        <v>0</v>
      </c>
      <c r="F67" s="117">
        <v>0.15</v>
      </c>
      <c r="G67" s="118">
        <v>0.1</v>
      </c>
      <c r="H67" s="81">
        <f>1-SUM(D67:G67,I67)</f>
        <v>0.6</v>
      </c>
      <c r="I67" s="109">
        <f>F67</f>
        <v>0.15</v>
      </c>
      <c r="K67" s="158"/>
    </row>
    <row r="68" spans="1:11" s="1" customFormat="1" outlineLevel="1" x14ac:dyDescent="0.2">
      <c r="A68" s="1" t="s">
        <v>61</v>
      </c>
      <c r="B68" s="157" t="s">
        <v>185</v>
      </c>
      <c r="D68" s="104">
        <v>0</v>
      </c>
      <c r="E68" s="104">
        <v>0</v>
      </c>
      <c r="F68" s="117">
        <v>0.15</v>
      </c>
      <c r="G68" s="118">
        <v>0.35</v>
      </c>
      <c r="H68" s="81">
        <f>1-SUM(D68:G68,I68)</f>
        <v>0.35</v>
      </c>
      <c r="I68" s="109">
        <f>F68</f>
        <v>0.15</v>
      </c>
      <c r="K68" s="158"/>
    </row>
    <row r="69" spans="1:11" s="1" customFormat="1" outlineLevel="1" x14ac:dyDescent="0.2">
      <c r="A69" s="1" t="s">
        <v>216</v>
      </c>
      <c r="B69" s="157" t="s">
        <v>185</v>
      </c>
      <c r="D69" s="104">
        <v>0</v>
      </c>
      <c r="E69" s="104">
        <v>0</v>
      </c>
      <c r="F69" s="117">
        <v>0.1</v>
      </c>
      <c r="G69" s="118">
        <v>0.6</v>
      </c>
      <c r="H69" s="81">
        <f>1-SUM(D69:G69,I69)</f>
        <v>0.20000000000000007</v>
      </c>
      <c r="I69" s="109">
        <f>F69</f>
        <v>0.1</v>
      </c>
      <c r="K69" s="158"/>
    </row>
    <row r="70" spans="1:11" s="1" customFormat="1" outlineLevel="1" x14ac:dyDescent="0.2">
      <c r="A70" s="1" t="s">
        <v>217</v>
      </c>
      <c r="B70" s="108" t="s">
        <v>5</v>
      </c>
      <c r="D70" s="104">
        <v>0</v>
      </c>
      <c r="E70" s="104">
        <v>0</v>
      </c>
      <c r="F70" s="119">
        <v>2.5000000000000001E-2</v>
      </c>
      <c r="G70" s="118">
        <v>0.35</v>
      </c>
      <c r="H70" s="81">
        <f>1-SUM(D70:G70,I70)</f>
        <v>0.6</v>
      </c>
      <c r="I70" s="109">
        <f>F70</f>
        <v>2.5000000000000001E-2</v>
      </c>
      <c r="K70" s="158"/>
    </row>
    <row r="71" spans="1:11" s="1" customFormat="1" outlineLevel="1" x14ac:dyDescent="0.2">
      <c r="F71" s="6"/>
      <c r="G71" s="6"/>
      <c r="H71" s="6"/>
    </row>
    <row r="72" spans="1:11" s="1" customFormat="1" outlineLevel="1" x14ac:dyDescent="0.2">
      <c r="A72" s="5" t="s">
        <v>212</v>
      </c>
      <c r="F72" s="6"/>
      <c r="G72" s="6"/>
      <c r="H72" s="6"/>
    </row>
    <row r="73" spans="1:11" s="1" customFormat="1" outlineLevel="1" x14ac:dyDescent="0.2">
      <c r="A73" s="1" t="s">
        <v>215</v>
      </c>
      <c r="B73" s="157" t="s">
        <v>185</v>
      </c>
      <c r="D73" s="116">
        <v>0.15</v>
      </c>
      <c r="E73" s="116">
        <v>0.5</v>
      </c>
      <c r="F73" s="117">
        <v>0.1</v>
      </c>
      <c r="G73" s="117">
        <v>7.0000000000000007E-2</v>
      </c>
      <c r="H73" s="117">
        <v>0.08</v>
      </c>
      <c r="I73" s="109">
        <f>1-SUM(D73:H73)</f>
        <v>9.9999999999999978E-2</v>
      </c>
      <c r="K73" s="158"/>
    </row>
    <row r="74" spans="1:11" s="1" customFormat="1" outlineLevel="1" x14ac:dyDescent="0.2">
      <c r="A74" s="1" t="s">
        <v>35</v>
      </c>
      <c r="B74" s="157" t="s">
        <v>185</v>
      </c>
      <c r="D74" s="104">
        <v>0</v>
      </c>
      <c r="E74" s="104">
        <v>0</v>
      </c>
      <c r="F74" s="117">
        <v>0.15</v>
      </c>
      <c r="G74" s="118">
        <v>0.1</v>
      </c>
      <c r="H74" s="81">
        <f>1-SUM(D74:G74,I74)</f>
        <v>0.6</v>
      </c>
      <c r="I74" s="109">
        <f>F74</f>
        <v>0.15</v>
      </c>
      <c r="K74" s="158"/>
    </row>
    <row r="75" spans="1:11" s="1" customFormat="1" outlineLevel="1" x14ac:dyDescent="0.2">
      <c r="A75" s="1" t="s">
        <v>61</v>
      </c>
      <c r="B75" s="157" t="s">
        <v>185</v>
      </c>
      <c r="D75" s="104">
        <v>0</v>
      </c>
      <c r="E75" s="104">
        <v>0</v>
      </c>
      <c r="F75" s="117">
        <v>0.15</v>
      </c>
      <c r="G75" s="118">
        <v>0.35</v>
      </c>
      <c r="H75" s="81">
        <f>1-SUM(D75:G75,I75)</f>
        <v>0.35</v>
      </c>
      <c r="I75" s="109">
        <f>F75</f>
        <v>0.15</v>
      </c>
      <c r="K75" s="158"/>
    </row>
    <row r="76" spans="1:11" s="1" customFormat="1" outlineLevel="1" x14ac:dyDescent="0.2">
      <c r="A76" s="1" t="s">
        <v>216</v>
      </c>
      <c r="B76" s="157" t="s">
        <v>185</v>
      </c>
      <c r="D76" s="104">
        <v>0</v>
      </c>
      <c r="E76" s="104">
        <v>0</v>
      </c>
      <c r="F76" s="117">
        <v>0.1</v>
      </c>
      <c r="G76" s="118">
        <v>0.6</v>
      </c>
      <c r="H76" s="81">
        <f>1-SUM(D76:G76,I76)</f>
        <v>0.20000000000000007</v>
      </c>
      <c r="I76" s="109">
        <f>F76</f>
        <v>0.1</v>
      </c>
      <c r="K76" s="158"/>
    </row>
    <row r="77" spans="1:11" s="1" customFormat="1" outlineLevel="1" x14ac:dyDescent="0.2">
      <c r="A77" s="1" t="s">
        <v>217</v>
      </c>
      <c r="B77" s="108" t="s">
        <v>5</v>
      </c>
      <c r="D77" s="104">
        <v>0</v>
      </c>
      <c r="E77" s="104">
        <v>0</v>
      </c>
      <c r="F77" s="119">
        <v>2.5000000000000001E-2</v>
      </c>
      <c r="G77" s="118">
        <v>0.35</v>
      </c>
      <c r="H77" s="81">
        <f>1-SUM(D77:G77,I77)</f>
        <v>0.6</v>
      </c>
      <c r="I77" s="109">
        <f>F77</f>
        <v>2.5000000000000001E-2</v>
      </c>
      <c r="K77" s="158"/>
    </row>
    <row r="78" spans="1:11" s="1" customFormat="1" outlineLevel="1" x14ac:dyDescent="0.2">
      <c r="F78" s="6"/>
      <c r="G78" s="6"/>
      <c r="H78" s="6"/>
    </row>
    <row r="79" spans="1:11" s="1" customFormat="1" outlineLevel="1" x14ac:dyDescent="0.2">
      <c r="A79" s="5" t="s">
        <v>213</v>
      </c>
      <c r="F79" s="6"/>
      <c r="G79" s="6"/>
      <c r="H79" s="6"/>
    </row>
    <row r="80" spans="1:11" s="1" customFormat="1" outlineLevel="1" x14ac:dyDescent="0.2">
      <c r="A80" s="1" t="s">
        <v>215</v>
      </c>
      <c r="B80" s="157" t="s">
        <v>185</v>
      </c>
      <c r="D80" s="116">
        <v>0.15</v>
      </c>
      <c r="E80" s="116">
        <v>0.5</v>
      </c>
      <c r="F80" s="117">
        <v>0.1</v>
      </c>
      <c r="G80" s="117">
        <v>7.0000000000000007E-2</v>
      </c>
      <c r="H80" s="117">
        <v>0.08</v>
      </c>
      <c r="I80" s="109">
        <f>1-SUM(D80:H80)</f>
        <v>9.9999999999999978E-2</v>
      </c>
      <c r="K80" s="158"/>
    </row>
    <row r="81" spans="1:11" s="1" customFormat="1" outlineLevel="1" x14ac:dyDescent="0.2">
      <c r="A81" s="1" t="s">
        <v>35</v>
      </c>
      <c r="B81" s="157" t="s">
        <v>185</v>
      </c>
      <c r="D81" s="104">
        <v>0</v>
      </c>
      <c r="E81" s="104">
        <v>0</v>
      </c>
      <c r="F81" s="117">
        <v>0.15</v>
      </c>
      <c r="G81" s="118">
        <v>0.1</v>
      </c>
      <c r="H81" s="81">
        <f>1-SUM(D81:G81,I81)</f>
        <v>0.6</v>
      </c>
      <c r="I81" s="109">
        <f>F81</f>
        <v>0.15</v>
      </c>
      <c r="K81" s="158"/>
    </row>
    <row r="82" spans="1:11" s="1" customFormat="1" outlineLevel="1" x14ac:dyDescent="0.2">
      <c r="A82" s="1" t="s">
        <v>61</v>
      </c>
      <c r="B82" s="157" t="s">
        <v>185</v>
      </c>
      <c r="D82" s="104">
        <v>0</v>
      </c>
      <c r="E82" s="104">
        <v>0</v>
      </c>
      <c r="F82" s="117">
        <v>0.15</v>
      </c>
      <c r="G82" s="118">
        <v>0.35</v>
      </c>
      <c r="H82" s="81">
        <f>1-SUM(D82:G82,I82)</f>
        <v>0.35</v>
      </c>
      <c r="I82" s="109">
        <f>F82</f>
        <v>0.15</v>
      </c>
      <c r="K82" s="158"/>
    </row>
    <row r="83" spans="1:11" s="1" customFormat="1" outlineLevel="1" x14ac:dyDescent="0.2">
      <c r="A83" s="1" t="s">
        <v>216</v>
      </c>
      <c r="B83" s="157" t="s">
        <v>185</v>
      </c>
      <c r="D83" s="104">
        <v>0</v>
      </c>
      <c r="E83" s="104">
        <v>0</v>
      </c>
      <c r="F83" s="117">
        <v>0.1</v>
      </c>
      <c r="G83" s="118">
        <v>0.6</v>
      </c>
      <c r="H83" s="81">
        <f>1-SUM(D83:G83,I83)</f>
        <v>0.20000000000000007</v>
      </c>
      <c r="I83" s="109">
        <f>F83</f>
        <v>0.1</v>
      </c>
      <c r="K83" s="158"/>
    </row>
    <row r="84" spans="1:11" s="1" customFormat="1" outlineLevel="1" x14ac:dyDescent="0.2">
      <c r="A84" s="1" t="s">
        <v>217</v>
      </c>
      <c r="B84" s="108" t="s">
        <v>5</v>
      </c>
      <c r="D84" s="104">
        <v>0</v>
      </c>
      <c r="E84" s="104">
        <v>0</v>
      </c>
      <c r="F84" s="119">
        <v>2.5000000000000001E-2</v>
      </c>
      <c r="G84" s="118">
        <v>0.35</v>
      </c>
      <c r="H84" s="81">
        <f>1-SUM(D84:G84,I84)</f>
        <v>0.6</v>
      </c>
      <c r="I84" s="109">
        <f>F84</f>
        <v>2.5000000000000001E-2</v>
      </c>
      <c r="K84" s="158"/>
    </row>
    <row r="85" spans="1:11" s="1" customFormat="1" outlineLevel="1" x14ac:dyDescent="0.2"/>
    <row r="86" spans="1:11" s="1" customFormat="1" outlineLevel="1" x14ac:dyDescent="0.2"/>
    <row r="87" spans="1:11" s="1" customFormat="1" outlineLevel="1" x14ac:dyDescent="0.2">
      <c r="A87" s="2" t="s">
        <v>186</v>
      </c>
    </row>
    <row r="88" spans="1:11" s="1" customFormat="1" outlineLevel="1" x14ac:dyDescent="0.2">
      <c r="A88" s="1" t="s">
        <v>187</v>
      </c>
      <c r="D88" s="1" t="s">
        <v>191</v>
      </c>
    </row>
    <row r="89" spans="1:11" s="1" customFormat="1" outlineLevel="1" x14ac:dyDescent="0.2">
      <c r="A89" s="25" t="s">
        <v>188</v>
      </c>
      <c r="B89" s="118">
        <v>0.25</v>
      </c>
      <c r="D89" s="139"/>
      <c r="F89" s="178" t="s">
        <v>245</v>
      </c>
      <c r="G89" s="178"/>
    </row>
    <row r="90" spans="1:11" s="1" customFormat="1" outlineLevel="1" x14ac:dyDescent="0.2">
      <c r="A90" s="25" t="s">
        <v>189</v>
      </c>
      <c r="B90" s="118">
        <v>0.15</v>
      </c>
      <c r="F90" s="178"/>
      <c r="G90" s="178"/>
    </row>
    <row r="91" spans="1:11" s="1" customFormat="1" outlineLevel="1" x14ac:dyDescent="0.2">
      <c r="A91" s="25" t="s">
        <v>190</v>
      </c>
      <c r="B91" s="81">
        <f>1-B89-B90</f>
        <v>0.6</v>
      </c>
      <c r="C91" s="121" t="s">
        <v>296</v>
      </c>
      <c r="F91" s="178"/>
      <c r="G91" s="178"/>
    </row>
    <row r="92" spans="1:11" s="1" customFormat="1" outlineLevel="1" x14ac:dyDescent="0.2"/>
    <row r="93" spans="1:11" s="1" customFormat="1" outlineLevel="1" x14ac:dyDescent="0.2">
      <c r="A93" s="2" t="s">
        <v>139</v>
      </c>
    </row>
    <row r="94" spans="1:11" s="1" customFormat="1" outlineLevel="1" x14ac:dyDescent="0.2">
      <c r="A94" s="2"/>
    </row>
    <row r="95" spans="1:11" s="1" customFormat="1" outlineLevel="1" x14ac:dyDescent="0.2">
      <c r="A95" s="123" t="s">
        <v>265</v>
      </c>
    </row>
    <row r="96" spans="1:11" s="1" customFormat="1" outlineLevel="1" x14ac:dyDescent="0.2"/>
    <row r="97" spans="1:34" s="1" customFormat="1" outlineLevel="1" x14ac:dyDescent="0.2">
      <c r="A97" s="1" t="s">
        <v>140</v>
      </c>
    </row>
    <row r="98" spans="1:34" s="1" customFormat="1" outlineLevel="1" x14ac:dyDescent="0.2">
      <c r="A98" s="7" t="s">
        <v>297</v>
      </c>
    </row>
    <row r="99" spans="1:34" s="1" customFormat="1" outlineLevel="1" x14ac:dyDescent="0.2">
      <c r="A99" s="7" t="s">
        <v>302</v>
      </c>
    </row>
    <row r="100" spans="1:34" s="1" customFormat="1" outlineLevel="1" x14ac:dyDescent="0.2">
      <c r="A100" s="121" t="s">
        <v>266</v>
      </c>
    </row>
    <row r="101" spans="1:34" s="6" customFormat="1" ht="12" customHeight="1" x14ac:dyDescent="0.2">
      <c r="A101" s="95"/>
      <c r="B101" s="96"/>
      <c r="C101" s="97"/>
      <c r="D101" s="97"/>
      <c r="E101" s="97"/>
      <c r="F101" s="97"/>
      <c r="G101" s="97"/>
      <c r="H101" s="97"/>
      <c r="I101" s="97"/>
      <c r="J101" s="97"/>
      <c r="K101" s="97"/>
      <c r="L101" s="97"/>
      <c r="M101" s="97"/>
      <c r="N101" s="97"/>
      <c r="O101" s="97"/>
    </row>
    <row r="102" spans="1:34" s="1" customFormat="1" ht="20.25" x14ac:dyDescent="0.3">
      <c r="A102" s="133" t="s">
        <v>304</v>
      </c>
    </row>
    <row r="103" spans="1:34" s="1" customFormat="1" outlineLevel="1" x14ac:dyDescent="0.2">
      <c r="B103" s="6"/>
      <c r="C103" s="6"/>
      <c r="E103" s="177" t="s">
        <v>173</v>
      </c>
      <c r="F103" s="177"/>
      <c r="G103" s="177"/>
      <c r="H103" s="78" t="s">
        <v>11</v>
      </c>
      <c r="I103" s="18"/>
      <c r="J103" s="18"/>
      <c r="L103" s="1" t="s">
        <v>159</v>
      </c>
      <c r="P103" s="66"/>
      <c r="Q103" s="66"/>
      <c r="R103" s="66"/>
      <c r="S103" s="66" t="s">
        <v>171</v>
      </c>
      <c r="T103" s="66"/>
      <c r="U103" s="66"/>
      <c r="V103" s="66"/>
      <c r="W103" s="66"/>
      <c r="X103" s="66"/>
      <c r="Y103" s="66" t="s">
        <v>172</v>
      </c>
      <c r="Z103" s="66"/>
      <c r="AA103" s="66"/>
      <c r="AB103" s="66"/>
      <c r="AC103" s="66"/>
      <c r="AF103" s="66" t="s">
        <v>162</v>
      </c>
    </row>
    <row r="104" spans="1:34" s="17" customFormat="1" ht="63.75" customHeight="1" outlineLevel="1" x14ac:dyDescent="0.2">
      <c r="B104" s="23" t="s">
        <v>163</v>
      </c>
      <c r="C104" s="23" t="s">
        <v>34</v>
      </c>
      <c r="E104" s="77" t="s">
        <v>85</v>
      </c>
      <c r="F104" s="17" t="s">
        <v>95</v>
      </c>
      <c r="G104" s="17" t="s">
        <v>96</v>
      </c>
      <c r="H104" s="77" t="s">
        <v>85</v>
      </c>
      <c r="I104" s="17" t="s">
        <v>95</v>
      </c>
      <c r="J104" s="17" t="s">
        <v>96</v>
      </c>
      <c r="L104" s="18" t="s">
        <v>12</v>
      </c>
      <c r="M104" s="18" t="s">
        <v>13</v>
      </c>
      <c r="N104" s="18" t="s">
        <v>14</v>
      </c>
      <c r="O104" s="18" t="s">
        <v>15</v>
      </c>
      <c r="P104" s="18" t="s">
        <v>16</v>
      </c>
      <c r="Q104" s="19" t="s">
        <v>17</v>
      </c>
      <c r="S104" s="18" t="s">
        <v>13</v>
      </c>
      <c r="T104" s="18" t="s">
        <v>14</v>
      </c>
      <c r="U104" s="18" t="s">
        <v>15</v>
      </c>
      <c r="V104" s="18" t="s">
        <v>16</v>
      </c>
      <c r="W104" s="19" t="s">
        <v>17</v>
      </c>
      <c r="Y104" s="18" t="s">
        <v>13</v>
      </c>
      <c r="Z104" s="18" t="s">
        <v>14</v>
      </c>
      <c r="AA104" s="18" t="s">
        <v>15</v>
      </c>
      <c r="AB104" s="18" t="s">
        <v>16</v>
      </c>
      <c r="AC104" s="19" t="s">
        <v>17</v>
      </c>
      <c r="AE104" s="65" t="s">
        <v>154</v>
      </c>
      <c r="AF104" s="65" t="s">
        <v>85</v>
      </c>
      <c r="AG104" s="23" t="s">
        <v>95</v>
      </c>
      <c r="AH104" s="23" t="s">
        <v>96</v>
      </c>
    </row>
    <row r="105" spans="1:34" s="17" customFormat="1" ht="13.5" customHeight="1" outlineLevel="1" x14ac:dyDescent="0.2">
      <c r="A105" s="4"/>
      <c r="B105" s="55"/>
      <c r="C105" s="55"/>
      <c r="E105" s="18"/>
      <c r="F105" s="18"/>
      <c r="G105" s="18"/>
      <c r="H105" s="18"/>
      <c r="I105" s="18"/>
      <c r="L105" s="18"/>
      <c r="M105" s="18"/>
      <c r="N105" s="18"/>
      <c r="O105" s="18"/>
      <c r="P105" s="18"/>
      <c r="Q105" s="19"/>
      <c r="AE105" s="67"/>
      <c r="AF105" s="67"/>
    </row>
    <row r="106" spans="1:34" s="1" customFormat="1" outlineLevel="1" x14ac:dyDescent="0.2">
      <c r="A106" s="2" t="s">
        <v>18</v>
      </c>
      <c r="L106" s="20"/>
      <c r="M106" s="20"/>
      <c r="N106" s="20"/>
      <c r="O106" s="20"/>
      <c r="P106" s="20"/>
      <c r="Q106" s="20"/>
      <c r="S106" s="20"/>
      <c r="T106" s="20"/>
      <c r="U106" s="20"/>
      <c r="V106" s="20"/>
      <c r="W106" s="20"/>
      <c r="Y106" s="20"/>
      <c r="Z106" s="20"/>
      <c r="AA106" s="20"/>
      <c r="AB106" s="20"/>
      <c r="AC106" s="20"/>
      <c r="AE106" s="69"/>
      <c r="AF106" s="69"/>
      <c r="AG106" s="69"/>
      <c r="AH106" s="69"/>
    </row>
    <row r="107" spans="1:34" s="1" customFormat="1" outlineLevel="1" x14ac:dyDescent="0.2">
      <c r="A107" s="14" t="s">
        <v>19</v>
      </c>
      <c r="B107" s="8">
        <v>0</v>
      </c>
      <c r="C107" s="24" t="s">
        <v>164</v>
      </c>
      <c r="D107" s="60"/>
      <c r="E107" s="159" t="s">
        <v>169</v>
      </c>
      <c r="F107" s="159" t="s">
        <v>180</v>
      </c>
      <c r="G107" s="159" t="s">
        <v>169</v>
      </c>
      <c r="H107" s="73">
        <f>IF(B107=0,0,IF(AF107="No","Error",IF(E107="Average Rate",$B107*M107,IF(E107="Linear Equation",$B107*N107+O107,EXP(LN($B107)*P107+Q107)))))</f>
        <v>0</v>
      </c>
      <c r="I107" s="73">
        <f>IF(B107=0,0,IF(AG107="No","Error",IF(F107="Average Rate",$B107*S107,IF(F107="Linear Equation",$B107*T107+U107,EXP(LN($B107)*V107+W107)))))</f>
        <v>0</v>
      </c>
      <c r="J107" s="73">
        <f>IF(B107=0,0,IF(AH107="No","Error",IF(G107="Average Rate",$B107*Y107,IF(G107="Linear Equation",$B107*Z107+AA107,EXP(LN($B107)*AB107+AC107)))))</f>
        <v>0</v>
      </c>
      <c r="L107" s="1">
        <v>210</v>
      </c>
      <c r="M107" s="1">
        <v>9.57</v>
      </c>
      <c r="P107" s="1">
        <v>0.92</v>
      </c>
      <c r="Q107" s="1">
        <v>2.71</v>
      </c>
      <c r="S107" s="1">
        <v>0.75</v>
      </c>
      <c r="T107" s="1">
        <v>0.7</v>
      </c>
      <c r="U107" s="1">
        <v>9.74</v>
      </c>
      <c r="Y107" s="1">
        <v>1.01</v>
      </c>
      <c r="AB107" s="1">
        <v>0.9</v>
      </c>
      <c r="AC107" s="1">
        <v>0.51</v>
      </c>
      <c r="AE107" s="69"/>
      <c r="AF107" s="68" t="str">
        <f>IF(E107="Linear Equation",IF(N107="","No","Yes"),IF(E107="Log Equation",(IF(P107="","No","Yes")),"Yes"))</f>
        <v>Yes</v>
      </c>
      <c r="AG107" s="68" t="str">
        <f>IF(F107="Linear Equation",IF(T107="","No","Yes"),IF(F107="Log Equation",(IF(V107="","No","Yes")),"Yes"))</f>
        <v>Yes</v>
      </c>
      <c r="AH107" s="68" t="str">
        <f>IF(G107="Linear Equation",IF(Z107="","No","Yes"),IF(G107="Log Equation",(IF(AB107="","No","Yes")),"Yes"))</f>
        <v>Yes</v>
      </c>
    </row>
    <row r="108" spans="1:34" s="1" customFormat="1" outlineLevel="1" x14ac:dyDescent="0.2">
      <c r="A108" s="14" t="s">
        <v>20</v>
      </c>
      <c r="B108" s="21">
        <v>0</v>
      </c>
      <c r="C108" s="24" t="s">
        <v>164</v>
      </c>
      <c r="D108" s="60"/>
      <c r="E108" s="159" t="s">
        <v>180</v>
      </c>
      <c r="F108" s="159" t="s">
        <v>180</v>
      </c>
      <c r="G108" s="159" t="s">
        <v>180</v>
      </c>
      <c r="H108" s="73">
        <f>IF(B108=0,0,IF(AF108="No","Error",IF(E108="Average Rate",$B108*M108,IF(E108="Linear Equation",$B108*N108+O108,EXP(LN($B108)*P108+Q108)))))</f>
        <v>0</v>
      </c>
      <c r="I108" s="73">
        <f>IF(B108=0,0,IF(AG108="No","Error",IF(F108="Average Rate",$B108*S108,IF(F108="Linear Equation",$B108*T108+U108,EXP(LN($B108)*V108+W108)))))</f>
        <v>0</v>
      </c>
      <c r="J108" s="73">
        <f>IF(B108=0,0,IF(AH108="No","Error",IF(G108="Average Rate",$B108*Y108,IF(G108="Linear Equation",$B108*Z108+AA108,EXP(LN($B108)*AB108+AC108)))))</f>
        <v>0</v>
      </c>
      <c r="L108" s="1">
        <v>220</v>
      </c>
      <c r="M108" s="1">
        <v>6.65</v>
      </c>
      <c r="N108" s="1">
        <v>6.06</v>
      </c>
      <c r="O108" s="1">
        <v>123.56</v>
      </c>
      <c r="S108" s="1">
        <v>0.51</v>
      </c>
      <c r="T108" s="1">
        <v>0.49</v>
      </c>
      <c r="U108" s="1">
        <v>3.73</v>
      </c>
      <c r="Y108" s="1">
        <v>0.62</v>
      </c>
      <c r="Z108" s="1">
        <v>0.55000000000000004</v>
      </c>
      <c r="AA108" s="1">
        <v>17.649999999999999</v>
      </c>
      <c r="AE108" s="69"/>
      <c r="AF108" s="68" t="str">
        <f>IF(E108="Linear Equation",IF(N108="","No","Yes"),IF(E108="Log Equation",(IF(P108="","No","Yes")),"Yes"))</f>
        <v>Yes</v>
      </c>
      <c r="AG108" s="68" t="str">
        <f>IF(F108="Linear Equation",IF(T108="","No","Yes"),IF(F108="Log Equation",(IF(V108="","No","Yes")),"Yes"))</f>
        <v>Yes</v>
      </c>
      <c r="AH108" s="68" t="str">
        <f>IF(G108="Linear Equation",IF(Z108="","No","Yes"),IF(G108="Log Equation",(IF(AB108="","No","Yes")),"Yes"))</f>
        <v>Yes</v>
      </c>
    </row>
    <row r="109" spans="1:34" s="1" customFormat="1" outlineLevel="1" x14ac:dyDescent="0.2">
      <c r="A109" s="14" t="s">
        <v>21</v>
      </c>
      <c r="B109" s="8">
        <v>0</v>
      </c>
      <c r="C109" s="24" t="s">
        <v>164</v>
      </c>
      <c r="D109" s="60"/>
      <c r="E109" s="159" t="s">
        <v>180</v>
      </c>
      <c r="F109" s="159" t="s">
        <v>180</v>
      </c>
      <c r="G109" s="159" t="s">
        <v>180</v>
      </c>
      <c r="H109" s="73">
        <f>IF(B109=0,0,IF(AF109="No","Error",IF(E109="Average Rate",$B109*M109,IF(E109="Linear Equation",$B109*N109+O109,EXP(LN($B109)*P109+Q109)))))</f>
        <v>0</v>
      </c>
      <c r="I109" s="73">
        <f>IF(B109=0,0,IF(AG109="No","Error",IF(F109="Average Rate",$B109*S109,IF(F109="Linear Equation",$B109*T109+U109,EXP(LN($B109)*V109+W109)))))</f>
        <v>0</v>
      </c>
      <c r="J109" s="73">
        <f>IF(B109=0,0,IF(AH109="No","Error",IF(G109="Average Rate",$B109*Y109,IF(G109="Linear Equation",$B109*Z109+AA109,EXP(LN($B109)*AB109+AC109)))))</f>
        <v>0</v>
      </c>
      <c r="L109" s="1">
        <v>232</v>
      </c>
      <c r="M109" s="1">
        <v>4.18</v>
      </c>
      <c r="N109" s="1">
        <v>3.77</v>
      </c>
      <c r="O109" s="1">
        <v>223.66</v>
      </c>
      <c r="S109" s="1">
        <v>0.34</v>
      </c>
      <c r="T109" s="1">
        <v>0.28999999999999998</v>
      </c>
      <c r="U109" s="1">
        <v>28.86</v>
      </c>
      <c r="Y109" s="1">
        <v>0.38</v>
      </c>
      <c r="Z109" s="1">
        <v>0.34</v>
      </c>
      <c r="AA109" s="1">
        <v>15.47</v>
      </c>
      <c r="AE109" s="69"/>
      <c r="AF109" s="68" t="str">
        <f>IF(E109="Linear Equation",IF(N109="","No","Yes"),IF(E109="Log Equation",(IF(P109="","No","Yes")),"Yes"))</f>
        <v>Yes</v>
      </c>
      <c r="AG109" s="68" t="str">
        <f>IF(F109="Linear Equation",IF(T109="","No","Yes"),IF(F109="Log Equation",(IF(V109="","No","Yes")),"Yes"))</f>
        <v>Yes</v>
      </c>
      <c r="AH109" s="68" t="str">
        <f>IF(G109="Linear Equation",IF(Z109="","No","Yes"),IF(G109="Log Equation",(IF(AB109="","No","Yes")),"Yes"))</f>
        <v>Yes</v>
      </c>
    </row>
    <row r="110" spans="1:34" s="1" customFormat="1" ht="39.75" customHeight="1" outlineLevel="1" x14ac:dyDescent="0.2">
      <c r="A110" s="176" t="s">
        <v>241</v>
      </c>
      <c r="B110" s="176"/>
      <c r="C110" s="176"/>
      <c r="D110" s="62"/>
      <c r="H110" s="73"/>
      <c r="L110" s="20"/>
      <c r="M110" s="20"/>
      <c r="N110" s="20"/>
      <c r="O110" s="20"/>
      <c r="P110" s="20"/>
      <c r="Q110" s="20"/>
      <c r="S110" s="20"/>
      <c r="T110" s="20"/>
      <c r="U110" s="20"/>
      <c r="V110" s="20"/>
      <c r="W110" s="20"/>
      <c r="Y110" s="20"/>
      <c r="Z110" s="20"/>
      <c r="AA110" s="20"/>
      <c r="AB110" s="20"/>
      <c r="AC110" s="20"/>
      <c r="AE110" s="69"/>
      <c r="AF110" s="69"/>
      <c r="AG110" s="69"/>
      <c r="AH110" s="69"/>
    </row>
    <row r="111" spans="1:34" s="1" customFormat="1" outlineLevel="1" x14ac:dyDescent="0.2">
      <c r="A111" s="14" t="s">
        <v>22</v>
      </c>
      <c r="B111" s="21">
        <v>24</v>
      </c>
      <c r="C111" s="72" t="s">
        <v>151</v>
      </c>
      <c r="D111" s="63"/>
      <c r="E111" s="159" t="s">
        <v>169</v>
      </c>
      <c r="F111" s="159" t="s">
        <v>169</v>
      </c>
      <c r="G111" s="159" t="s">
        <v>169</v>
      </c>
      <c r="H111" s="79">
        <f>IF(B111=0,0,IF(AF111="No","Error",IF(E111="Average Rate",$B111/IF($C111="jobs",Input!$C$38,1)*M111,IF(E111="Linear Equation",$B111/IF($C111="jobs",Input!$C$38,1)*N111+O111,EXP(LN($B111/IF($C111="jobs",Input!$C$38,1))*P111+Q111)))))</f>
        <v>2685.802888791874</v>
      </c>
      <c r="I111" s="79">
        <f>IF(B111=0,0,IF(AG111="No","Error",IF(F111="Average Rate",$B111/IF($C111="jobs",Input!$C$38,1)*S111,IF(F111="Linear Equation",$B111/IF($C111="jobs",Input!$C$38,1)*T111+U111,EXP(LN($B111/IF($C111="jobs",Input!$C$38,1))*V111+W111)))))</f>
        <v>66.357166129042028</v>
      </c>
      <c r="J111" s="79">
        <f>IF(B111=0,0,IF(AH111="No","Error",IF(G111="Average Rate",$B111/IF($C111="jobs",Input!$C$38,1)*Y111,IF(G111="Linear Equation",$B111/IF($C111="jobs",Input!$C$38,1)*Z111+AA111,EXP(LN($B111/IF($C111="jobs",Input!$C$38,1))*AB111+AC111)))))</f>
        <v>244.51974598605594</v>
      </c>
      <c r="K111" s="171" t="s">
        <v>181</v>
      </c>
      <c r="L111" s="1">
        <v>820</v>
      </c>
      <c r="M111" s="1">
        <v>42.94</v>
      </c>
      <c r="P111" s="1">
        <v>0.65</v>
      </c>
      <c r="Q111" s="1">
        <v>5.83</v>
      </c>
      <c r="S111" s="1">
        <v>1</v>
      </c>
      <c r="V111" s="1">
        <v>0.59</v>
      </c>
      <c r="W111" s="1">
        <v>2.3199999999999998</v>
      </c>
      <c r="Y111" s="1">
        <v>3.73</v>
      </c>
      <c r="AB111" s="1">
        <v>0.67</v>
      </c>
      <c r="AC111" s="1">
        <v>3.37</v>
      </c>
      <c r="AE111" s="70">
        <f>IF(C111="Jobs",1,Input!$C$38)</f>
        <v>2</v>
      </c>
      <c r="AF111" s="68" t="str">
        <f t="shared" ref="AF111:AF118" si="0">IF(E111="Linear Equation",IF(N111="","No","Yes"),IF(E111="Log Equation",(IF(P111="","No","Yes")),"Yes"))</f>
        <v>Yes</v>
      </c>
      <c r="AG111" s="68" t="str">
        <f t="shared" ref="AG111:AG118" si="1">IF(F111="Linear Equation",IF(T111="","No","Yes"),IF(F111="Log Equation",(IF(V111="","No","Yes")),"Yes"))</f>
        <v>Yes</v>
      </c>
      <c r="AH111" s="68" t="str">
        <f t="shared" ref="AH111:AH118" si="2">IF(G111="Linear Equation",IF(Z111="","No","Yes"),IF(G111="Log Equation",(IF(AB111="","No","Yes")),"Yes"))</f>
        <v>Yes</v>
      </c>
    </row>
    <row r="112" spans="1:34" s="1" customFormat="1" outlineLevel="1" x14ac:dyDescent="0.2">
      <c r="A112" s="14" t="s">
        <v>23</v>
      </c>
      <c r="B112" s="8">
        <v>0</v>
      </c>
      <c r="C112" s="72" t="s">
        <v>151</v>
      </c>
      <c r="D112" s="63"/>
      <c r="E112" s="159" t="s">
        <v>13</v>
      </c>
      <c r="F112" s="159" t="s">
        <v>13</v>
      </c>
      <c r="G112" s="159" t="s">
        <v>13</v>
      </c>
      <c r="H112" s="79">
        <f>IF(B112=0,0,IF(AF112="No","Error",IF(E112="Average Rate",$B112/IF($C112="jobs",Input!$C$38,1)*M112,IF(E112="Linear Equation",$B112/IF($C112="jobs",Input!$C$38,1)*N112+O112,EXP(LN($B112/IF($C112="jobs",Input!$C$38,1))*P112+Q112)))))</f>
        <v>0</v>
      </c>
      <c r="I112" s="79">
        <f>IF(B112=0,0,IF(AG112="No","Error",IF(F112="Average Rate",$B112/IF($C112="jobs",Input!$C$38,1)*S112,IF(F112="Linear Equation",$B112/IF($C112="jobs",Input!$C$38,1)*T112+U112,EXP(LN($B112/IF($C112="jobs",Input!$C$38,1))*V112+W112)))))</f>
        <v>0</v>
      </c>
      <c r="J112" s="79">
        <f>IF(B112=0,0,IF(AH112="No","Error",IF(G112="Average Rate",$B112/IF($C112="jobs",Input!$C$38,1)*Y112,IF(G112="Linear Equation",$B112/IF($C112="jobs",Input!$C$38,1)*Z112+AA112,EXP(LN($B112/IF($C112="jobs",Input!$C$38,1))*AB112+AC112)))))</f>
        <v>0</v>
      </c>
      <c r="K112" s="171"/>
      <c r="L112" s="1">
        <v>850</v>
      </c>
      <c r="M112" s="1">
        <v>102.24</v>
      </c>
      <c r="N112" s="1">
        <v>66.95</v>
      </c>
      <c r="O112" s="1">
        <v>1391.56</v>
      </c>
      <c r="S112" s="1">
        <v>3.59</v>
      </c>
      <c r="Y112" s="1">
        <v>10.5</v>
      </c>
      <c r="AB112" s="1">
        <v>0.61</v>
      </c>
      <c r="AC112" s="1">
        <v>3.95</v>
      </c>
      <c r="AE112" s="70">
        <f>IF(C112="Jobs",1,Input!$C$38)</f>
        <v>2</v>
      </c>
      <c r="AF112" s="68" t="str">
        <f t="shared" si="0"/>
        <v>Yes</v>
      </c>
      <c r="AG112" s="68" t="str">
        <f t="shared" si="1"/>
        <v>Yes</v>
      </c>
      <c r="AH112" s="68" t="str">
        <f t="shared" si="2"/>
        <v>Yes</v>
      </c>
    </row>
    <row r="113" spans="1:34" s="1" customFormat="1" outlineLevel="1" x14ac:dyDescent="0.2">
      <c r="A113" s="14" t="s">
        <v>24</v>
      </c>
      <c r="B113" s="8">
        <v>0</v>
      </c>
      <c r="C113" s="72" t="s">
        <v>151</v>
      </c>
      <c r="D113" s="63"/>
      <c r="E113" s="159" t="s">
        <v>13</v>
      </c>
      <c r="F113" s="159" t="s">
        <v>13</v>
      </c>
      <c r="G113" s="159" t="s">
        <v>13</v>
      </c>
      <c r="H113" s="79">
        <f>IF(B113=0,0,IF(AF113="No","Error",IF(E113="Average Rate",$B113/IF($C113="jobs",Input!$C$38,1)*M113,IF(E113="Linear Equation",$B113/IF($C113="jobs",Input!$C$38,1)*N113+O113,EXP(LN($B113/IF($C113="jobs",Input!$C$38,1))*P113+Q113)))))</f>
        <v>0</v>
      </c>
      <c r="I113" s="79">
        <f>IF(B113=0,0,IF(AG113="No","Error",IF(F113="Average Rate",$B113/IF($C113="jobs",Input!$C$38,1)*S113,IF(F113="Linear Equation",$B113/IF($C113="jobs",Input!$C$38,1)*T113+U113,EXP(LN($B113/IF($C113="jobs",Input!$C$38,1))*V113+W113)))))</f>
        <v>0</v>
      </c>
      <c r="J113" s="79">
        <f>IF(B113=0,0,IF(AH113="No","Error",IF(G113="Average Rate",$B113/IF($C113="jobs",Input!$C$38,1)*Y113,IF(G113="Linear Equation",$B113/IF($C113="jobs",Input!$C$38,1)*Z113+AA113,EXP(LN($B113/IF($C113="jobs",Input!$C$38,1))*AB113+AC113)))))</f>
        <v>0</v>
      </c>
      <c r="K113" s="171"/>
      <c r="L113" s="1">
        <v>912</v>
      </c>
      <c r="M113" s="1">
        <v>148.15</v>
      </c>
      <c r="S113" s="1">
        <v>12.35</v>
      </c>
      <c r="Y113" s="1">
        <v>25.82</v>
      </c>
      <c r="AE113" s="70">
        <f>IF(C113="Jobs",1,Input!$C$38)</f>
        <v>2</v>
      </c>
      <c r="AF113" s="68" t="str">
        <f t="shared" si="0"/>
        <v>Yes</v>
      </c>
      <c r="AG113" s="68" t="str">
        <f t="shared" si="1"/>
        <v>Yes</v>
      </c>
      <c r="AH113" s="68" t="str">
        <f t="shared" si="2"/>
        <v>Yes</v>
      </c>
    </row>
    <row r="114" spans="1:34" s="1" customFormat="1" outlineLevel="1" x14ac:dyDescent="0.2">
      <c r="A114" s="14" t="s">
        <v>25</v>
      </c>
      <c r="B114" s="8">
        <v>0</v>
      </c>
      <c r="C114" s="72" t="s">
        <v>151</v>
      </c>
      <c r="D114" s="63"/>
      <c r="E114" s="159" t="s">
        <v>13</v>
      </c>
      <c r="F114" s="159" t="s">
        <v>13</v>
      </c>
      <c r="G114" s="159" t="s">
        <v>13</v>
      </c>
      <c r="H114" s="79">
        <f>IF(B114=0,0,IF(AF114="No","Error",IF(E114="Average Rate",$B114/IF($C114="jobs",Input!$C$38,1)*M114,IF(E114="Linear Equation",$B114/IF($C114="jobs",Input!$C$38,1)*N114+O114,EXP(LN($B114/IF($C114="jobs",Input!$C$38,1))*P114+Q114)))))</f>
        <v>0</v>
      </c>
      <c r="I114" s="79">
        <f>IF(B114=0,0,IF(AG114="No","Error",IF(F114="Average Rate",$B114/IF($C114="jobs",Input!$C$38,1)*S114,IF(F114="Linear Equation",$B114/IF($C114="jobs",Input!$C$38,1)*T114+U114,EXP(LN($B114/IF($C114="jobs",Input!$C$38,1))*V114+W114)))))</f>
        <v>0</v>
      </c>
      <c r="J114" s="79">
        <f>IF(B114=0,0,IF(AH114="No","Error",IF(G114="Average Rate",$B114/IF($C114="jobs",Input!$C$38,1)*Y114,IF(G114="Linear Equation",$B114/IF($C114="jobs",Input!$C$38,1)*Z114+AA114,EXP(LN($B114/IF($C114="jobs",Input!$C$38,1))*AB114+AC114)))))</f>
        <v>0</v>
      </c>
      <c r="K114" s="171"/>
      <c r="L114" s="1">
        <v>492</v>
      </c>
      <c r="M114" s="1">
        <v>32.93</v>
      </c>
      <c r="S114" s="1">
        <v>1.38</v>
      </c>
      <c r="Y114" s="1">
        <v>3.53</v>
      </c>
      <c r="AB114" s="1">
        <v>0.95</v>
      </c>
      <c r="AC114" s="1">
        <v>1.43</v>
      </c>
      <c r="AE114" s="70">
        <f>IF(C114="Jobs",1,Input!$C$38)</f>
        <v>2</v>
      </c>
      <c r="AF114" s="68" t="str">
        <f t="shared" si="0"/>
        <v>Yes</v>
      </c>
      <c r="AG114" s="68" t="str">
        <f t="shared" si="1"/>
        <v>Yes</v>
      </c>
      <c r="AH114" s="68" t="str">
        <f t="shared" si="2"/>
        <v>Yes</v>
      </c>
    </row>
    <row r="115" spans="1:34" s="1" customFormat="1" outlineLevel="1" x14ac:dyDescent="0.2">
      <c r="A115" s="14" t="s">
        <v>26</v>
      </c>
      <c r="B115" s="21">
        <v>0</v>
      </c>
      <c r="C115" s="72" t="s">
        <v>151</v>
      </c>
      <c r="D115" s="63"/>
      <c r="E115" s="159" t="s">
        <v>13</v>
      </c>
      <c r="F115" s="159" t="s">
        <v>13</v>
      </c>
      <c r="G115" s="159" t="s">
        <v>13</v>
      </c>
      <c r="H115" s="79">
        <f>IF(B115=0,0,IF(AF115="No","Error",IF(E115="Average Rate",$B115/IF($C115="jobs",Input!$C$38,1)*M115,IF(E115="Linear Equation",$B115/IF($C115="jobs",Input!$C$38,1)*N115+O115,EXP(LN($B115/IF($C115="jobs",Input!$C$38,1))*P115+Q115)))))</f>
        <v>0</v>
      </c>
      <c r="I115" s="79">
        <f>IF(B115=0,0,IF(AG115="No","Error",IF(F115="Average Rate",$B115/IF($C115="jobs",Input!$C$38,1)*S115,IF(F115="Linear Equation",$B115/IF($C115="jobs",Input!$C$38,1)*T115+U115,EXP(LN($B115/IF($C115="jobs",Input!$C$38,1))*V115+W115)))))</f>
        <v>0</v>
      </c>
      <c r="J115" s="79">
        <f>IF(B115=0,0,IF(AH115="No","Error",IF(G115="Average Rate",$B115/IF($C115="jobs",Input!$C$38,1)*Y115,IF(G115="Linear Equation",$B115/IF($C115="jobs",Input!$C$38,1)*Z115+AA115,EXP(LN($B115/IF($C115="jobs",Input!$C$38,1))*AB115+AC115)))))</f>
        <v>0</v>
      </c>
      <c r="K115" s="171"/>
      <c r="L115" s="1">
        <v>932</v>
      </c>
      <c r="M115" s="1">
        <v>127.15</v>
      </c>
      <c r="S115" s="1">
        <v>11.52</v>
      </c>
      <c r="Y115" s="1">
        <v>11.15</v>
      </c>
      <c r="AE115" s="70">
        <f>IF(C115="Jobs",1,Input!$C$38)</f>
        <v>2</v>
      </c>
      <c r="AF115" s="68" t="str">
        <f t="shared" si="0"/>
        <v>Yes</v>
      </c>
      <c r="AG115" s="68" t="str">
        <f t="shared" si="1"/>
        <v>Yes</v>
      </c>
      <c r="AH115" s="68" t="str">
        <f t="shared" si="2"/>
        <v>Yes</v>
      </c>
    </row>
    <row r="116" spans="1:34" s="1" customFormat="1" outlineLevel="1" x14ac:dyDescent="0.2">
      <c r="A116" s="14" t="s">
        <v>27</v>
      </c>
      <c r="B116" s="8">
        <v>0</v>
      </c>
      <c r="C116" s="72" t="s">
        <v>151</v>
      </c>
      <c r="D116" s="63"/>
      <c r="E116" s="159" t="s">
        <v>13</v>
      </c>
      <c r="F116" s="159" t="s">
        <v>13</v>
      </c>
      <c r="G116" s="159" t="s">
        <v>13</v>
      </c>
      <c r="H116" s="79">
        <f>IF(B116=0,0,IF(AF116="No","Error",IF(E116="Average Rate",$B116/IF($C116="jobs",Input!$C$38,1)*M116,IF(E116="Linear Equation",$B116/IF($C116="jobs",Input!$C$38,1)*N116+O116,EXP(LN($B116/IF($C116="jobs",Input!$C$38,1))*P116+Q116)))))</f>
        <v>0</v>
      </c>
      <c r="I116" s="79">
        <f>IF(B116=0,0,IF(AG116="No","Error",IF(F116="Average Rate",$B116/IF($C116="jobs",Input!$C$38,1)*S116,IF(F116="Linear Equation",$B116/IF($C116="jobs",Input!$C$38,1)*T116+U116,EXP(LN($B116/IF($C116="jobs",Input!$C$38,1))*V116+W116)))))</f>
        <v>0</v>
      </c>
      <c r="J116" s="79">
        <f>IF(B116=0,0,IF(AH116="No","Error",IF(G116="Average Rate",$B116/IF($C116="jobs",Input!$C$38,1)*Y116,IF(G116="Linear Equation",$B116/IF($C116="jobs",Input!$C$38,1)*Z116+AA116,EXP(LN($B116/IF($C116="jobs",Input!$C$38,1))*AB116+AC116)))))</f>
        <v>0</v>
      </c>
      <c r="K116" s="171"/>
      <c r="L116" s="1">
        <v>934</v>
      </c>
      <c r="M116" s="1">
        <v>496.12</v>
      </c>
      <c r="S116" s="1">
        <v>49.35</v>
      </c>
      <c r="Y116" s="1">
        <v>33.840000000000003</v>
      </c>
      <c r="AE116" s="70">
        <f>IF(C116="Jobs",1,Input!$C$38)</f>
        <v>2</v>
      </c>
      <c r="AF116" s="68" t="str">
        <f t="shared" si="0"/>
        <v>Yes</v>
      </c>
      <c r="AG116" s="68" t="str">
        <f t="shared" si="1"/>
        <v>Yes</v>
      </c>
      <c r="AH116" s="68" t="str">
        <f t="shared" si="2"/>
        <v>Yes</v>
      </c>
    </row>
    <row r="117" spans="1:34" s="1" customFormat="1" outlineLevel="1" x14ac:dyDescent="0.2">
      <c r="A117" s="14" t="s">
        <v>28</v>
      </c>
      <c r="B117" s="8">
        <v>0</v>
      </c>
      <c r="C117" s="72" t="s">
        <v>151</v>
      </c>
      <c r="D117" s="63"/>
      <c r="E117" s="159" t="s">
        <v>13</v>
      </c>
      <c r="F117" s="159" t="s">
        <v>13</v>
      </c>
      <c r="G117" s="159" t="s">
        <v>13</v>
      </c>
      <c r="H117" s="79">
        <f>IF(B117=0,0,IF(AF117="No","Error",IF(E117="Average Rate",$B117/IF($C117="jobs",Input!$C$38,1)*M117,IF(E117="Linear Equation",$B117/IF($C117="jobs",Input!$C$38,1)*N117+O117,EXP(LN($B117/IF($C117="jobs",Input!$C$38,1))*P117+Q117)))))</f>
        <v>0</v>
      </c>
      <c r="I117" s="79">
        <f>IF(B117=0,0,IF(AG117="No","Error",IF(F117="Average Rate",$B117/IF($C117="jobs",Input!$C$38,1)*S117,IF(F117="Linear Equation",$B117/IF($C117="jobs",Input!$C$38,1)*T117+U117,EXP(LN($B117/IF($C117="jobs",Input!$C$38,1))*V117+W117)))))</f>
        <v>0</v>
      </c>
      <c r="J117" s="79">
        <f>IF(B117=0,0,IF(AH117="No","Error",IF(G117="Average Rate",$B117/IF($C117="jobs",Input!$C$38,1)*Y117,IF(G117="Linear Equation",$B117/IF($C117="jobs",Input!$C$38,1)*Z117+AA117,EXP(LN($B117/IF($C117="jobs",Input!$C$38,1))*AB117+AC117)))))</f>
        <v>0</v>
      </c>
      <c r="K117" s="171"/>
      <c r="L117" s="1">
        <v>945</v>
      </c>
      <c r="M117" s="37">
        <f>162.78/13.38*97.08</f>
        <v>1181.0674439461882</v>
      </c>
      <c r="S117" s="1">
        <v>79.3</v>
      </c>
      <c r="Y117" s="1">
        <v>97.08</v>
      </c>
      <c r="AE117" s="70">
        <f>IF(C117="Jobs",1,Input!$C$38)</f>
        <v>2</v>
      </c>
      <c r="AF117" s="68" t="str">
        <f t="shared" si="0"/>
        <v>Yes</v>
      </c>
      <c r="AG117" s="68" t="str">
        <f t="shared" si="1"/>
        <v>Yes</v>
      </c>
      <c r="AH117" s="68" t="str">
        <f t="shared" si="2"/>
        <v>Yes</v>
      </c>
    </row>
    <row r="118" spans="1:34" s="1" customFormat="1" outlineLevel="1" x14ac:dyDescent="0.2">
      <c r="A118" s="14" t="s">
        <v>29</v>
      </c>
      <c r="B118" s="8">
        <v>0</v>
      </c>
      <c r="C118" s="72" t="s">
        <v>151</v>
      </c>
      <c r="D118" s="63"/>
      <c r="E118" s="159" t="s">
        <v>13</v>
      </c>
      <c r="F118" s="159" t="s">
        <v>13</v>
      </c>
      <c r="G118" s="159" t="s">
        <v>13</v>
      </c>
      <c r="H118" s="79">
        <f>IF(B118=0,0,IF(AF118="No","Error",IF(E118="Average Rate",$B118/IF($C118="jobs",Input!$C$38,1)*M118,IF(E118="Linear Equation",$B118/IF($C118="jobs",Input!$C$38,1)*N118+O118,EXP(LN($B118/IF($C118="jobs",Input!$C$38,1))*P118+Q118)))))</f>
        <v>0</v>
      </c>
      <c r="I118" s="79">
        <f>IF(B118=0,0,IF(AG118="No","Error",IF(F118="Average Rate",$B118/IF($C118="jobs",Input!$C$38,1)*S118,IF(F118="Linear Equation",$B118/IF($C118="jobs",Input!$C$38,1)*T118+U118,EXP(LN($B118/IF($C118="jobs",Input!$C$38,1))*V118+W118)))))</f>
        <v>0</v>
      </c>
      <c r="J118" s="79">
        <f>IF(B118=0,0,IF(AH118="No","Error",IF(G118="Average Rate",$B118/IF($C118="jobs",Input!$C$38,1)*Y118,IF(G118="Linear Equation",$B118/IF($C118="jobs",Input!$C$38,1)*Z118+AA118,EXP(LN($B118/IF($C118="jobs",Input!$C$38,1))*AB118+AC118)))))</f>
        <v>0</v>
      </c>
      <c r="K118" s="171"/>
      <c r="L118" s="1">
        <v>942</v>
      </c>
      <c r="M118" s="1">
        <f>AVERAGE(S118,Y118)*10</f>
        <v>31.6</v>
      </c>
      <c r="S118" s="1">
        <v>2.94</v>
      </c>
      <c r="Y118" s="1">
        <v>3.38</v>
      </c>
      <c r="AB118" s="1">
        <v>0.94</v>
      </c>
      <c r="AC118" s="1">
        <v>1.33</v>
      </c>
      <c r="AE118" s="70">
        <f>IF(C118="Jobs",1,Input!$C$38)</f>
        <v>2</v>
      </c>
      <c r="AF118" s="68" t="str">
        <f t="shared" si="0"/>
        <v>Yes</v>
      </c>
      <c r="AG118" s="68" t="str">
        <f t="shared" si="1"/>
        <v>Yes</v>
      </c>
      <c r="AH118" s="68" t="str">
        <f t="shared" si="2"/>
        <v>Yes</v>
      </c>
    </row>
    <row r="119" spans="1:34" s="1" customFormat="1" outlineLevel="1" x14ac:dyDescent="0.2">
      <c r="A119" s="23" t="s">
        <v>61</v>
      </c>
      <c r="B119" s="6"/>
      <c r="C119" s="24"/>
      <c r="D119" s="61"/>
      <c r="H119" s="73"/>
      <c r="L119" s="20"/>
      <c r="M119" s="20"/>
      <c r="N119" s="20"/>
      <c r="O119" s="20"/>
      <c r="P119" s="20"/>
      <c r="Q119" s="20"/>
      <c r="S119" s="20"/>
      <c r="T119" s="20"/>
      <c r="U119" s="20"/>
      <c r="V119" s="20"/>
      <c r="W119" s="20"/>
      <c r="Y119" s="20"/>
      <c r="Z119" s="20"/>
      <c r="AA119" s="20"/>
      <c r="AB119" s="20"/>
      <c r="AC119" s="20"/>
      <c r="AE119" s="71"/>
      <c r="AF119" s="71"/>
      <c r="AG119" s="71"/>
      <c r="AH119" s="71"/>
    </row>
    <row r="120" spans="1:34" s="1" customFormat="1" outlineLevel="1" x14ac:dyDescent="0.2">
      <c r="A120" s="14" t="s">
        <v>160</v>
      </c>
      <c r="B120" s="21">
        <v>100</v>
      </c>
      <c r="C120" s="72" t="s">
        <v>170</v>
      </c>
      <c r="D120" s="61"/>
      <c r="E120" s="159" t="s">
        <v>169</v>
      </c>
      <c r="F120" s="159" t="s">
        <v>169</v>
      </c>
      <c r="G120" s="159" t="s">
        <v>180</v>
      </c>
      <c r="H120" s="73">
        <f>IF(B120=0,0,IF(AF120="No","Error",IF(E120="Average Rate",$B120*M120,IF(E120="Linear Equation",$B120*N120+O120,EXP(LN($B120)*P120+Q120)))))</f>
        <v>445.11957602114029</v>
      </c>
      <c r="I120" s="73">
        <f>IF(B120=0,0,IF(AG120="No","Error",IF(F120="Average Rate",$B120*S120,IF(F120="Linear Equation",$B120*T120+U120,EXP(LN($B120)*V120+W120)))))</f>
        <v>66.716103792485825</v>
      </c>
      <c r="J120" s="73">
        <f>IF(B120=0,0,IF(AH120="No","Error",IF(G120="Average Rate",$B120*Y120,IF(G120="Linear Equation",$B120*Z120+AA120,EXP(LN($B120)*AB120+AC120)))))</f>
        <v>97.08</v>
      </c>
      <c r="L120" s="1">
        <v>710</v>
      </c>
      <c r="M120" s="1">
        <f>IF($C120="jobs",3.32,11.01)</f>
        <v>3.32</v>
      </c>
      <c r="P120" s="1">
        <f>IF($C120="jobs",0.84,0.77)</f>
        <v>0.84</v>
      </c>
      <c r="Q120" s="1">
        <f>IF($C120="jobs",2.23,3.65)</f>
        <v>2.23</v>
      </c>
      <c r="S120" s="1">
        <f>IF($C120="jobs",0.48,1.55)</f>
        <v>0.48</v>
      </c>
      <c r="V120" s="1">
        <f>IF($C120="jobs",0.86,0.8)</f>
        <v>0.86</v>
      </c>
      <c r="W120" s="1">
        <f>IF($C120="jobs",0.24,1.55)</f>
        <v>0.24</v>
      </c>
      <c r="Y120" s="1">
        <f>IF($C120="jobs",0.46,1.49)</f>
        <v>0.46</v>
      </c>
      <c r="Z120" s="1">
        <f>IF($C120="jobs",0.37,1.12)</f>
        <v>0.37</v>
      </c>
      <c r="AA120" s="1">
        <f>IF($C120="jobs",60.08,78.81)</f>
        <v>60.08</v>
      </c>
      <c r="AE120" s="70">
        <f>IF(C120="Jobs",1,Input!$C$39)</f>
        <v>1</v>
      </c>
      <c r="AF120" s="68" t="str">
        <f>IF(E120="Linear Equation",IF(N120="","No","Yes"),IF(E120="Log Equation",(IF(P120="","No","Yes")),"Yes"))</f>
        <v>Yes</v>
      </c>
      <c r="AG120" s="68" t="str">
        <f>IF(F120="Linear Equation",IF(T120="","No","Yes"),IF(F120="Log Equation",(IF(V120="","No","Yes")),"Yes"))</f>
        <v>Yes</v>
      </c>
      <c r="AH120" s="68" t="str">
        <f>IF(G120="Linear Equation",IF(Z120="","No","Yes"),IF(G120="Log Equation",(IF(AB120="","No","Yes")),"Yes"))</f>
        <v>Yes</v>
      </c>
    </row>
    <row r="121" spans="1:34" s="1" customFormat="1" outlineLevel="1" x14ac:dyDescent="0.2">
      <c r="A121" s="25" t="s">
        <v>161</v>
      </c>
      <c r="B121" s="8">
        <v>0</v>
      </c>
      <c r="C121" s="72" t="s">
        <v>170</v>
      </c>
      <c r="D121" s="61"/>
      <c r="E121" s="159" t="s">
        <v>13</v>
      </c>
      <c r="F121" s="159" t="s">
        <v>13</v>
      </c>
      <c r="G121" s="159" t="s">
        <v>13</v>
      </c>
      <c r="H121" s="73">
        <f>IF(B121=0,0,IF(AF121="No","Error",IF(E121="Average Rate",$B121*M121,IF(E121="Linear Equation",$B121*N121+O121,EXP(LN($B121)*P121+Q121)))))</f>
        <v>0</v>
      </c>
      <c r="I121" s="73">
        <f>IF(B121=0,0,IF(AG121="No","Error",IF(F121="Average Rate",$B121*S121,IF(F121="Linear Equation",$B121*T121+U121,EXP(LN($B121)*V121+W121)))))</f>
        <v>0</v>
      </c>
      <c r="J121" s="73">
        <f>IF(B121=0,0,IF(AH121="No","Error",IF(G121="Average Rate",$B121*Y121,IF(G121="Linear Equation",$B121*Z121+AA121,EXP(LN($B121)*AB121+AC121)))))</f>
        <v>0</v>
      </c>
      <c r="L121" s="1">
        <v>720</v>
      </c>
      <c r="M121" s="1">
        <f>IF($C121="jobs",8.91,36.13)</f>
        <v>8.91</v>
      </c>
      <c r="P121" s="1">
        <f>IF($C121="jobs",0.67,40.89)</f>
        <v>0.67</v>
      </c>
      <c r="Q121" s="1">
        <f>IF($C121="jobs",3.76,-214.97)</f>
        <v>3.76</v>
      </c>
      <c r="S121" s="1">
        <f>IF($C121="jobs",0.53,2.3)</f>
        <v>0.53</v>
      </c>
      <c r="Y121" s="1">
        <f>IF($C121="jobs",1.06,3.46)</f>
        <v>1.06</v>
      </c>
      <c r="AB121" s="1">
        <f>IF($C121="jobs",1.06,0.88)</f>
        <v>1.06</v>
      </c>
      <c r="AC121" s="1">
        <f>IF($C121="jobs",-0.32,1.59)</f>
        <v>-0.32</v>
      </c>
      <c r="AE121" s="70">
        <f>IF(C121="Jobs",1,Input!$C$39)</f>
        <v>1</v>
      </c>
      <c r="AF121" s="68" t="str">
        <f>IF(E121="Linear Equation",IF(N121="","No","Yes"),IF(E121="Log Equation",(IF(P121="","No","Yes")),"Yes"))</f>
        <v>Yes</v>
      </c>
      <c r="AG121" s="68" t="str">
        <f>IF(F121="Linear Equation",IF(T121="","No","Yes"),IF(F121="Log Equation",(IF(V121="","No","Yes")),"Yes"))</f>
        <v>Yes</v>
      </c>
      <c r="AH121" s="68" t="str">
        <f>IF(G121="Linear Equation",IF(Z121="","No","Yes"),IF(G121="Log Equation",(IF(AB121="","No","Yes")),"Yes"))</f>
        <v>Yes</v>
      </c>
    </row>
    <row r="122" spans="1:34" s="1" customFormat="1" outlineLevel="1" x14ac:dyDescent="0.2">
      <c r="A122" s="2" t="s">
        <v>141</v>
      </c>
      <c r="B122" s="6"/>
      <c r="C122" s="24"/>
      <c r="D122" s="61"/>
      <c r="H122" s="73"/>
      <c r="L122" s="20"/>
      <c r="M122" s="20"/>
      <c r="N122" s="20"/>
      <c r="O122" s="20"/>
      <c r="P122" s="20"/>
      <c r="Q122" s="20"/>
      <c r="S122" s="20"/>
      <c r="T122" s="20"/>
      <c r="U122" s="20"/>
      <c r="V122" s="20"/>
      <c r="W122" s="20"/>
      <c r="Y122" s="20"/>
      <c r="Z122" s="20"/>
      <c r="AA122" s="20"/>
      <c r="AB122" s="20"/>
      <c r="AC122" s="20"/>
      <c r="AE122" s="71"/>
      <c r="AF122" s="71"/>
      <c r="AG122" s="71"/>
      <c r="AH122" s="71"/>
    </row>
    <row r="123" spans="1:34" s="1" customFormat="1" outlineLevel="1" x14ac:dyDescent="0.2">
      <c r="A123" s="26" t="s">
        <v>30</v>
      </c>
      <c r="B123" s="8"/>
      <c r="C123" s="72" t="s">
        <v>170</v>
      </c>
      <c r="D123" s="61"/>
      <c r="E123" s="159" t="s">
        <v>13</v>
      </c>
      <c r="F123" s="159" t="s">
        <v>13</v>
      </c>
      <c r="G123" s="159" t="s">
        <v>13</v>
      </c>
      <c r="H123" s="73">
        <f>IF(B123=0,0,IF(AF123="No","Error",IF(E123="Average Rate",$B123*M123,IF(E123="Linear Equation",$B123*N123+O123,EXP(LN($B123)*P123+Q123)))))</f>
        <v>0</v>
      </c>
      <c r="I123" s="73">
        <f>IF(B123=0,0,IF(AG123="No","Error",IF(F123="Average Rate",$B123*S123,IF(F123="Linear Equation",$B123*T123+U123,EXP(LN($B123)*V123+W123)))))</f>
        <v>0</v>
      </c>
      <c r="J123" s="73">
        <f>IF(B123=0,0,IF(AH123="No","Error",IF(G123="Average Rate",$B123*Y123,IF(G123="Linear Equation",$B123*Z123+AA123,EXP(LN($B123)*AB123+AC123)))))</f>
        <v>0</v>
      </c>
      <c r="L123" s="6">
        <v>110</v>
      </c>
      <c r="M123" s="1">
        <f>IF($C123="jobs",3.02,6.97)</f>
        <v>3.02</v>
      </c>
      <c r="N123" s="1">
        <f>IF($C123="jobs",2.95,7.47)</f>
        <v>2.95</v>
      </c>
      <c r="O123" s="1">
        <f>IF($C123="jobs",30.57,-101.92)</f>
        <v>30.57</v>
      </c>
      <c r="P123" s="6"/>
      <c r="Q123" s="6"/>
      <c r="S123" s="1">
        <f>IF($C123="jobs",0.44,0.92)</f>
        <v>0.44</v>
      </c>
      <c r="T123" s="1">
        <f>IF($C123="jobs",0.27,1.18)</f>
        <v>0.27</v>
      </c>
      <c r="U123" s="1">
        <f>IF($C123="jobs",70.47,-89.28)</f>
        <v>70.47</v>
      </c>
      <c r="V123" s="6"/>
      <c r="W123" s="6"/>
      <c r="Y123" s="1">
        <f>IF($C123="jobs",0.42,0.97)</f>
        <v>0.42</v>
      </c>
      <c r="Z123" s="1">
        <f>IF($C123="jobs",0.29,1.43)</f>
        <v>0.28999999999999998</v>
      </c>
      <c r="AA123" s="1">
        <f>IF($C123="jobs",58.03,-157.36)</f>
        <v>58.03</v>
      </c>
      <c r="AB123" s="6"/>
      <c r="AC123" s="6"/>
      <c r="AE123" s="70">
        <f>IF(C123="Jobs",1,Input!$C$40)</f>
        <v>1</v>
      </c>
      <c r="AF123" s="68" t="str">
        <f>IF(E123="Linear Equation",IF(N123="","No","Yes"),IF(E123="Log Equation",(IF(P123="","No","Yes")),"Yes"))</f>
        <v>Yes</v>
      </c>
      <c r="AG123" s="68" t="str">
        <f>IF(F123="Linear Equation",IF(T123="","No","Yes"),IF(F123="Log Equation",(IF(V123="","No","Yes")),"Yes"))</f>
        <v>Yes</v>
      </c>
      <c r="AH123" s="68" t="str">
        <f>IF(G123="Linear Equation",IF(Z123="","No","Yes"),IF(G123="Log Equation",(IF(AB123="","No","Yes")),"Yes"))</f>
        <v>Yes</v>
      </c>
    </row>
    <row r="124" spans="1:34" s="1" customFormat="1" outlineLevel="1" x14ac:dyDescent="0.2">
      <c r="A124" s="14" t="s">
        <v>31</v>
      </c>
      <c r="B124" s="8">
        <v>200</v>
      </c>
      <c r="C124" s="72" t="s">
        <v>151</v>
      </c>
      <c r="D124" s="61"/>
      <c r="E124" s="159" t="s">
        <v>13</v>
      </c>
      <c r="F124" s="159" t="s">
        <v>13</v>
      </c>
      <c r="G124" s="159" t="s">
        <v>13</v>
      </c>
      <c r="H124" s="73">
        <f>IF(B124=0,0,IF(AF124="No","Error",IF(E124="Average Rate",$B124*M124,IF(E124="Linear Equation",$B124*N124+O124,EXP(LN($B124)*P124+Q124)))))</f>
        <v>764</v>
      </c>
      <c r="I124" s="73">
        <f>IF(B124=0,0,IF(AG124="No","Error",IF(F124="Average Rate",$B124*S124,IF(F124="Linear Equation",$B124*T124+U124,EXP(LN($B124)*V124+W124)))))</f>
        <v>146</v>
      </c>
      <c r="J124" s="73">
        <f>IF(B124=0,0,IF(AH124="No","Error",IF(G124="Average Rate",$B124*Y124,IF(G124="Linear Equation",$B124*Z124+AA124,EXP(LN($B124)*AB124+AC124)))))</f>
        <v>146</v>
      </c>
      <c r="L124" s="1">
        <v>140</v>
      </c>
      <c r="M124" s="1">
        <f>IF($C124="jobs",2.13,3.82)</f>
        <v>3.82</v>
      </c>
      <c r="N124" s="1">
        <f>IF($C124="jobs",1.75,3.88)</f>
        <v>3.88</v>
      </c>
      <c r="O124" s="1">
        <f>IF($C124="jobs",245.96,-20.7)</f>
        <v>-20.7</v>
      </c>
      <c r="S124" s="1">
        <f>IF($C124="jobs",0.4,0.73)</f>
        <v>0.73</v>
      </c>
      <c r="T124" s="1">
        <f>IF($C124="jobs","",0.83)</f>
        <v>0.83</v>
      </c>
      <c r="U124" s="1">
        <f>IF($C124="jobs","",-29.52)</f>
        <v>-29.52</v>
      </c>
      <c r="V124" s="1" t="str">
        <f>IF($C124="jobs",0.85,"")</f>
        <v/>
      </c>
      <c r="W124" s="1" t="str">
        <f>IF($C124="jobs",0.07,"")</f>
        <v/>
      </c>
      <c r="Y124" s="1">
        <f>IF($C124="jobs",0.36,0.73)</f>
        <v>0.73</v>
      </c>
      <c r="Z124" s="1">
        <f>IF($C124="jobs","",0.78)</f>
        <v>0.78</v>
      </c>
      <c r="AA124" s="1">
        <f>IF($C124="jobs","",-15.97)</f>
        <v>-15.97</v>
      </c>
      <c r="AB124" s="1" t="str">
        <f>IF($C124="jobs",0.78,"")</f>
        <v/>
      </c>
      <c r="AC124" s="1" t="str">
        <f>IF($C124="jobs",0.48,"")</f>
        <v/>
      </c>
      <c r="AE124" s="70">
        <f>IF(C124="Jobs",1,Input!$C$41)</f>
        <v>0.5</v>
      </c>
      <c r="AF124" s="68" t="str">
        <f>IF(E124="Linear Equation",IF(N124="","No","Yes"),IF(E124="Log Equation",(IF(P124="","No","Yes")),"Yes"))</f>
        <v>Yes</v>
      </c>
      <c r="AG124" s="68" t="str">
        <f>IF(F124="Linear Equation",IF(T124="","No","Yes"),IF(F124="Log Equation",(IF(V124="","No","Yes")),"Yes"))</f>
        <v>Yes</v>
      </c>
      <c r="AH124" s="68" t="str">
        <f>IF(G124="Linear Equation",IF(Z124="","No","Yes"),IF(G124="Log Equation",(IF(AB124="","No","Yes")),"Yes"))</f>
        <v>Yes</v>
      </c>
    </row>
    <row r="125" spans="1:34" s="1" customFormat="1" outlineLevel="1" x14ac:dyDescent="0.2">
      <c r="A125" s="14" t="s">
        <v>174</v>
      </c>
      <c r="B125" s="8">
        <v>0</v>
      </c>
      <c r="C125" s="24" t="s">
        <v>151</v>
      </c>
      <c r="D125" s="61"/>
      <c r="E125" s="159" t="s">
        <v>13</v>
      </c>
      <c r="F125" s="159" t="s">
        <v>13</v>
      </c>
      <c r="G125" s="159" t="s">
        <v>13</v>
      </c>
      <c r="H125" s="73">
        <f>IF(B125=0,0,IF(AF125="No","Error",IF(E125="Average Rate",$B125*M125,IF(E125="Linear Equation",$B125*N125+O125,EXP(LN($B125)*P125+Q125)))))</f>
        <v>0</v>
      </c>
      <c r="I125" s="73">
        <f>IF(B125=0,0,IF(AG125="No","Error",IF(F125="Average Rate",$B125*S125,IF(F125="Linear Equation",$B125*T125+U125,EXP(LN($B125)*V125+W125)))))</f>
        <v>0</v>
      </c>
      <c r="J125" s="73">
        <f>IF(B125=0,0,IF(AH125="No","Error",IF(G125="Average Rate",$B125*Y125,IF(G125="Linear Equation",$B125*Z125+AA125,EXP(LN($B125)*AB125+AC125)))))</f>
        <v>0</v>
      </c>
      <c r="L125" s="1">
        <v>151</v>
      </c>
      <c r="M125" s="1">
        <v>2.5</v>
      </c>
      <c r="N125" s="1" t="str">
        <f>IF($C125="jobs",0.43,"")</f>
        <v/>
      </c>
      <c r="O125" s="1" t="str">
        <f>IF($C125="jobs",50.56,"")</f>
        <v/>
      </c>
      <c r="P125" s="1">
        <v>1.01</v>
      </c>
      <c r="Q125" s="1">
        <v>0.82</v>
      </c>
      <c r="S125" s="1">
        <v>0.15</v>
      </c>
      <c r="Y125" s="1">
        <v>0.26</v>
      </c>
      <c r="AB125" s="1">
        <v>1.02</v>
      </c>
      <c r="AC125" s="1">
        <v>1.49</v>
      </c>
      <c r="AE125" s="70">
        <f>IF(C125="Jobs",1,Input!$C$42)</f>
        <v>2</v>
      </c>
      <c r="AF125" s="68" t="str">
        <f>IF(E125="Linear Equation",IF(N125="","No","Yes"),IF(E125="Log Equation",(IF(P125="","No","Yes")),"Yes"))</f>
        <v>Yes</v>
      </c>
      <c r="AG125" s="68" t="str">
        <f>IF(F125="Linear Equation",IF(T125="","No","Yes"),IF(F125="Log Equation",(IF(V125="","No","Yes")),"Yes"))</f>
        <v>Yes</v>
      </c>
      <c r="AH125" s="68" t="str">
        <f>IF(G125="Linear Equation",IF(Z125="","No","Yes"),IF(G125="Log Equation",(IF(AB125="","No","Yes")),"Yes"))</f>
        <v>Yes</v>
      </c>
    </row>
    <row r="126" spans="1:34" s="1" customFormat="1" outlineLevel="1" x14ac:dyDescent="0.2">
      <c r="D126" s="60"/>
      <c r="H126" s="73"/>
      <c r="L126" s="20"/>
      <c r="M126" s="20"/>
      <c r="N126" s="20"/>
      <c r="O126" s="20"/>
      <c r="P126" s="20"/>
      <c r="Q126" s="20"/>
      <c r="S126" s="20"/>
      <c r="T126" s="20"/>
      <c r="U126" s="20"/>
      <c r="V126" s="20"/>
      <c r="W126" s="20"/>
      <c r="Y126" s="20"/>
      <c r="Z126" s="20"/>
      <c r="AA126" s="20"/>
      <c r="AB126" s="20"/>
      <c r="AC126" s="20"/>
      <c r="AE126" s="69"/>
      <c r="AF126" s="69"/>
      <c r="AG126" s="69"/>
      <c r="AH126" s="69"/>
    </row>
    <row r="127" spans="1:34" s="1" customFormat="1" outlineLevel="1" x14ac:dyDescent="0.2">
      <c r="A127" s="2" t="s">
        <v>178</v>
      </c>
      <c r="B127" s="8">
        <v>0</v>
      </c>
      <c r="C127" s="24" t="s">
        <v>166</v>
      </c>
      <c r="D127" s="61"/>
      <c r="E127" s="159" t="s">
        <v>13</v>
      </c>
      <c r="F127" s="159" t="s">
        <v>13</v>
      </c>
      <c r="G127" s="159" t="s">
        <v>13</v>
      </c>
      <c r="H127" s="73">
        <f>IF(B127=0,0,IF(AF127="No","Error",IF(E127="Average Rate",$B127*M127,IF(E127="Linear Equation",$B127*N127+O127,EXP(LN($B127)*P127+Q127)))))</f>
        <v>0</v>
      </c>
      <c r="I127" s="73">
        <f>IF(B127=0,0,IF(AG127="No","Error",IF(F127="Average Rate",$B127*S127,IF(F127="Linear Equation",$B127*T127+U127,EXP(LN($B127)*V127+W127)))))</f>
        <v>0</v>
      </c>
      <c r="J127" s="73">
        <f>IF(B127=0,0,IF(AH127="No","Error",IF(G127="Average Rate",$B127*Y127,IF(G127="Linear Equation",$B127*Z127+AA127,EXP(LN($B127)*AB127+AC127)))))</f>
        <v>0</v>
      </c>
      <c r="L127" s="1">
        <v>310</v>
      </c>
      <c r="M127" s="1">
        <v>8.17</v>
      </c>
      <c r="N127" s="1">
        <v>8.9499999999999993</v>
      </c>
      <c r="O127" s="1">
        <v>-373.16</v>
      </c>
      <c r="S127" s="1">
        <v>0.56000000000000005</v>
      </c>
      <c r="V127" s="1">
        <v>1.24</v>
      </c>
      <c r="W127" s="1">
        <v>-2</v>
      </c>
      <c r="Y127" s="1">
        <v>0.59</v>
      </c>
      <c r="AE127" s="13">
        <f>Input!$C$47</f>
        <v>0.5</v>
      </c>
      <c r="AF127" s="68" t="str">
        <f>IF(E127="Linear Equation",IF(N127="","No","Yes"),IF(E127="Log Equation",(IF(P127="","No","Yes")),"Yes"))</f>
        <v>Yes</v>
      </c>
      <c r="AG127" s="68" t="str">
        <f>IF(F127="Linear Equation",IF(T127="","No","Yes"),IF(F127="Log Equation",(IF(V127="","No","Yes")),"Yes"))</f>
        <v>Yes</v>
      </c>
      <c r="AH127" s="68" t="str">
        <f>IF(G127="Linear Equation",IF(Z127="","No","Yes"),IF(G127="Log Equation",(IF(AB127="","No","Yes")),"Yes"))</f>
        <v>Yes</v>
      </c>
    </row>
    <row r="128" spans="1:34" s="1" customFormat="1" outlineLevel="1" x14ac:dyDescent="0.2">
      <c r="A128" s="2" t="s">
        <v>177</v>
      </c>
      <c r="B128" s="8">
        <v>0</v>
      </c>
      <c r="C128" s="24" t="s">
        <v>166</v>
      </c>
      <c r="D128" s="61"/>
      <c r="E128" s="159" t="s">
        <v>13</v>
      </c>
      <c r="F128" s="159" t="s">
        <v>13</v>
      </c>
      <c r="G128" s="159" t="s">
        <v>13</v>
      </c>
      <c r="H128" s="73">
        <f>IF(B128=0,0,IF(AF128="No","Error",IF(E128="Average Rate",$B128*M128,IF(E128="Linear Equation",$B128*N128+O128,EXP(LN($B128)*P128+Q128)))))</f>
        <v>0</v>
      </c>
      <c r="I128" s="73">
        <f>IF(B128=0,0,IF(AG128="No","Error",IF(F128="Average Rate",$B128*S128,IF(F128="Linear Equation",$B128*T128+U128,EXP(LN($B128)*V128+W128)))))</f>
        <v>0</v>
      </c>
      <c r="J128" s="73">
        <f>IF(B128=0,0,IF(AH128="No","Error",IF(G128="Average Rate",$B128*Y128,IF(G128="Linear Equation",$B128*Z128+AA128,EXP(LN($B128)*AB128+AC128)))))</f>
        <v>0</v>
      </c>
      <c r="L128" s="1">
        <v>320</v>
      </c>
      <c r="M128" s="1">
        <v>5.63</v>
      </c>
      <c r="P128" s="1">
        <v>0.92</v>
      </c>
      <c r="Q128" s="1">
        <v>2.11</v>
      </c>
      <c r="S128" s="1">
        <v>0.45</v>
      </c>
      <c r="V128" s="1">
        <v>0.92</v>
      </c>
      <c r="W128" s="1">
        <v>-0.46</v>
      </c>
      <c r="Y128" s="1">
        <v>0.47</v>
      </c>
      <c r="AB128" s="1">
        <v>0.94</v>
      </c>
      <c r="AC128" s="1">
        <v>-0.51</v>
      </c>
      <c r="AE128" s="13">
        <f>Input!$C$47</f>
        <v>0.5</v>
      </c>
      <c r="AF128" s="68" t="str">
        <f>IF(E128="Linear Equation",IF(N128="","No","Yes"),IF(E128="Log Equation",(IF(P128="","No","Yes")),"Yes"))</f>
        <v>Yes</v>
      </c>
      <c r="AG128" s="68" t="str">
        <f>IF(F128="Linear Equation",IF(T128="","No","Yes"),IF(F128="Log Equation",(IF(V128="","No","Yes")),"Yes"))</f>
        <v>Yes</v>
      </c>
      <c r="AH128" s="68" t="str">
        <f>IF(G128="Linear Equation",IF(Z128="","No","Yes"),IF(G128="Log Equation",(IF(AB128="","No","Yes")),"Yes"))</f>
        <v>Yes</v>
      </c>
    </row>
    <row r="129" spans="1:34" s="1" customFormat="1" outlineLevel="1" x14ac:dyDescent="0.2">
      <c r="A129" s="2" t="s">
        <v>165</v>
      </c>
      <c r="B129" s="8">
        <v>0</v>
      </c>
      <c r="C129" s="24" t="s">
        <v>167</v>
      </c>
      <c r="D129" s="61"/>
      <c r="E129" s="159" t="s">
        <v>13</v>
      </c>
      <c r="F129" s="159" t="s">
        <v>13</v>
      </c>
      <c r="G129" s="159" t="s">
        <v>13</v>
      </c>
      <c r="H129" s="73">
        <f>IF(B129=0,0,IF(AF129="No","Error",IF(E129="Average Rate",$B129*M129,IF(E129="Linear Equation",$B129*N129+O129,EXP(LN($B129)*P129+Q129)))))</f>
        <v>0</v>
      </c>
      <c r="I129" s="73">
        <f>IF(B129=0,0,IF(AG129="No","Error",IF(F129="Average Rate",$B129*S129,IF(F129="Linear Equation",$B129*T129+U129,EXP(LN($B129)*V129+W129)))))</f>
        <v>0</v>
      </c>
      <c r="J129" s="73">
        <f>IF(B129=0,0,IF(AH129="No","Error",IF(G129="Average Rate",$B129*Y129,IF(G129="Linear Equation",$B129*Z129+AA129,EXP(LN($B129)*AB129+AC129)))))</f>
        <v>0</v>
      </c>
      <c r="L129" s="1">
        <v>445</v>
      </c>
      <c r="M129" s="37">
        <f>292.5*13.64/22.76</f>
        <v>175.29437609841827</v>
      </c>
      <c r="S129" s="1">
        <v>0</v>
      </c>
      <c r="Y129" s="1">
        <v>13.64</v>
      </c>
      <c r="AE129" s="13">
        <f>Input!$C$48</f>
        <v>4</v>
      </c>
      <c r="AF129" s="68" t="str">
        <f>IF(E129="Linear Equation",IF(N129="","No","Yes"),IF(E129="Log Equation",(IF(P129="","No","Yes")),"Yes"))</f>
        <v>Yes</v>
      </c>
      <c r="AG129" s="68" t="str">
        <f>IF(F129="Linear Equation",IF(T129="","No","Yes"),IF(F129="Log Equation",(IF(V129="","No","Yes")),"Yes"))</f>
        <v>Yes</v>
      </c>
      <c r="AH129" s="68" t="str">
        <f>IF(G129="Linear Equation",IF(Z129="","No","Yes"),IF(G129="Log Equation",(IF(AB129="","No","Yes")),"Yes"))</f>
        <v>Yes</v>
      </c>
    </row>
    <row r="130" spans="1:34" s="1" customFormat="1" outlineLevel="1" x14ac:dyDescent="0.2">
      <c r="A130" s="2" t="s">
        <v>136</v>
      </c>
      <c r="B130" s="6"/>
      <c r="C130" s="6"/>
      <c r="D130" s="61"/>
      <c r="H130" s="73"/>
      <c r="L130" s="20"/>
      <c r="M130" s="20"/>
      <c r="N130" s="20"/>
      <c r="O130" s="20"/>
      <c r="P130" s="20"/>
      <c r="Q130" s="20"/>
      <c r="S130" s="20"/>
      <c r="T130" s="20"/>
      <c r="U130" s="20"/>
      <c r="V130" s="20"/>
      <c r="W130" s="20"/>
      <c r="Y130" s="20"/>
      <c r="Z130" s="20"/>
      <c r="AA130" s="20"/>
      <c r="AB130" s="20"/>
      <c r="AC130" s="20"/>
      <c r="AE130" s="69"/>
      <c r="AF130" s="69"/>
      <c r="AG130" s="69"/>
      <c r="AH130" s="69"/>
    </row>
    <row r="131" spans="1:34" s="1" customFormat="1" outlineLevel="1" x14ac:dyDescent="0.2">
      <c r="A131" s="25" t="s">
        <v>152</v>
      </c>
      <c r="B131" s="8">
        <v>0</v>
      </c>
      <c r="C131" s="24" t="s">
        <v>168</v>
      </c>
      <c r="D131" s="61"/>
      <c r="E131" s="159" t="s">
        <v>13</v>
      </c>
      <c r="F131" s="159" t="s">
        <v>13</v>
      </c>
      <c r="G131" s="159" t="s">
        <v>13</v>
      </c>
      <c r="H131" s="73">
        <f>IF(B131=0,0,IF(AF131="No","Error",IF(E131="Average Rate",$B131*M131,IF(E131="Linear Equation",$B131*N131+O131,EXP(LN($B131)*P131+Q131)))))</f>
        <v>0</v>
      </c>
      <c r="I131" s="73">
        <f>IF(B131=0,0,IF(AG131="No","Error",IF(F131="Average Rate",$B131*S131,IF(F131="Linear Equation",$B131*T131+U131,EXP(LN($B131)*V131+W131)))))</f>
        <v>0</v>
      </c>
      <c r="J131" s="73">
        <f>IF(B131=0,0,IF(AH131="No","Error",IF(G131="Average Rate",$B131*Y131,IF(G131="Linear Equation",$B131*Z131+AA131,EXP(LN($B131)*AB131+AC131)))))</f>
        <v>0</v>
      </c>
      <c r="L131" s="6">
        <v>550</v>
      </c>
      <c r="M131" s="6">
        <v>2.38</v>
      </c>
      <c r="N131" s="6">
        <v>2.23</v>
      </c>
      <c r="O131" s="6">
        <v>440</v>
      </c>
      <c r="P131" s="6"/>
      <c r="Q131" s="6"/>
      <c r="S131" s="6">
        <v>0.21</v>
      </c>
      <c r="T131" s="6">
        <v>0.21</v>
      </c>
      <c r="U131" s="6">
        <v>-69.14</v>
      </c>
      <c r="V131" s="6"/>
      <c r="W131" s="6"/>
      <c r="Y131" s="6">
        <v>0.21</v>
      </c>
      <c r="Z131" s="6">
        <v>0.19</v>
      </c>
      <c r="AA131" s="6">
        <v>118.58</v>
      </c>
      <c r="AB131" s="6"/>
      <c r="AC131" s="6"/>
      <c r="AE131" s="13">
        <f>Input!$C$51</f>
        <v>0.25</v>
      </c>
      <c r="AF131" s="68" t="str">
        <f>IF(E131="Linear Equation",IF(N131="","No","Yes"),IF(E131="Log Equation",(IF(P131="","No","Yes")),"Yes"))</f>
        <v>Yes</v>
      </c>
      <c r="AG131" s="68" t="str">
        <f>IF(F131="Linear Equation",IF(T131="","No","Yes"),IF(F131="Log Equation",(IF(V131="","No","Yes")),"Yes"))</f>
        <v>Yes</v>
      </c>
      <c r="AH131" s="68" t="str">
        <f>IF(G131="Linear Equation",IF(Z131="","No","Yes"),IF(G131="Log Equation",(IF(AB131="","No","Yes")),"Yes"))</f>
        <v>Yes</v>
      </c>
    </row>
    <row r="132" spans="1:34" s="1" customFormat="1" outlineLevel="1" x14ac:dyDescent="0.2">
      <c r="A132" s="25" t="s">
        <v>33</v>
      </c>
      <c r="B132" s="8">
        <v>0</v>
      </c>
      <c r="C132" s="24" t="s">
        <v>168</v>
      </c>
      <c r="D132" s="61"/>
      <c r="E132" s="159" t="s">
        <v>13</v>
      </c>
      <c r="F132" s="159" t="s">
        <v>13</v>
      </c>
      <c r="G132" s="159" t="s">
        <v>13</v>
      </c>
      <c r="H132" s="73">
        <f>IF(B132=0,0,IF(AF132="No","Error",IF(E132="Average Rate",$B132*M132,IF(E132="Linear Equation",$B132*N132+O132,EXP(LN($B132)*P132+Q132)))))</f>
        <v>0</v>
      </c>
      <c r="I132" s="73">
        <f>IF(B132=0,0,IF(AG132="No","Error",IF(F132="Average Rate",$B132*S132,IF(F132="Linear Equation",$B132*T132+U132,EXP(LN($B132)*V132+W132)))))</f>
        <v>0</v>
      </c>
      <c r="J132" s="73">
        <f>IF(B132=0,0,IF(AH132="No","Error",IF(G132="Average Rate",$B132*Y132,IF(G132="Linear Equation",$B132*Z132+AA132,EXP(LN($B132)*AB132+AC132)))))</f>
        <v>0</v>
      </c>
      <c r="L132" s="6">
        <v>530</v>
      </c>
      <c r="M132" s="6">
        <v>1.71</v>
      </c>
      <c r="N132" s="6"/>
      <c r="O132" s="6"/>
      <c r="P132" s="6">
        <v>0.81</v>
      </c>
      <c r="Q132" s="6">
        <v>1.86</v>
      </c>
      <c r="S132" s="6">
        <v>0.42</v>
      </c>
      <c r="Y132" s="6">
        <v>0.13</v>
      </c>
      <c r="AE132" s="13">
        <f>Input!$C$50</f>
        <v>0.1</v>
      </c>
      <c r="AF132" s="68" t="str">
        <f>IF(E132="Linear Equation",IF(N132="","No","Yes"),IF(E132="Log Equation",(IF(P132="","No","Yes")),"Yes"))</f>
        <v>Yes</v>
      </c>
      <c r="AG132" s="68" t="str">
        <f>IF(F132="Linear Equation",IF(T132="","No","Yes"),IF(F132="Log Equation",(IF(V132="","No","Yes")),"Yes"))</f>
        <v>Yes</v>
      </c>
      <c r="AH132" s="68" t="str">
        <f>IF(G132="Linear Equation",IF(Z132="","No","Yes"),IF(G132="Log Equation",(IF(AB132="","No","Yes")),"Yes"))</f>
        <v>Yes</v>
      </c>
    </row>
    <row r="133" spans="1:34" s="1" customFormat="1" outlineLevel="1" x14ac:dyDescent="0.2">
      <c r="A133" s="25" t="s">
        <v>179</v>
      </c>
      <c r="B133" s="8">
        <v>0</v>
      </c>
      <c r="C133" s="24" t="s">
        <v>168</v>
      </c>
      <c r="D133" s="61"/>
      <c r="E133" s="159" t="s">
        <v>13</v>
      </c>
      <c r="F133" s="159" t="s">
        <v>13</v>
      </c>
      <c r="G133" s="159" t="s">
        <v>13</v>
      </c>
      <c r="H133" s="73">
        <f>IF(B133=0,0,IF(AF133="No","Error",IF(E133="Average Rate",$B133*M133,IF(E133="Linear Equation",$B133*N133+O133,EXP(LN($B133)*P133+Q133)))))</f>
        <v>0</v>
      </c>
      <c r="I133" s="73">
        <f>IF(B133=0,0,IF(AG133="No","Error",IF(F133="Average Rate",$B133*S133,IF(F133="Linear Equation",$B133*T133+U133,EXP(LN($B133)*V133+W133)))))</f>
        <v>0</v>
      </c>
      <c r="J133" s="73">
        <f>IF(B133=0,0,IF(AH133="No","Error",IF(G133="Average Rate",$B133*Y133,IF(G133="Linear Equation",$B133*Z133+AA133,EXP(LN($B133)*AB133+AC133)))))</f>
        <v>0</v>
      </c>
      <c r="L133" s="6">
        <v>522</v>
      </c>
      <c r="M133" s="6">
        <v>1.62</v>
      </c>
      <c r="N133" s="6"/>
      <c r="O133" s="6"/>
      <c r="P133" s="6"/>
      <c r="Q133" s="6"/>
      <c r="S133" s="1">
        <v>0.54</v>
      </c>
      <c r="Y133" s="1">
        <v>0.16</v>
      </c>
      <c r="AE133" s="13">
        <f>Input!$C$50</f>
        <v>0.1</v>
      </c>
      <c r="AF133" s="68" t="str">
        <f>IF(E133="Linear Equation",IF(N133="","No","Yes"),IF(E133="Log Equation",(IF(P133="","No","Yes")),"Yes"))</f>
        <v>Yes</v>
      </c>
      <c r="AG133" s="68" t="str">
        <f>IF(F133="Linear Equation",IF(T133="","No","Yes"),IF(F133="Log Equation",(IF(V133="","No","Yes")),"Yes"))</f>
        <v>Yes</v>
      </c>
      <c r="AH133" s="68" t="str">
        <f>IF(G133="Linear Equation",IF(Z133="","No","Yes"),IF(G133="Log Equation",(IF(AB133="","No","Yes")),"Yes"))</f>
        <v>Yes</v>
      </c>
    </row>
    <row r="134" spans="1:34" s="1" customFormat="1" outlineLevel="1" x14ac:dyDescent="0.2">
      <c r="A134" s="25" t="s">
        <v>153</v>
      </c>
      <c r="B134" s="8">
        <v>0</v>
      </c>
      <c r="C134" s="24" t="s">
        <v>168</v>
      </c>
      <c r="D134" s="61"/>
      <c r="E134" s="159" t="s">
        <v>13</v>
      </c>
      <c r="F134" s="159" t="s">
        <v>13</v>
      </c>
      <c r="G134" s="159" t="s">
        <v>13</v>
      </c>
      <c r="H134" s="73">
        <f>IF(B134=0,0,IF(AF134="No","Error",IF(E134="Average Rate",$B134*M134,IF(E134="Linear Equation",$B134*N134+O134,EXP(LN($B134)*P134+Q134)))))</f>
        <v>0</v>
      </c>
      <c r="I134" s="73">
        <f>IF(B134=0,0,IF(AG134="No","Error",IF(F134="Average Rate",$B134*S134,IF(F134="Linear Equation",$B134*T134+U134,EXP(LN($B134)*V134+W134)))))</f>
        <v>0</v>
      </c>
      <c r="J134" s="73">
        <f>IF(B134=0,0,IF(AH134="No","Error",IF(G134="Average Rate",$B134*Y134,IF(G134="Linear Equation",$B134*Z134+AA134,EXP(LN($B134)*AB134+AC134)))))</f>
        <v>0</v>
      </c>
      <c r="L134" s="6">
        <v>520</v>
      </c>
      <c r="M134" s="6">
        <v>1.29</v>
      </c>
      <c r="N134" s="6"/>
      <c r="O134" s="6"/>
      <c r="P134" s="6"/>
      <c r="Q134" s="6"/>
      <c r="S134" s="6">
        <v>0.45</v>
      </c>
      <c r="T134" s="6"/>
      <c r="U134" s="6"/>
      <c r="V134" s="6">
        <v>1.1399999999999999</v>
      </c>
      <c r="W134" s="6">
        <v>-1.86</v>
      </c>
      <c r="Y134" s="6">
        <v>0.15</v>
      </c>
      <c r="Z134" s="6"/>
      <c r="AA134" s="6"/>
      <c r="AB134" s="6"/>
      <c r="AC134" s="6"/>
      <c r="AE134" s="13">
        <f>Input!$C$49</f>
        <v>0.1</v>
      </c>
      <c r="AF134" s="68" t="str">
        <f>IF(E134="Linear Equation",IF(N134="","No","Yes"),IF(E134="Log Equation",(IF(P134="","No","Yes")),"Yes"))</f>
        <v>Yes</v>
      </c>
      <c r="AG134" s="68" t="str">
        <f>IF(F134="Linear Equation",IF(T134="","No","Yes"),IF(F134="Log Equation",(IF(V134="","No","Yes")),"Yes"))</f>
        <v>Yes</v>
      </c>
      <c r="AH134" s="68" t="str">
        <f>IF(G134="Linear Equation",IF(Z134="","No","Yes"),IF(G134="Log Equation",(IF(AB134="","No","Yes")),"Yes"))</f>
        <v>Yes</v>
      </c>
    </row>
    <row r="135" spans="1:34" s="1" customFormat="1" outlineLevel="1" x14ac:dyDescent="0.2">
      <c r="Q135" s="6"/>
      <c r="R135" s="6"/>
      <c r="S135" s="6"/>
      <c r="T135" s="6"/>
      <c r="U135" s="6"/>
      <c r="W135" s="6"/>
      <c r="X135" s="6"/>
      <c r="Y135" s="6"/>
      <c r="Z135" s="6"/>
      <c r="AA135" s="6"/>
    </row>
    <row r="136" spans="1:34" s="1" customFormat="1" ht="25.5" outlineLevel="1" x14ac:dyDescent="0.2">
      <c r="A136" s="25"/>
      <c r="B136" s="17" t="s">
        <v>85</v>
      </c>
      <c r="C136" s="17" t="s">
        <v>95</v>
      </c>
      <c r="D136" s="17" t="s">
        <v>96</v>
      </c>
      <c r="E136" s="17"/>
      <c r="H136" s="6"/>
      <c r="I136" s="6"/>
      <c r="J136" s="6"/>
      <c r="K136" s="6"/>
      <c r="L136" s="6"/>
      <c r="M136" s="6"/>
    </row>
    <row r="137" spans="1:34" s="1" customFormat="1" outlineLevel="1" x14ac:dyDescent="0.2">
      <c r="A137" s="28" t="s">
        <v>156</v>
      </c>
      <c r="B137" s="139">
        <v>0</v>
      </c>
      <c r="C137" s="139">
        <v>0</v>
      </c>
      <c r="D137" s="139">
        <v>0</v>
      </c>
      <c r="E137" s="9"/>
      <c r="G137" s="6"/>
      <c r="O137" s="17"/>
    </row>
    <row r="138" spans="1:34" s="1" customFormat="1" outlineLevel="1" x14ac:dyDescent="0.2">
      <c r="A138" s="28" t="s">
        <v>157</v>
      </c>
      <c r="B138" s="139">
        <v>0</v>
      </c>
      <c r="C138" s="6"/>
      <c r="D138" s="17"/>
      <c r="E138" s="17"/>
    </row>
    <row r="139" spans="1:34" outlineLevel="1" x14ac:dyDescent="0.2"/>
    <row r="140" spans="1:34" ht="25.5" outlineLevel="1" x14ac:dyDescent="0.2">
      <c r="B140" s="17" t="s">
        <v>85</v>
      </c>
      <c r="C140" s="17" t="s">
        <v>95</v>
      </c>
      <c r="D140" s="17" t="s">
        <v>96</v>
      </c>
    </row>
    <row r="141" spans="1:34" outlineLevel="1" x14ac:dyDescent="0.2">
      <c r="A141" s="92" t="s">
        <v>298</v>
      </c>
      <c r="B141" s="91">
        <f>SUM(H107:H134)+B137</f>
        <v>3894.9224648130144</v>
      </c>
      <c r="C141" s="91">
        <f>SUM(I107:I134)+C137</f>
        <v>279.07326992152787</v>
      </c>
      <c r="D141" s="91">
        <f>SUM(J107:J134)+D137</f>
        <v>487.59974598605595</v>
      </c>
    </row>
    <row r="142" spans="1:34" collapsed="1" x14ac:dyDescent="0.2"/>
    <row r="144" spans="1:34" ht="20.25" x14ac:dyDescent="0.3">
      <c r="A144" s="136" t="s">
        <v>340</v>
      </c>
    </row>
    <row r="145" spans="1:12" x14ac:dyDescent="0.2">
      <c r="B145" s="140" t="s">
        <v>40</v>
      </c>
      <c r="C145" s="135" t="s">
        <v>41</v>
      </c>
      <c r="D145" s="135" t="s">
        <v>42</v>
      </c>
      <c r="E145" s="162"/>
      <c r="G145" s="92" t="s">
        <v>133</v>
      </c>
    </row>
    <row r="146" spans="1:12" x14ac:dyDescent="0.2">
      <c r="A146" s="149" t="s">
        <v>341</v>
      </c>
      <c r="B146" s="164">
        <v>0</v>
      </c>
      <c r="C146" s="164">
        <v>0</v>
      </c>
      <c r="D146" s="164">
        <v>0</v>
      </c>
      <c r="E146" s="163"/>
      <c r="G146" s="167" t="s">
        <v>349</v>
      </c>
      <c r="H146" s="168"/>
      <c r="I146" s="168"/>
      <c r="J146" s="168"/>
      <c r="K146" s="168"/>
      <c r="L146" s="168"/>
    </row>
    <row r="147" spans="1:12" x14ac:dyDescent="0.2">
      <c r="A147" s="92" t="s">
        <v>342</v>
      </c>
      <c r="B147" s="164">
        <v>0</v>
      </c>
      <c r="C147" s="164">
        <v>0</v>
      </c>
      <c r="D147" s="164">
        <v>0</v>
      </c>
      <c r="E147" s="163"/>
      <c r="G147" s="168"/>
      <c r="H147" s="168"/>
      <c r="I147" s="168"/>
      <c r="J147" s="168"/>
      <c r="K147" s="168"/>
      <c r="L147" s="168"/>
    </row>
  </sheetData>
  <sheetProtection sheet="1" objects="1" scenarios="1" selectLockedCells="1"/>
  <mergeCells count="14">
    <mergeCell ref="G146:L147"/>
    <mergeCell ref="C17:L17"/>
    <mergeCell ref="D64:F64"/>
    <mergeCell ref="G64:I64"/>
    <mergeCell ref="K111:K118"/>
    <mergeCell ref="A27:C27"/>
    <mergeCell ref="C25:I25"/>
    <mergeCell ref="J25:O25"/>
    <mergeCell ref="A110:C110"/>
    <mergeCell ref="E103:G103"/>
    <mergeCell ref="F89:G91"/>
    <mergeCell ref="G33:J35"/>
    <mergeCell ref="G38:J43"/>
    <mergeCell ref="G47:J51"/>
  </mergeCells>
  <phoneticPr fontId="10" type="noConversion"/>
  <conditionalFormatting sqref="D111:D118">
    <cfRule type="expression" dxfId="1" priority="1" stopIfTrue="1">
      <formula>#REF!="ksf"</formula>
    </cfRule>
  </conditionalFormatting>
  <conditionalFormatting sqref="B24">
    <cfRule type="expression" dxfId="0" priority="2" stopIfTrue="1">
      <formula>$B$23="No"</formula>
    </cfRule>
  </conditionalFormatting>
  <dataValidations count="5">
    <dataValidation type="list" allowBlank="1" showInputMessage="1" showErrorMessage="1" sqref="C123:C124 C120:C121 C111:C118" xr:uid="{00000000-0002-0000-0200-000000000000}">
      <formula1>"ksf, jobs"</formula1>
    </dataValidation>
    <dataValidation type="list" allowBlank="1" showInputMessage="1" showErrorMessage="1" sqref="E123:G125 E120:G121 E131:G134 E127:G129 E111:G118 E107:G109" xr:uid="{00000000-0002-0000-0200-000001000000}">
      <formula1>"Average Rate, Linear Equation, Log Equation"</formula1>
    </dataValidation>
    <dataValidation type="list" allowBlank="1" showInputMessage="1" showErrorMessage="1" sqref="B66:B69 B80:B83 B73:B76" xr:uid="{00000000-0002-0000-0200-000002000000}">
      <formula1>"No, Yes"</formula1>
    </dataValidation>
    <dataValidation type="list" allowBlank="1" showInputMessage="1" showErrorMessage="1" sqref="B23 B17" xr:uid="{00000000-0002-0000-0200-000003000000}">
      <formula1>"Yes,No"</formula1>
    </dataValidation>
    <dataValidation type="list" allowBlank="1" showInputMessage="1" showErrorMessage="1" sqref="B14" xr:uid="{00000000-0002-0000-0200-000004000000}">
      <formula1>"Yes, No"</formula1>
    </dataValidation>
  </dataValidations>
  <hyperlinks>
    <hyperlink ref="J25" r:id="rId1" xr:uid="{00000000-0004-0000-0200-000000000000}"/>
  </hyperlinks>
  <pageMargins left="0.75" right="0.75" top="1" bottom="1" header="0.5" footer="0.5"/>
  <pageSetup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outlinePr summaryBelow="0"/>
  </sheetPr>
  <dimension ref="A1:X116"/>
  <sheetViews>
    <sheetView topLeftCell="A43" zoomScale="85" workbookViewId="0">
      <selection activeCell="A66" sqref="A66"/>
    </sheetView>
  </sheetViews>
  <sheetFormatPr defaultRowHeight="12.75" outlineLevelRow="1" x14ac:dyDescent="0.2"/>
  <cols>
    <col min="1" max="1" width="37" customWidth="1"/>
  </cols>
  <sheetData>
    <row r="1" spans="1:11" ht="20.25" x14ac:dyDescent="0.3">
      <c r="A1" s="93" t="s">
        <v>197</v>
      </c>
    </row>
    <row r="3" spans="1:11" s="6" customFormat="1" ht="20.25" x14ac:dyDescent="0.3">
      <c r="A3" s="103" t="s">
        <v>198</v>
      </c>
      <c r="E3" s="31"/>
      <c r="G3" s="31"/>
      <c r="H3" s="31"/>
      <c r="I3" s="31"/>
    </row>
    <row r="4" spans="1:11" s="6" customFormat="1" ht="20.25" outlineLevel="1" x14ac:dyDescent="0.3">
      <c r="A4" s="103"/>
      <c r="E4" s="31"/>
      <c r="G4" s="31"/>
      <c r="H4" s="31"/>
      <c r="I4" s="31"/>
    </row>
    <row r="5" spans="1:11" s="6" customFormat="1" outlineLevel="1" x14ac:dyDescent="0.2">
      <c r="A5" s="115" t="s">
        <v>248</v>
      </c>
      <c r="E5" s="31"/>
      <c r="G5" s="31"/>
      <c r="H5" s="31"/>
      <c r="I5" s="31"/>
    </row>
    <row r="6" spans="1:11" s="6" customFormat="1" outlineLevel="1" x14ac:dyDescent="0.2">
      <c r="A6" s="99" t="s">
        <v>249</v>
      </c>
      <c r="E6" s="31"/>
      <c r="G6" s="31"/>
      <c r="H6" s="31"/>
      <c r="I6" s="31"/>
    </row>
    <row r="7" spans="1:11" s="6" customFormat="1" outlineLevel="1" x14ac:dyDescent="0.2">
      <c r="A7" s="99" t="s">
        <v>148</v>
      </c>
      <c r="E7" s="31"/>
      <c r="G7" s="31"/>
      <c r="H7" s="31"/>
      <c r="I7" s="31"/>
    </row>
    <row r="8" spans="1:11" s="6" customFormat="1" outlineLevel="1" x14ac:dyDescent="0.2">
      <c r="A8" s="99" t="s">
        <v>147</v>
      </c>
      <c r="E8" s="31"/>
      <c r="G8" s="31"/>
      <c r="H8" s="31"/>
      <c r="I8" s="31"/>
    </row>
    <row r="9" spans="1:11" s="6" customFormat="1" outlineLevel="1" x14ac:dyDescent="0.2">
      <c r="A9" s="99"/>
      <c r="E9" s="31"/>
      <c r="G9" s="31"/>
      <c r="H9" s="31"/>
      <c r="I9" s="31"/>
    </row>
    <row r="10" spans="1:11" s="6" customFormat="1" outlineLevel="1" x14ac:dyDescent="0.2">
      <c r="A10" s="100" t="s">
        <v>37</v>
      </c>
      <c r="B10" s="89">
        <f>'Fixed Parameters'!$B$50</f>
        <v>8.85</v>
      </c>
      <c r="E10" s="31"/>
      <c r="G10" s="31"/>
      <c r="H10" s="31"/>
      <c r="I10" s="31"/>
    </row>
    <row r="11" spans="1:11" s="6" customFormat="1" outlineLevel="1" x14ac:dyDescent="0.2">
      <c r="A11" s="100"/>
      <c r="E11" s="31"/>
      <c r="G11" s="31"/>
      <c r="H11" s="31"/>
      <c r="I11" s="31"/>
    </row>
    <row r="12" spans="1:11" s="6" customFormat="1" outlineLevel="1" x14ac:dyDescent="0.2">
      <c r="C12" s="6" t="s">
        <v>38</v>
      </c>
      <c r="F12" s="6" t="s">
        <v>39</v>
      </c>
      <c r="I12" s="6" t="s">
        <v>36</v>
      </c>
    </row>
    <row r="13" spans="1:11" s="6" customFormat="1" outlineLevel="1" x14ac:dyDescent="0.2">
      <c r="B13" s="29" t="s">
        <v>149</v>
      </c>
      <c r="C13" s="29" t="s">
        <v>40</v>
      </c>
      <c r="D13" s="29" t="s">
        <v>41</v>
      </c>
      <c r="E13" s="29" t="s">
        <v>42</v>
      </c>
      <c r="F13" s="29" t="s">
        <v>40</v>
      </c>
      <c r="G13" s="29" t="s">
        <v>41</v>
      </c>
      <c r="H13" s="29" t="s">
        <v>42</v>
      </c>
      <c r="I13" s="29" t="s">
        <v>40</v>
      </c>
      <c r="J13" s="29" t="s">
        <v>41</v>
      </c>
      <c r="K13" s="29" t="s">
        <v>42</v>
      </c>
    </row>
    <row r="14" spans="1:11" s="6" customFormat="1" outlineLevel="1" x14ac:dyDescent="0.2">
      <c r="A14" s="6" t="s">
        <v>43</v>
      </c>
      <c r="B14" s="101">
        <f>SUM(Input!B107:B109)</f>
        <v>0</v>
      </c>
      <c r="C14" s="27">
        <f>$B14*$B$10*'Fixed Parameters'!C$50</f>
        <v>0</v>
      </c>
      <c r="D14" s="27">
        <f>$B14*$B$10*'Fixed Parameters'!D$50</f>
        <v>0</v>
      </c>
      <c r="E14" s="27">
        <f>$B14*$B$10*'Fixed Parameters'!E$50</f>
        <v>0</v>
      </c>
      <c r="F14" s="27">
        <f>$B14*'Fixed Parameters'!C53</f>
        <v>0</v>
      </c>
      <c r="G14" s="27">
        <f>$B14*'Fixed Parameters'!D53</f>
        <v>0</v>
      </c>
      <c r="H14" s="27">
        <f>$B14*'Fixed Parameters'!E53</f>
        <v>0</v>
      </c>
      <c r="I14" s="27">
        <f t="shared" ref="I14:K19" si="0">C14+F14</f>
        <v>0</v>
      </c>
      <c r="J14" s="27">
        <f t="shared" si="0"/>
        <v>0</v>
      </c>
      <c r="K14" s="27">
        <f t="shared" si="0"/>
        <v>0</v>
      </c>
    </row>
    <row r="15" spans="1:11" s="6" customFormat="1" outlineLevel="1" x14ac:dyDescent="0.2">
      <c r="A15" s="6" t="s">
        <v>44</v>
      </c>
      <c r="B15" s="6">
        <f>IF(Input!$B$17="Yes",SUMPRODUCT(Input!$B$111:$B$118,Input!$AE$111:$AE$118),0)</f>
        <v>48</v>
      </c>
      <c r="C15" s="27">
        <v>0</v>
      </c>
      <c r="D15" s="27">
        <v>0</v>
      </c>
      <c r="E15" s="27">
        <f>$B15*'Fixed Parameters'!E54/2</f>
        <v>33.599999999999994</v>
      </c>
      <c r="F15" s="27">
        <f>$B15*'Fixed Parameters'!C54</f>
        <v>69.599999999999994</v>
      </c>
      <c r="G15" s="27">
        <f>$B15*'Fixed Parameters'!D54</f>
        <v>96</v>
      </c>
      <c r="H15" s="27">
        <f>$B15*'Fixed Parameters'!E54/2</f>
        <v>33.599999999999994</v>
      </c>
      <c r="I15" s="27">
        <f t="shared" si="0"/>
        <v>69.599999999999994</v>
      </c>
      <c r="J15" s="27">
        <f t="shared" si="0"/>
        <v>96</v>
      </c>
      <c r="K15" s="27">
        <f t="shared" si="0"/>
        <v>67.199999999999989</v>
      </c>
    </row>
    <row r="16" spans="1:11" s="6" customFormat="1" outlineLevel="1" x14ac:dyDescent="0.2">
      <c r="A16" s="6" t="s">
        <v>45</v>
      </c>
      <c r="B16" s="101">
        <f>IF(Input!$B$17="No",SUMPRODUCT(Input!$B$111:$B$118,Input!$AE$111:$AE$118),0)</f>
        <v>0</v>
      </c>
      <c r="C16" s="27">
        <v>0</v>
      </c>
      <c r="D16" s="27">
        <v>0</v>
      </c>
      <c r="E16" s="27">
        <f>$B16*'Fixed Parameters'!E55/2</f>
        <v>0</v>
      </c>
      <c r="F16" s="27">
        <f>$B16*'Fixed Parameters'!C55</f>
        <v>0</v>
      </c>
      <c r="G16" s="27">
        <f>$B16*'Fixed Parameters'!D55</f>
        <v>0</v>
      </c>
      <c r="H16" s="27">
        <f>$B16*'Fixed Parameters'!E55/2</f>
        <v>0</v>
      </c>
      <c r="I16" s="27">
        <f t="shared" si="0"/>
        <v>0</v>
      </c>
      <c r="J16" s="27">
        <f t="shared" si="0"/>
        <v>0</v>
      </c>
      <c r="K16" s="27">
        <f t="shared" si="0"/>
        <v>0</v>
      </c>
    </row>
    <row r="17" spans="1:24" s="6" customFormat="1" outlineLevel="1" x14ac:dyDescent="0.2">
      <c r="A17" s="6" t="s">
        <v>46</v>
      </c>
      <c r="B17" s="101">
        <f>SUMPRODUCT(Input!B120:B121,Input!AE120:AE121)</f>
        <v>100</v>
      </c>
      <c r="C17" s="27">
        <v>0</v>
      </c>
      <c r="D17" s="27">
        <v>0</v>
      </c>
      <c r="E17" s="27">
        <f>$B17*'Fixed Parameters'!E56/2</f>
        <v>60</v>
      </c>
      <c r="F17" s="27">
        <f>$B17*'Fixed Parameters'!C56</f>
        <v>145</v>
      </c>
      <c r="G17" s="27">
        <f>$B17*'Fixed Parameters'!D56</f>
        <v>170</v>
      </c>
      <c r="H17" s="27">
        <f>$B17*'Fixed Parameters'!E56/2</f>
        <v>60</v>
      </c>
      <c r="I17" s="27">
        <f t="shared" si="0"/>
        <v>145</v>
      </c>
      <c r="J17" s="27">
        <f t="shared" si="0"/>
        <v>170</v>
      </c>
      <c r="K17" s="27">
        <f t="shared" si="0"/>
        <v>120</v>
      </c>
    </row>
    <row r="18" spans="1:24" s="6" customFormat="1" outlineLevel="1" x14ac:dyDescent="0.2">
      <c r="A18" s="6" t="s">
        <v>137</v>
      </c>
      <c r="B18" s="101">
        <f>SUMPRODUCT(Input!B123:B129,Input!AE123:AE129)+Input!B138</f>
        <v>100</v>
      </c>
      <c r="C18" s="27">
        <v>0</v>
      </c>
      <c r="D18" s="27">
        <v>0</v>
      </c>
      <c r="E18" s="27">
        <f>$B18*'Fixed Parameters'!E57/2</f>
        <v>25</v>
      </c>
      <c r="F18" s="27">
        <f>$B18*'Fixed Parameters'!C57</f>
        <v>145</v>
      </c>
      <c r="G18" s="27">
        <f>$B18*'Fixed Parameters'!D57</f>
        <v>50</v>
      </c>
      <c r="H18" s="27">
        <f>$B18*'Fixed Parameters'!E57/2</f>
        <v>25</v>
      </c>
      <c r="I18" s="27">
        <f t="shared" si="0"/>
        <v>145</v>
      </c>
      <c r="J18" s="27">
        <f t="shared" si="0"/>
        <v>50</v>
      </c>
      <c r="K18" s="27">
        <f t="shared" si="0"/>
        <v>50</v>
      </c>
    </row>
    <row r="19" spans="1:24" s="6" customFormat="1" outlineLevel="1" x14ac:dyDescent="0.2">
      <c r="A19" s="6" t="s">
        <v>136</v>
      </c>
      <c r="B19" s="101">
        <f>SUMPRODUCT(Input!B131:B134,Input!AE131:AE134)</f>
        <v>0</v>
      </c>
      <c r="C19" s="27">
        <v>0</v>
      </c>
      <c r="D19" s="27">
        <v>0</v>
      </c>
      <c r="E19" s="27">
        <f>SUM(Input!$H$131:$H$134)*Input!F$70</f>
        <v>0</v>
      </c>
      <c r="F19" s="27">
        <f>SUM(Input!$H$131:$H$134)*Input!G$70</f>
        <v>0</v>
      </c>
      <c r="G19" s="27">
        <f>SUM(Input!$H$131:$H$134)*Input!H$70</f>
        <v>0</v>
      </c>
      <c r="H19" s="27">
        <f>SUM(Input!$H$131:$H$134)*Input!I$70</f>
        <v>0</v>
      </c>
      <c r="I19" s="27">
        <f t="shared" si="0"/>
        <v>0</v>
      </c>
      <c r="J19" s="27">
        <f t="shared" si="0"/>
        <v>0</v>
      </c>
      <c r="K19" s="27">
        <f t="shared" si="0"/>
        <v>0</v>
      </c>
    </row>
    <row r="20" spans="1:24" s="6" customFormat="1" outlineLevel="1" x14ac:dyDescent="0.2">
      <c r="A20" s="66" t="s">
        <v>36</v>
      </c>
      <c r="B20" s="101"/>
      <c r="C20" s="101">
        <f t="shared" ref="C20:K20" si="1">SUM(C14:C19)</f>
        <v>0</v>
      </c>
      <c r="D20" s="101">
        <f t="shared" si="1"/>
        <v>0</v>
      </c>
      <c r="E20" s="101">
        <f t="shared" si="1"/>
        <v>118.6</v>
      </c>
      <c r="F20" s="101">
        <f t="shared" si="1"/>
        <v>359.6</v>
      </c>
      <c r="G20" s="101">
        <f t="shared" si="1"/>
        <v>316</v>
      </c>
      <c r="H20" s="101">
        <f t="shared" si="1"/>
        <v>118.6</v>
      </c>
      <c r="I20" s="101">
        <f t="shared" si="1"/>
        <v>359.6</v>
      </c>
      <c r="J20" s="101">
        <f t="shared" si="1"/>
        <v>316</v>
      </c>
      <c r="K20" s="101">
        <f t="shared" si="1"/>
        <v>237.2</v>
      </c>
    </row>
    <row r="21" spans="1:24" s="6" customFormat="1" outlineLevel="1" x14ac:dyDescent="0.2">
      <c r="A21" s="66"/>
      <c r="B21" s="101"/>
      <c r="C21" s="101"/>
      <c r="D21" s="101"/>
      <c r="E21" s="101"/>
      <c r="F21" s="101"/>
      <c r="G21" s="101"/>
      <c r="H21" s="101"/>
      <c r="I21" s="101"/>
      <c r="J21" s="101"/>
      <c r="K21" s="101"/>
    </row>
    <row r="22" spans="1:24" s="39" customFormat="1" outlineLevel="1" x14ac:dyDescent="0.2"/>
    <row r="23" spans="1:24" s="1" customFormat="1" outlineLevel="1" x14ac:dyDescent="0.2">
      <c r="A23" s="5" t="s">
        <v>144</v>
      </c>
      <c r="B23" s="2"/>
      <c r="C23" s="5"/>
      <c r="D23" s="2" t="s">
        <v>182</v>
      </c>
      <c r="J23" s="5"/>
      <c r="K23" s="2" t="s">
        <v>183</v>
      </c>
      <c r="R23" s="2" t="s">
        <v>143</v>
      </c>
      <c r="V23" s="32"/>
    </row>
    <row r="24" spans="1:24" s="1" customFormat="1" outlineLevel="1" x14ac:dyDescent="0.2">
      <c r="A24" s="29"/>
      <c r="C24" s="29"/>
      <c r="D24" s="6" t="s">
        <v>38</v>
      </c>
      <c r="E24" s="6"/>
      <c r="F24" s="6"/>
      <c r="G24" s="6" t="s">
        <v>39</v>
      </c>
      <c r="H24" s="6"/>
      <c r="I24" s="6"/>
      <c r="J24" s="29"/>
      <c r="K24" s="6" t="s">
        <v>38</v>
      </c>
      <c r="L24" s="6"/>
      <c r="M24" s="6"/>
      <c r="N24" s="6" t="s">
        <v>39</v>
      </c>
      <c r="O24" s="6"/>
      <c r="P24" s="6"/>
      <c r="Q24" s="6"/>
    </row>
    <row r="25" spans="1:24" s="1" customFormat="1" outlineLevel="1" x14ac:dyDescent="0.2">
      <c r="B25" s="2" t="s">
        <v>142</v>
      </c>
      <c r="D25" s="29" t="s">
        <v>40</v>
      </c>
      <c r="E25" s="29" t="s">
        <v>41</v>
      </c>
      <c r="F25" s="29" t="s">
        <v>42</v>
      </c>
      <c r="G25" s="29" t="s">
        <v>40</v>
      </c>
      <c r="H25" s="29" t="s">
        <v>41</v>
      </c>
      <c r="I25" s="29" t="s">
        <v>42</v>
      </c>
      <c r="K25" s="29" t="s">
        <v>40</v>
      </c>
      <c r="L25" s="29" t="s">
        <v>41</v>
      </c>
      <c r="M25" s="29" t="s">
        <v>42</v>
      </c>
      <c r="N25" s="29" t="s">
        <v>40</v>
      </c>
      <c r="O25" s="29" t="s">
        <v>41</v>
      </c>
      <c r="P25" s="29" t="s">
        <v>42</v>
      </c>
      <c r="Q25" s="29"/>
      <c r="R25" s="2" t="s">
        <v>40</v>
      </c>
      <c r="S25" s="2" t="s">
        <v>41</v>
      </c>
      <c r="T25" s="2" t="s">
        <v>42</v>
      </c>
      <c r="V25" s="2" t="s">
        <v>251</v>
      </c>
      <c r="W25" s="2"/>
      <c r="X25" s="2"/>
    </row>
    <row r="26" spans="1:24" s="1" customFormat="1" outlineLevel="1" x14ac:dyDescent="0.2">
      <c r="A26" s="34" t="s">
        <v>85</v>
      </c>
      <c r="B26" s="27">
        <f>SUM(Input!H$107:H$109)</f>
        <v>0</v>
      </c>
      <c r="C26" s="34"/>
      <c r="D26" s="22">
        <f>C14</f>
        <v>0</v>
      </c>
      <c r="E26" s="22">
        <f>D14</f>
        <v>0</v>
      </c>
      <c r="F26" s="80">
        <f>E14*(Input!$B$89+Input!$B$90)</f>
        <v>0</v>
      </c>
      <c r="G26" s="22">
        <f>F14</f>
        <v>0</v>
      </c>
      <c r="H26" s="22">
        <f>G14</f>
        <v>0</v>
      </c>
      <c r="I26" s="22">
        <f>H14</f>
        <v>0</v>
      </c>
      <c r="J26" s="34"/>
      <c r="K26" s="22">
        <f>IF(Input!$B66="Yes",IF(SUM($D26:$I26)=0,0,$B26*D26/SUM($D26:$I26)),$B26*Input!D66)</f>
        <v>0</v>
      </c>
      <c r="L26" s="22">
        <f>IF(Input!$B66="Yes",IF(SUM($D26:$I26)=0,0,$B26*E26/SUM($D26:$I26)),$B26*Input!E66)</f>
        <v>0</v>
      </c>
      <c r="M26" s="22">
        <f>IF(Input!$B66="Yes",IF(SUM($D26:$I26)=0,0,$B26*F26/SUM($D26:$I26)),$B26*Input!F66)</f>
        <v>0</v>
      </c>
      <c r="N26" s="22">
        <f>IF(Input!$B66="Yes",IF(SUM($D26:$I26)=0,0,$B26*G26/SUM($D26:$I26)),$B26*Input!G66)</f>
        <v>0</v>
      </c>
      <c r="O26" s="22">
        <f>IF(Input!$B66="Yes",IF(SUM($D26:$I26)=0,0,$B26*H26/SUM($D26:$I26)),$B26*Input!H66)</f>
        <v>0</v>
      </c>
      <c r="P26" s="22">
        <f>IF(Input!$B66="Yes",IF(SUM($D26:$I26)=0,0,$B26*I26/SUM($D26:$I26)),$B26*Input!I66)</f>
        <v>0</v>
      </c>
      <c r="Q26" s="59"/>
      <c r="R26" s="22">
        <f t="shared" ref="R26:T28" si="2">K26+N26</f>
        <v>0</v>
      </c>
      <c r="S26" s="22">
        <f t="shared" si="2"/>
        <v>0</v>
      </c>
      <c r="T26" s="22">
        <f t="shared" si="2"/>
        <v>0</v>
      </c>
      <c r="V26" s="83">
        <f>IF(SUM(D26:I26)=0,0,E14*Input!$B$91*B26/SUM(D26:I26))</f>
        <v>0</v>
      </c>
      <c r="W26" s="82" t="s">
        <v>193</v>
      </c>
      <c r="X26" s="44"/>
    </row>
    <row r="27" spans="1:24" s="1" customFormat="1" outlineLevel="1" x14ac:dyDescent="0.2">
      <c r="A27" s="34" t="s">
        <v>95</v>
      </c>
      <c r="B27" s="27">
        <f>SUM(Input!I$107:I$109)</f>
        <v>0</v>
      </c>
      <c r="C27" s="34"/>
      <c r="D27" s="40">
        <f>D$26*'Fixed Parameters'!C$66</f>
        <v>0</v>
      </c>
      <c r="E27" s="40">
        <f>E$26*'Fixed Parameters'!D$66</f>
        <v>0</v>
      </c>
      <c r="F27" s="40">
        <f>F$26*'Fixed Parameters'!E$66</f>
        <v>0</v>
      </c>
      <c r="G27" s="40">
        <f>G$26*'Fixed Parameters'!C$66</f>
        <v>0</v>
      </c>
      <c r="H27" s="40">
        <f>H$26*'Fixed Parameters'!D$66</f>
        <v>0</v>
      </c>
      <c r="I27" s="40">
        <f>I$26*'Fixed Parameters'!E$66</f>
        <v>0</v>
      </c>
      <c r="J27" s="34"/>
      <c r="K27" s="22">
        <f>IF(Input!$B73="Yes",IF(SUM($D27:$I27)=0,0,$B27*D27/SUM($D27:$I27)),$B27*Input!D73)</f>
        <v>0</v>
      </c>
      <c r="L27" s="22">
        <f>IF(Input!$B73="Yes",IF(SUM($D27:$I27)=0,0,$B27*E27/SUM($D27:$I27)),$B27*Input!E73)</f>
        <v>0</v>
      </c>
      <c r="M27" s="22">
        <f>IF(Input!$B73="Yes",IF(SUM($D27:$I27)=0,0,$B27*F27/SUM($D27:$I27)),$B27*Input!F73)</f>
        <v>0</v>
      </c>
      <c r="N27" s="22">
        <f>IF(Input!$B73="Yes",IF(SUM($D27:$I27)=0,0,$B27*G27/SUM($D27:$I27)),$B27*Input!G73)</f>
        <v>0</v>
      </c>
      <c r="O27" s="22">
        <f>IF(Input!$B73="Yes",IF(SUM($D27:$I27)=0,0,$B27*H27/SUM($D27:$I27)),$B27*Input!H73)</f>
        <v>0</v>
      </c>
      <c r="P27" s="22">
        <f>IF(Input!$B73="Yes",IF(SUM($D27:$I27)=0,0,$B27*I27/SUM($D27:$I27)),$B27*Input!I73)</f>
        <v>0</v>
      </c>
      <c r="Q27" s="59"/>
      <c r="R27" s="22">
        <f t="shared" si="2"/>
        <v>0</v>
      </c>
      <c r="S27" s="22">
        <f t="shared" si="2"/>
        <v>0</v>
      </c>
      <c r="T27" s="22">
        <f t="shared" si="2"/>
        <v>0</v>
      </c>
      <c r="V27" s="84">
        <f>V$26*'Fixed Parameters'!E$66</f>
        <v>0</v>
      </c>
      <c r="W27" s="45"/>
      <c r="X27" s="45"/>
    </row>
    <row r="28" spans="1:24" s="1" customFormat="1" outlineLevel="1" x14ac:dyDescent="0.2">
      <c r="A28" s="34" t="s">
        <v>96</v>
      </c>
      <c r="B28" s="27">
        <f>SUM(Input!J$107:J$109)</f>
        <v>0</v>
      </c>
      <c r="C28" s="34"/>
      <c r="D28" s="40">
        <f>D$26*'Fixed Parameters'!F$66</f>
        <v>0</v>
      </c>
      <c r="E28" s="40">
        <f>E$26*'Fixed Parameters'!G$66</f>
        <v>0</v>
      </c>
      <c r="F28" s="40">
        <f>F$26*'Fixed Parameters'!H$66</f>
        <v>0</v>
      </c>
      <c r="G28" s="40">
        <f>G$26*'Fixed Parameters'!F$66</f>
        <v>0</v>
      </c>
      <c r="H28" s="40">
        <f>H$26*'Fixed Parameters'!G$66</f>
        <v>0</v>
      </c>
      <c r="I28" s="40">
        <f>I$26*'Fixed Parameters'!H$66</f>
        <v>0</v>
      </c>
      <c r="J28" s="34"/>
      <c r="K28" s="22">
        <f>IF(Input!$B80="Yes",IF(SUM($D28:$I28)=0,0,$B28*D28/SUM($D28:$I28)),$B28*Input!D80)</f>
        <v>0</v>
      </c>
      <c r="L28" s="22">
        <f>IF(Input!$B80="Yes",IF(SUM($D28:$I28)=0,0,$B28*E28/SUM($D28:$I28)),$B28*Input!E80)</f>
        <v>0</v>
      </c>
      <c r="M28" s="22">
        <f>IF(Input!$B80="Yes",IF(SUM($D28:$I28)=0,0,$B28*F28/SUM($D28:$I28)),$B28*Input!F80)</f>
        <v>0</v>
      </c>
      <c r="N28" s="22">
        <f>IF(Input!$B80="Yes",IF(SUM($D28:$I28)=0,0,$B28*G28/SUM($D28:$I28)),$B28*Input!G80)</f>
        <v>0</v>
      </c>
      <c r="O28" s="22">
        <f>IF(Input!$B80="Yes",IF(SUM($D28:$I28)=0,0,$B28*H28/SUM($D28:$I28)),$B28*Input!H80)</f>
        <v>0</v>
      </c>
      <c r="P28" s="22">
        <f>IF(Input!$B80="Yes",IF(SUM($D28:$I28)=0,0,$B28*I28/SUM($D28:$I28)),$B28*Input!I80)</f>
        <v>0</v>
      </c>
      <c r="Q28" s="59"/>
      <c r="R28" s="22">
        <f t="shared" si="2"/>
        <v>0</v>
      </c>
      <c r="S28" s="22">
        <f t="shared" si="2"/>
        <v>0</v>
      </c>
      <c r="T28" s="22">
        <f t="shared" si="2"/>
        <v>0</v>
      </c>
      <c r="V28" s="84">
        <f>V$26*'Fixed Parameters'!H$66</f>
        <v>0</v>
      </c>
      <c r="W28" s="45"/>
      <c r="X28" s="45"/>
    </row>
    <row r="29" spans="1:24" s="1" customFormat="1" outlineLevel="1" x14ac:dyDescent="0.2">
      <c r="A29" s="34"/>
      <c r="B29" s="22"/>
      <c r="C29" s="34"/>
      <c r="J29" s="34"/>
      <c r="R29" s="40"/>
      <c r="S29" s="40"/>
      <c r="T29" s="40"/>
      <c r="V29" s="45"/>
      <c r="W29" s="45"/>
      <c r="X29" s="45"/>
    </row>
    <row r="30" spans="1:24" s="1" customFormat="1" outlineLevel="1" x14ac:dyDescent="0.2">
      <c r="A30" s="34"/>
      <c r="B30" s="22"/>
      <c r="C30" s="34"/>
      <c r="D30" s="2" t="s">
        <v>182</v>
      </c>
      <c r="J30" s="34"/>
      <c r="K30" s="2" t="s">
        <v>99</v>
      </c>
      <c r="R30" s="2" t="s">
        <v>143</v>
      </c>
      <c r="V30" s="32"/>
    </row>
    <row r="31" spans="1:24" s="1" customFormat="1" outlineLevel="1" x14ac:dyDescent="0.2">
      <c r="A31" s="34"/>
      <c r="B31" s="22"/>
      <c r="C31" s="34"/>
      <c r="D31" s="6" t="s">
        <v>38</v>
      </c>
      <c r="E31" s="6"/>
      <c r="F31" s="6"/>
      <c r="G31" s="6" t="s">
        <v>39</v>
      </c>
      <c r="H31" s="6"/>
      <c r="I31" s="6"/>
      <c r="J31" s="34"/>
      <c r="K31" s="6" t="s">
        <v>38</v>
      </c>
      <c r="L31" s="6"/>
      <c r="M31" s="6"/>
      <c r="N31" s="6" t="s">
        <v>39</v>
      </c>
      <c r="O31" s="6"/>
      <c r="P31" s="6"/>
      <c r="Q31" s="6"/>
    </row>
    <row r="32" spans="1:24" s="1" customFormat="1" ht="25.5" outlineLevel="1" x14ac:dyDescent="0.2">
      <c r="A32" s="58" t="s">
        <v>145</v>
      </c>
      <c r="B32" s="2" t="s">
        <v>142</v>
      </c>
      <c r="C32" s="58"/>
      <c r="D32" s="29" t="s">
        <v>40</v>
      </c>
      <c r="E32" s="29" t="s">
        <v>41</v>
      </c>
      <c r="F32" s="29" t="s">
        <v>42</v>
      </c>
      <c r="G32" s="29" t="s">
        <v>40</v>
      </c>
      <c r="H32" s="29" t="s">
        <v>41</v>
      </c>
      <c r="I32" s="29" t="s">
        <v>42</v>
      </c>
      <c r="J32" s="58"/>
      <c r="K32" s="29" t="s">
        <v>40</v>
      </c>
      <c r="L32" s="29" t="s">
        <v>41</v>
      </c>
      <c r="M32" s="29" t="s">
        <v>42</v>
      </c>
      <c r="N32" s="29" t="s">
        <v>40</v>
      </c>
      <c r="O32" s="29" t="s">
        <v>41</v>
      </c>
      <c r="P32" s="29" t="s">
        <v>42</v>
      </c>
      <c r="Q32" s="29"/>
      <c r="R32" s="2" t="s">
        <v>40</v>
      </c>
      <c r="S32" s="2" t="s">
        <v>41</v>
      </c>
      <c r="T32" s="2" t="s">
        <v>42</v>
      </c>
      <c r="V32" s="2"/>
      <c r="W32" s="2"/>
      <c r="X32" s="2"/>
    </row>
    <row r="33" spans="1:24" s="1" customFormat="1" outlineLevel="1" x14ac:dyDescent="0.2">
      <c r="A33" s="34" t="s">
        <v>85</v>
      </c>
      <c r="B33" s="27">
        <f>SUM(Input!H$111:H$118)</f>
        <v>2685.802888791874</v>
      </c>
      <c r="C33" s="34"/>
      <c r="D33" s="22">
        <f t="shared" ref="D33:I33" si="3">C15+C16</f>
        <v>0</v>
      </c>
      <c r="E33" s="22">
        <f t="shared" si="3"/>
        <v>0</v>
      </c>
      <c r="F33" s="22">
        <f t="shared" si="3"/>
        <v>33.599999999999994</v>
      </c>
      <c r="G33" s="22">
        <f t="shared" si="3"/>
        <v>69.599999999999994</v>
      </c>
      <c r="H33" s="22">
        <f t="shared" si="3"/>
        <v>96</v>
      </c>
      <c r="I33" s="22">
        <f t="shared" si="3"/>
        <v>33.599999999999994</v>
      </c>
      <c r="J33" s="34"/>
      <c r="K33" s="22">
        <f>IF(Input!$B67="Yes",IF(SUM($D33:$I33)=0,0,$B33*D33/SUM($D33:$I33)),$B33*Input!D67)</f>
        <v>0</v>
      </c>
      <c r="L33" s="22">
        <f>IF(Input!$B67="Yes",IF(SUM($D33:$I33)=0,0,$B33*E33/SUM($D33:$I33)),$B33*Input!E67)</f>
        <v>0</v>
      </c>
      <c r="M33" s="22">
        <f>IF(Input!$B67="Yes",IF(SUM($D33:$I33)=0,0,$B33*F33/SUM($D33:$I33)),$B33*Input!F67)</f>
        <v>387.6416540524354</v>
      </c>
      <c r="N33" s="22">
        <f>IF(Input!$B67="Yes",IF(SUM($D33:$I33)=0,0,$B33*G33/SUM($D33:$I33)),$B33*Input!G67)</f>
        <v>802.97199768004486</v>
      </c>
      <c r="O33" s="22">
        <f>IF(Input!$B67="Yes",IF(SUM($D33:$I33)=0,0,$B33*H33/SUM($D33:$I33)),$B33*Input!H67)</f>
        <v>1107.5475830069586</v>
      </c>
      <c r="P33" s="22">
        <f>IF(Input!$B67="Yes",IF(SUM($D33:$I33)=0,0,$B33*I33/SUM($D33:$I33)),$B33*Input!I67)</f>
        <v>387.6416540524354</v>
      </c>
      <c r="Q33" s="59"/>
      <c r="R33" s="22">
        <f t="shared" ref="R33:T35" si="4">K33+N33</f>
        <v>802.97199768004486</v>
      </c>
      <c r="S33" s="22">
        <f t="shared" si="4"/>
        <v>1107.5475830069586</v>
      </c>
      <c r="T33" s="22">
        <f t="shared" si="4"/>
        <v>775.2833081048708</v>
      </c>
      <c r="V33" s="44"/>
      <c r="W33" s="44"/>
      <c r="X33" s="44"/>
    </row>
    <row r="34" spans="1:24" s="1" customFormat="1" outlineLevel="1" x14ac:dyDescent="0.2">
      <c r="A34" s="34" t="s">
        <v>95</v>
      </c>
      <c r="B34" s="27">
        <f>SUM(Input!I$111:I$118)</f>
        <v>66.357166129042028</v>
      </c>
      <c r="C34" s="34"/>
      <c r="D34" s="40">
        <f>D$33*'Fixed Parameters'!C$66</f>
        <v>0</v>
      </c>
      <c r="E34" s="40">
        <f>E$33*'Fixed Parameters'!D$66</f>
        <v>0</v>
      </c>
      <c r="F34" s="40">
        <f>F$33*'Fixed Parameters'!E$66</f>
        <v>0.52751999999999988</v>
      </c>
      <c r="G34" s="40">
        <f>G$33*'Fixed Parameters'!C$66</f>
        <v>9.9701999999999984</v>
      </c>
      <c r="H34" s="40">
        <f>H$33*'Fixed Parameters'!D$66</f>
        <v>4.9968000000000004</v>
      </c>
      <c r="I34" s="40">
        <f>I$33*'Fixed Parameters'!E$66</f>
        <v>0.52751999999999988</v>
      </c>
      <c r="J34" s="34"/>
      <c r="K34" s="22">
        <f>IF(Input!$B74="Yes",IF(SUM($D34:$I34)=0,0,$B34*D34/SUM($D34:$I34)),$B34*Input!D74)</f>
        <v>0</v>
      </c>
      <c r="L34" s="22">
        <f>IF(Input!$B74="Yes",IF(SUM($D34:$I34)=0,0,$B34*E34/SUM($D34:$I34)),$B34*Input!E74)</f>
        <v>0</v>
      </c>
      <c r="M34" s="22">
        <f>IF(Input!$B74="Yes",IF(SUM($D34:$I34)=0,0,$B34*F34/SUM($D34:$I34)),$B34*Input!F74)</f>
        <v>2.18478622425061</v>
      </c>
      <c r="N34" s="22">
        <f>IF(Input!$B74="Yes",IF(SUM($D34:$I34)=0,0,$B34*G34/SUM($D34:$I34)),$B34*Input!G74)</f>
        <v>41.292757834818467</v>
      </c>
      <c r="O34" s="22">
        <f>IF(Input!$B74="Yes",IF(SUM($D34:$I34)=0,0,$B34*H34/SUM($D34:$I34)),$B34*Input!H74)</f>
        <v>20.694835845722348</v>
      </c>
      <c r="P34" s="22">
        <f>IF(Input!$B74="Yes",IF(SUM($D34:$I34)=0,0,$B34*I34/SUM($D34:$I34)),$B34*Input!I74)</f>
        <v>2.18478622425061</v>
      </c>
      <c r="Q34" s="59"/>
      <c r="R34" s="22">
        <f t="shared" si="4"/>
        <v>41.292757834818467</v>
      </c>
      <c r="S34" s="22">
        <f t="shared" si="4"/>
        <v>20.694835845722348</v>
      </c>
      <c r="T34" s="22">
        <f t="shared" si="4"/>
        <v>4.36957244850122</v>
      </c>
      <c r="V34" s="45"/>
      <c r="W34" s="45"/>
      <c r="X34" s="45"/>
    </row>
    <row r="35" spans="1:24" s="1" customFormat="1" outlineLevel="1" x14ac:dyDescent="0.2">
      <c r="A35" s="34" t="s">
        <v>96</v>
      </c>
      <c r="B35" s="27">
        <f>SUM(Input!J$111:J$118)</f>
        <v>244.51974598605594</v>
      </c>
      <c r="C35" s="34"/>
      <c r="D35" s="40">
        <f>D$33*'Fixed Parameters'!F$66</f>
        <v>0</v>
      </c>
      <c r="E35" s="40">
        <f>E$33*'Fixed Parameters'!G$66</f>
        <v>0</v>
      </c>
      <c r="F35" s="40">
        <f>F$33*'Fixed Parameters'!H$66</f>
        <v>3.1029599999999995</v>
      </c>
      <c r="G35" s="40">
        <f>G$33*'Fixed Parameters'!F$66</f>
        <v>8.0231399999999997</v>
      </c>
      <c r="H35" s="40">
        <f>H$33*'Fixed Parameters'!G$66</f>
        <v>6.9912000000000001</v>
      </c>
      <c r="I35" s="40">
        <f>I$33*'Fixed Parameters'!H$66</f>
        <v>3.1029599999999995</v>
      </c>
      <c r="J35" s="34"/>
      <c r="K35" s="22">
        <f>IF(Input!$B81="Yes",IF(SUM($D35:$I35)=0,0,$B35*D35/SUM($D35:$I35)),$B35*Input!D81)</f>
        <v>0</v>
      </c>
      <c r="L35" s="22">
        <f>IF(Input!$B81="Yes",IF(SUM($D35:$I35)=0,0,$B35*E35/SUM($D35:$I35)),$B35*Input!E81)</f>
        <v>0</v>
      </c>
      <c r="M35" s="22">
        <f>IF(Input!$B81="Yes",IF(SUM($D35:$I35)=0,0,$B35*F35/SUM($D35:$I35)),$B35*Input!F81)</f>
        <v>35.755216524439</v>
      </c>
      <c r="N35" s="22">
        <f>IF(Input!$B81="Yes",IF(SUM($D35:$I35)=0,0,$B35*G35/SUM($D35:$I35)),$B35*Input!G81)</f>
        <v>92.450146926124603</v>
      </c>
      <c r="O35" s="22">
        <f>IF(Input!$B81="Yes",IF(SUM($D35:$I35)=0,0,$B35*H35/SUM($D35:$I35)),$B35*Input!H81)</f>
        <v>80.559166011053321</v>
      </c>
      <c r="P35" s="22">
        <f>IF(Input!$B81="Yes",IF(SUM($D35:$I35)=0,0,$B35*I35/SUM($D35:$I35)),$B35*Input!I81)</f>
        <v>35.755216524439</v>
      </c>
      <c r="Q35" s="59"/>
      <c r="R35" s="22">
        <f t="shared" si="4"/>
        <v>92.450146926124603</v>
      </c>
      <c r="S35" s="22">
        <f t="shared" si="4"/>
        <v>80.559166011053321</v>
      </c>
      <c r="T35" s="22">
        <f t="shared" si="4"/>
        <v>71.510433048877999</v>
      </c>
      <c r="V35" s="45"/>
      <c r="W35" s="45"/>
      <c r="X35" s="45"/>
    </row>
    <row r="36" spans="1:24" s="1" customFormat="1" outlineLevel="1" x14ac:dyDescent="0.2">
      <c r="A36" s="34"/>
      <c r="B36" s="22"/>
      <c r="C36" s="34"/>
      <c r="D36" s="40"/>
      <c r="E36" s="40"/>
      <c r="F36" s="40"/>
      <c r="G36" s="40"/>
      <c r="H36" s="40"/>
      <c r="I36" s="40"/>
      <c r="J36" s="34"/>
      <c r="K36" s="59"/>
      <c r="L36" s="59"/>
      <c r="M36" s="59"/>
      <c r="N36" s="59"/>
      <c r="O36" s="59"/>
      <c r="P36" s="59"/>
      <c r="Q36" s="59"/>
      <c r="R36" s="40"/>
      <c r="S36" s="40"/>
      <c r="T36" s="40"/>
      <c r="V36" s="45"/>
      <c r="W36" s="45"/>
      <c r="X36" s="45"/>
    </row>
    <row r="37" spans="1:24" s="1" customFormat="1" outlineLevel="1" x14ac:dyDescent="0.2">
      <c r="A37" s="34"/>
      <c r="B37" s="22"/>
      <c r="C37" s="34"/>
      <c r="D37" s="2" t="s">
        <v>182</v>
      </c>
      <c r="J37" s="34"/>
      <c r="K37" s="2" t="s">
        <v>99</v>
      </c>
      <c r="R37" s="2" t="s">
        <v>143</v>
      </c>
      <c r="V37" s="32"/>
    </row>
    <row r="38" spans="1:24" s="1" customFormat="1" outlineLevel="1" x14ac:dyDescent="0.2">
      <c r="A38" s="34"/>
      <c r="B38" s="22"/>
      <c r="C38" s="34"/>
      <c r="D38" s="6" t="s">
        <v>38</v>
      </c>
      <c r="E38" s="6"/>
      <c r="F38" s="6"/>
      <c r="G38" s="6" t="s">
        <v>39</v>
      </c>
      <c r="H38" s="6"/>
      <c r="I38" s="6"/>
      <c r="J38" s="34"/>
      <c r="K38" s="6" t="s">
        <v>38</v>
      </c>
      <c r="L38" s="6"/>
      <c r="M38" s="6"/>
      <c r="N38" s="6" t="s">
        <v>39</v>
      </c>
      <c r="O38" s="6"/>
      <c r="P38" s="6"/>
      <c r="Q38" s="6"/>
    </row>
    <row r="39" spans="1:24" s="1" customFormat="1" ht="25.5" outlineLevel="1" x14ac:dyDescent="0.2">
      <c r="A39" s="58" t="s">
        <v>146</v>
      </c>
      <c r="B39" s="2" t="s">
        <v>142</v>
      </c>
      <c r="C39" s="58"/>
      <c r="D39" s="29" t="s">
        <v>40</v>
      </c>
      <c r="E39" s="29" t="s">
        <v>41</v>
      </c>
      <c r="F39" s="29" t="s">
        <v>42</v>
      </c>
      <c r="G39" s="29" t="s">
        <v>40</v>
      </c>
      <c r="H39" s="29" t="s">
        <v>41</v>
      </c>
      <c r="I39" s="29" t="s">
        <v>42</v>
      </c>
      <c r="J39" s="58"/>
      <c r="K39" s="29" t="s">
        <v>40</v>
      </c>
      <c r="L39" s="29" t="s">
        <v>41</v>
      </c>
      <c r="M39" s="29" t="s">
        <v>42</v>
      </c>
      <c r="N39" s="29" t="s">
        <v>40</v>
      </c>
      <c r="O39" s="29" t="s">
        <v>41</v>
      </c>
      <c r="P39" s="29" t="s">
        <v>42</v>
      </c>
      <c r="Q39" s="29"/>
      <c r="R39" s="2" t="s">
        <v>40</v>
      </c>
      <c r="S39" s="2" t="s">
        <v>41</v>
      </c>
      <c r="T39" s="2" t="s">
        <v>42</v>
      </c>
      <c r="V39" s="2"/>
      <c r="W39" s="2"/>
      <c r="X39" s="2"/>
    </row>
    <row r="40" spans="1:24" s="1" customFormat="1" outlineLevel="1" x14ac:dyDescent="0.2">
      <c r="A40" s="34" t="s">
        <v>85</v>
      </c>
      <c r="B40" s="27">
        <f>SUM(Input!H$120:H$121)</f>
        <v>445.11957602114029</v>
      </c>
      <c r="C40" s="34"/>
      <c r="D40" s="22">
        <f t="shared" ref="D40:I40" si="5">C17</f>
        <v>0</v>
      </c>
      <c r="E40" s="22">
        <f t="shared" si="5"/>
        <v>0</v>
      </c>
      <c r="F40" s="22">
        <f t="shared" si="5"/>
        <v>60</v>
      </c>
      <c r="G40" s="22">
        <f t="shared" si="5"/>
        <v>145</v>
      </c>
      <c r="H40" s="22">
        <f t="shared" si="5"/>
        <v>170</v>
      </c>
      <c r="I40" s="22">
        <f t="shared" si="5"/>
        <v>60</v>
      </c>
      <c r="J40" s="34"/>
      <c r="K40" s="22">
        <f>IF(Input!$B68="Yes",IF(SUM($D40:$I40)=0,0,$B40*D40/SUM($D40:$I40)),$B40*Input!D68)</f>
        <v>0</v>
      </c>
      <c r="L40" s="22">
        <f>IF(Input!$B68="Yes",IF(SUM($D40:$I40)=0,0,$B40*E40/SUM($D40:$I40)),$B40*Input!E68)</f>
        <v>0</v>
      </c>
      <c r="M40" s="22">
        <f>IF(Input!$B68="Yes",IF(SUM($D40:$I40)=0,0,$B40*F40/SUM($D40:$I40)),$B40*Input!F68)</f>
        <v>61.395803589122799</v>
      </c>
      <c r="N40" s="22">
        <f>IF(Input!$B68="Yes",IF(SUM($D40:$I40)=0,0,$B40*G40/SUM($D40:$I40)),$B40*Input!G68)</f>
        <v>148.37319200704675</v>
      </c>
      <c r="O40" s="22">
        <f>IF(Input!$B68="Yes",IF(SUM($D40:$I40)=0,0,$B40*H40/SUM($D40:$I40)),$B40*Input!H68)</f>
        <v>173.95477683584795</v>
      </c>
      <c r="P40" s="22">
        <f>IF(Input!$B68="Yes",IF(SUM($D40:$I40)=0,0,$B40*I40/SUM($D40:$I40)),$B40*Input!I68)</f>
        <v>61.395803589122799</v>
      </c>
      <c r="Q40" s="59"/>
      <c r="R40" s="22">
        <f t="shared" ref="R40:T42" si="6">K40+N40</f>
        <v>148.37319200704675</v>
      </c>
      <c r="S40" s="22">
        <f t="shared" si="6"/>
        <v>173.95477683584795</v>
      </c>
      <c r="T40" s="22">
        <f t="shared" si="6"/>
        <v>122.7916071782456</v>
      </c>
      <c r="V40" s="44"/>
      <c r="W40" s="44"/>
      <c r="X40" s="44"/>
    </row>
    <row r="41" spans="1:24" s="1" customFormat="1" outlineLevel="1" x14ac:dyDescent="0.2">
      <c r="A41" s="34" t="s">
        <v>95</v>
      </c>
      <c r="B41" s="27">
        <f>SUM(Input!I$120:I$121)</f>
        <v>66.716103792485825</v>
      </c>
      <c r="C41" s="34"/>
      <c r="D41" s="40">
        <f>D$40*'Fixed Parameters'!C$66</f>
        <v>0</v>
      </c>
      <c r="E41" s="40">
        <f>E$40*'Fixed Parameters'!D$66</f>
        <v>0</v>
      </c>
      <c r="F41" s="40">
        <f>F$40*'Fixed Parameters'!E$66</f>
        <v>0.94199999999999995</v>
      </c>
      <c r="G41" s="40">
        <f>G$40*'Fixed Parameters'!C$66</f>
        <v>20.771249999999998</v>
      </c>
      <c r="H41" s="40">
        <f>H$40*'Fixed Parameters'!D$66</f>
        <v>8.8484999999999996</v>
      </c>
      <c r="I41" s="40">
        <f>I$40*'Fixed Parameters'!E$66</f>
        <v>0.94199999999999995</v>
      </c>
      <c r="J41" s="34"/>
      <c r="K41" s="22">
        <f>IF(Input!$B75="Yes",IF(SUM($D41:$I41)=0,0,$B41*D41/SUM($D41:$I41)),$B41*Input!D75)</f>
        <v>0</v>
      </c>
      <c r="L41" s="22">
        <f>IF(Input!$B75="Yes",IF(SUM($D41:$I41)=0,0,$B41*E41/SUM($D41:$I41)),$B41*Input!E75)</f>
        <v>0</v>
      </c>
      <c r="M41" s="22">
        <f>IF(Input!$B75="Yes",IF(SUM($D41:$I41)=0,0,$B41*F41/SUM($D41:$I41)),$B41*Input!F75)</f>
        <v>1.9948917120190977</v>
      </c>
      <c r="N41" s="22">
        <f>IF(Input!$B75="Yes",IF(SUM($D41:$I41)=0,0,$B41*G41/SUM($D41:$I41)),$B41*Input!G75)</f>
        <v>43.987679907937036</v>
      </c>
      <c r="O41" s="22">
        <f>IF(Input!$B75="Yes",IF(SUM($D41:$I41)=0,0,$B41*H41/SUM($D41:$I41)),$B41*Input!H75)</f>
        <v>18.738640460510602</v>
      </c>
      <c r="P41" s="22">
        <f>IF(Input!$B75="Yes",IF(SUM($D41:$I41)=0,0,$B41*I41/SUM($D41:$I41)),$B41*Input!I75)</f>
        <v>1.9948917120190977</v>
      </c>
      <c r="Q41" s="59"/>
      <c r="R41" s="22">
        <f t="shared" si="6"/>
        <v>43.987679907937036</v>
      </c>
      <c r="S41" s="22">
        <f t="shared" si="6"/>
        <v>18.738640460510602</v>
      </c>
      <c r="T41" s="22">
        <f t="shared" si="6"/>
        <v>3.9897834240381953</v>
      </c>
      <c r="V41" s="45"/>
      <c r="W41" s="45"/>
      <c r="X41" s="45"/>
    </row>
    <row r="42" spans="1:24" s="1" customFormat="1" outlineLevel="1" x14ac:dyDescent="0.2">
      <c r="A42" s="34" t="s">
        <v>96</v>
      </c>
      <c r="B42" s="27">
        <f>SUM(Input!J$120:J$121)</f>
        <v>97.08</v>
      </c>
      <c r="C42" s="34"/>
      <c r="D42" s="40">
        <f>D$40*'Fixed Parameters'!F$66</f>
        <v>0</v>
      </c>
      <c r="E42" s="40">
        <f>E$40*'Fixed Parameters'!G$66</f>
        <v>0</v>
      </c>
      <c r="F42" s="40">
        <f>F$40*'Fixed Parameters'!H$66</f>
        <v>5.5410000000000004</v>
      </c>
      <c r="G42" s="40">
        <f>G$40*'Fixed Parameters'!F$66</f>
        <v>16.714874999999999</v>
      </c>
      <c r="H42" s="40">
        <f>H$40*'Fixed Parameters'!G$66</f>
        <v>12.38025</v>
      </c>
      <c r="I42" s="40">
        <f>I$40*'Fixed Parameters'!H$66</f>
        <v>5.5410000000000004</v>
      </c>
      <c r="J42" s="34"/>
      <c r="K42" s="22">
        <f>IF(Input!$B82="Yes",IF(SUM($D42:$I42)=0,0,$B42*D42/SUM($D42:$I42)),$B42*Input!D82)</f>
        <v>0</v>
      </c>
      <c r="L42" s="22">
        <f>IF(Input!$B82="Yes",IF(SUM($D42:$I42)=0,0,$B42*E42/SUM($D42:$I42)),$B42*Input!E82)</f>
        <v>0</v>
      </c>
      <c r="M42" s="22">
        <f>IF(Input!$B82="Yes",IF(SUM($D42:$I42)=0,0,$B42*F42/SUM($D42:$I42)),$B42*Input!F82)</f>
        <v>13.388720073922661</v>
      </c>
      <c r="N42" s="22">
        <f>IF(Input!$B82="Yes",IF(SUM($D42:$I42)=0,0,$B42*G42/SUM($D42:$I42)),$B42*Input!G82)</f>
        <v>40.388157813681289</v>
      </c>
      <c r="O42" s="22">
        <f>IF(Input!$B82="Yes",IF(SUM($D42:$I42)=0,0,$B42*H42/SUM($D42:$I42)),$B42*Input!H82)</f>
        <v>29.91440203847338</v>
      </c>
      <c r="P42" s="22">
        <f>IF(Input!$B82="Yes",IF(SUM($D42:$I42)=0,0,$B42*I42/SUM($D42:$I42)),$B42*Input!I82)</f>
        <v>13.388720073922661</v>
      </c>
      <c r="Q42" s="59"/>
      <c r="R42" s="22">
        <f t="shared" si="6"/>
        <v>40.388157813681289</v>
      </c>
      <c r="S42" s="22">
        <f t="shared" si="6"/>
        <v>29.91440203847338</v>
      </c>
      <c r="T42" s="22">
        <f t="shared" si="6"/>
        <v>26.777440147845322</v>
      </c>
      <c r="V42" s="45"/>
      <c r="W42" s="45"/>
      <c r="X42" s="45"/>
    </row>
    <row r="43" spans="1:24" s="1" customFormat="1" outlineLevel="1" x14ac:dyDescent="0.2">
      <c r="A43" s="34"/>
      <c r="B43" s="22"/>
      <c r="C43" s="34"/>
      <c r="D43" s="40"/>
      <c r="E43" s="40"/>
      <c r="F43" s="40"/>
      <c r="G43" s="40"/>
      <c r="H43" s="40"/>
      <c r="I43" s="40"/>
      <c r="J43" s="34"/>
      <c r="K43" s="59"/>
      <c r="L43" s="59"/>
      <c r="M43" s="59"/>
      <c r="N43" s="59"/>
      <c r="O43" s="59"/>
      <c r="P43" s="59"/>
      <c r="Q43" s="59"/>
      <c r="R43" s="40"/>
      <c r="S43" s="40"/>
      <c r="T43" s="40"/>
      <c r="V43" s="45"/>
      <c r="W43" s="45"/>
      <c r="X43" s="45"/>
    </row>
    <row r="44" spans="1:24" s="1" customFormat="1" outlineLevel="1" x14ac:dyDescent="0.2">
      <c r="A44" s="34"/>
      <c r="B44" s="22"/>
      <c r="C44" s="34"/>
      <c r="D44" s="2" t="s">
        <v>182</v>
      </c>
      <c r="J44" s="34"/>
      <c r="K44" s="2" t="s">
        <v>99</v>
      </c>
      <c r="R44" s="2" t="s">
        <v>143</v>
      </c>
      <c r="V44" s="32"/>
    </row>
    <row r="45" spans="1:24" s="1" customFormat="1" outlineLevel="1" x14ac:dyDescent="0.2">
      <c r="A45" s="34"/>
      <c r="B45" s="22"/>
      <c r="C45" s="34"/>
      <c r="D45" s="6" t="s">
        <v>38</v>
      </c>
      <c r="E45" s="6"/>
      <c r="F45" s="6"/>
      <c r="G45" s="6" t="s">
        <v>39</v>
      </c>
      <c r="H45" s="6"/>
      <c r="I45" s="6"/>
      <c r="J45" s="34"/>
      <c r="K45" s="6" t="s">
        <v>38</v>
      </c>
      <c r="L45" s="6"/>
      <c r="M45" s="6"/>
      <c r="N45" s="6" t="s">
        <v>39</v>
      </c>
      <c r="O45" s="6"/>
      <c r="P45" s="6"/>
      <c r="Q45" s="6"/>
    </row>
    <row r="46" spans="1:24" s="1" customFormat="1" ht="25.5" outlineLevel="1" x14ac:dyDescent="0.2">
      <c r="A46" s="58" t="s">
        <v>158</v>
      </c>
      <c r="B46" s="2" t="s">
        <v>142</v>
      </c>
      <c r="C46" s="58"/>
      <c r="D46" s="29" t="s">
        <v>40</v>
      </c>
      <c r="E46" s="29" t="s">
        <v>41</v>
      </c>
      <c r="F46" s="29" t="s">
        <v>42</v>
      </c>
      <c r="G46" s="29" t="s">
        <v>40</v>
      </c>
      <c r="H46" s="29" t="s">
        <v>41</v>
      </c>
      <c r="I46" s="29" t="s">
        <v>42</v>
      </c>
      <c r="J46" s="58"/>
      <c r="K46" s="29" t="s">
        <v>40</v>
      </c>
      <c r="L46" s="29" t="s">
        <v>41</v>
      </c>
      <c r="M46" s="29" t="s">
        <v>42</v>
      </c>
      <c r="N46" s="29" t="s">
        <v>40</v>
      </c>
      <c r="O46" s="29" t="s">
        <v>41</v>
      </c>
      <c r="P46" s="29" t="s">
        <v>42</v>
      </c>
      <c r="Q46" s="29"/>
      <c r="R46" s="2" t="s">
        <v>40</v>
      </c>
      <c r="S46" s="2" t="s">
        <v>41</v>
      </c>
      <c r="T46" s="2" t="s">
        <v>42</v>
      </c>
      <c r="V46" s="2"/>
      <c r="W46" s="2"/>
      <c r="X46" s="2"/>
    </row>
    <row r="47" spans="1:24" s="1" customFormat="1" outlineLevel="1" x14ac:dyDescent="0.2">
      <c r="A47" s="34" t="s">
        <v>85</v>
      </c>
      <c r="B47" s="27">
        <f>SUM(Input!H$123:H$129)+Input!B$137</f>
        <v>764</v>
      </c>
      <c r="C47" s="34"/>
      <c r="D47" s="22">
        <f t="shared" ref="D47:I47" si="7">C18</f>
        <v>0</v>
      </c>
      <c r="E47" s="22">
        <f t="shared" si="7"/>
        <v>0</v>
      </c>
      <c r="F47" s="22">
        <f t="shared" si="7"/>
        <v>25</v>
      </c>
      <c r="G47" s="22">
        <f t="shared" si="7"/>
        <v>145</v>
      </c>
      <c r="H47" s="22">
        <f t="shared" si="7"/>
        <v>50</v>
      </c>
      <c r="I47" s="22">
        <f t="shared" si="7"/>
        <v>25</v>
      </c>
      <c r="J47" s="34"/>
      <c r="K47" s="22">
        <f>IF(Input!$B69="Yes",IF(SUM($D47:$I47)=0,0,$B47*D47/SUM($D47:$I47)),$B47*Input!D69)</f>
        <v>0</v>
      </c>
      <c r="L47" s="22">
        <f>IF(Input!$B69="Yes",IF(SUM($D47:$I47)=0,0,$B47*E47/SUM($D47:$I47)),$B47*Input!E69)</f>
        <v>0</v>
      </c>
      <c r="M47" s="22">
        <f>IF(Input!$B69="Yes",IF(SUM($D47:$I47)=0,0,$B47*F47/SUM($D47:$I47)),$B47*Input!F69)</f>
        <v>77.959183673469383</v>
      </c>
      <c r="N47" s="22">
        <f>IF(Input!$B69="Yes",IF(SUM($D47:$I47)=0,0,$B47*G47/SUM($D47:$I47)),$B47*Input!G69)</f>
        <v>452.16326530612247</v>
      </c>
      <c r="O47" s="22">
        <f>IF(Input!$B69="Yes",IF(SUM($D47:$I47)=0,0,$B47*H47/SUM($D47:$I47)),$B47*Input!H69)</f>
        <v>155.91836734693877</v>
      </c>
      <c r="P47" s="22">
        <f>IF(Input!$B69="Yes",IF(SUM($D47:$I47)=0,0,$B47*I47/SUM($D47:$I47)),$B47*Input!I69)</f>
        <v>77.959183673469383</v>
      </c>
      <c r="Q47" s="59"/>
      <c r="R47" s="22">
        <f t="shared" ref="R47:T49" si="8">K47+N47</f>
        <v>452.16326530612247</v>
      </c>
      <c r="S47" s="22">
        <f t="shared" si="8"/>
        <v>155.91836734693877</v>
      </c>
      <c r="T47" s="22">
        <f t="shared" si="8"/>
        <v>155.91836734693877</v>
      </c>
      <c r="V47" s="44"/>
      <c r="W47" s="44"/>
      <c r="X47" s="44"/>
    </row>
    <row r="48" spans="1:24" s="1" customFormat="1" outlineLevel="1" x14ac:dyDescent="0.2">
      <c r="A48" s="34" t="s">
        <v>95</v>
      </c>
      <c r="B48" s="27">
        <f>SUM(Input!I$123:I$129)+Input!C$137</f>
        <v>146</v>
      </c>
      <c r="C48" s="34"/>
      <c r="D48" s="40">
        <f>D$47*'Fixed Parameters'!C$66</f>
        <v>0</v>
      </c>
      <c r="E48" s="40">
        <f>E$47*'Fixed Parameters'!D$66</f>
        <v>0</v>
      </c>
      <c r="F48" s="40">
        <f>F$47*'Fixed Parameters'!E$66</f>
        <v>0.39249999999999996</v>
      </c>
      <c r="G48" s="40">
        <f>G$47*'Fixed Parameters'!C$66</f>
        <v>20.771249999999998</v>
      </c>
      <c r="H48" s="40">
        <f>H$47*'Fixed Parameters'!D$66</f>
        <v>2.6025</v>
      </c>
      <c r="I48" s="40">
        <f>I$47*'Fixed Parameters'!E$66</f>
        <v>0.39249999999999996</v>
      </c>
      <c r="J48" s="34"/>
      <c r="K48" s="22">
        <f>IF(Input!$B76="Yes",IF(SUM($D48:$I48)=0,0,$B48*D48/SUM($D48:$I48)),$B48*Input!D76)</f>
        <v>0</v>
      </c>
      <c r="L48" s="22">
        <f>IF(Input!$B76="Yes",IF(SUM($D48:$I48)=0,0,$B48*E48/SUM($D48:$I48)),$B48*Input!E76)</f>
        <v>0</v>
      </c>
      <c r="M48" s="22">
        <f>IF(Input!$B76="Yes",IF(SUM($D48:$I48)=0,0,$B48*F48/SUM($D48:$I48)),$B48*Input!F76)</f>
        <v>2.3720184198271852</v>
      </c>
      <c r="N48" s="22">
        <f>IF(Input!$B76="Yes",IF(SUM($D48:$I48)=0,0,$B48*G48/SUM($D48:$I48)),$B48*Input!G76)</f>
        <v>125.52812128110936</v>
      </c>
      <c r="O48" s="22">
        <f>IF(Input!$B76="Yes",IF(SUM($D48:$I48)=0,0,$B48*H48/SUM($D48:$I48)),$B48*Input!H76)</f>
        <v>15.727841879236307</v>
      </c>
      <c r="P48" s="22">
        <f>IF(Input!$B76="Yes",IF(SUM($D48:$I48)=0,0,$B48*I48/SUM($D48:$I48)),$B48*Input!I76)</f>
        <v>2.3720184198271852</v>
      </c>
      <c r="Q48" s="59"/>
      <c r="R48" s="22">
        <f t="shared" si="8"/>
        <v>125.52812128110936</v>
      </c>
      <c r="S48" s="22">
        <f t="shared" si="8"/>
        <v>15.727841879236307</v>
      </c>
      <c r="T48" s="22">
        <f t="shared" si="8"/>
        <v>4.7440368396543704</v>
      </c>
      <c r="V48" s="45"/>
      <c r="W48" s="45"/>
      <c r="X48" s="45"/>
    </row>
    <row r="49" spans="1:24" s="1" customFormat="1" outlineLevel="1" x14ac:dyDescent="0.2">
      <c r="A49" s="34" t="s">
        <v>96</v>
      </c>
      <c r="B49" s="27">
        <f>SUM(Input!J$123:J$129)+Input!D$137</f>
        <v>146</v>
      </c>
      <c r="C49" s="34"/>
      <c r="D49" s="40">
        <f>D$47*'Fixed Parameters'!F$66</f>
        <v>0</v>
      </c>
      <c r="E49" s="40">
        <f>E$47*'Fixed Parameters'!G$66</f>
        <v>0</v>
      </c>
      <c r="F49" s="40">
        <f>F$47*'Fixed Parameters'!H$66</f>
        <v>2.3087499999999999</v>
      </c>
      <c r="G49" s="40">
        <f>G$47*'Fixed Parameters'!F$66</f>
        <v>16.714874999999999</v>
      </c>
      <c r="H49" s="40">
        <f>H$47*'Fixed Parameters'!G$66</f>
        <v>3.6412499999999999</v>
      </c>
      <c r="I49" s="40">
        <f>I$47*'Fixed Parameters'!H$66</f>
        <v>2.3087499999999999</v>
      </c>
      <c r="J49" s="34"/>
      <c r="K49" s="22">
        <f>IF(Input!$B83="Yes",IF(SUM($D49:$I49)=0,0,$B49*D49/SUM($D49:$I49)),$B49*Input!D83)</f>
        <v>0</v>
      </c>
      <c r="L49" s="22">
        <f>IF(Input!$B83="Yes",IF(SUM($D49:$I49)=0,0,$B49*E49/SUM($D49:$I49)),$B49*Input!E83)</f>
        <v>0</v>
      </c>
      <c r="M49" s="22">
        <f>IF(Input!$B83="Yes",IF(SUM($D49:$I49)=0,0,$B49*F49/SUM($D49:$I49)),$B49*Input!F83)</f>
        <v>13.497339693376512</v>
      </c>
      <c r="N49" s="22">
        <f>IF(Input!$B83="Yes",IF(SUM($D49:$I49)=0,0,$B49*G49/SUM($D49:$I49)),$B49*Input!G83)</f>
        <v>97.717962450385158</v>
      </c>
      <c r="O49" s="22">
        <f>IF(Input!$B83="Yes",IF(SUM($D49:$I49)=0,0,$B49*H49/SUM($D49:$I49)),$B49*Input!H83)</f>
        <v>21.287358162861818</v>
      </c>
      <c r="P49" s="22">
        <f>IF(Input!$B83="Yes",IF(SUM($D49:$I49)=0,0,$B49*I49/SUM($D49:$I49)),$B49*Input!I83)</f>
        <v>13.497339693376512</v>
      </c>
      <c r="Q49" s="59"/>
      <c r="R49" s="22">
        <f t="shared" si="8"/>
        <v>97.717962450385158</v>
      </c>
      <c r="S49" s="22">
        <f t="shared" si="8"/>
        <v>21.287358162861818</v>
      </c>
      <c r="T49" s="22">
        <f t="shared" si="8"/>
        <v>26.994679386753024</v>
      </c>
      <c r="V49" s="45"/>
      <c r="W49" s="45"/>
      <c r="X49" s="45"/>
    </row>
    <row r="50" spans="1:24" s="1" customFormat="1" outlineLevel="1" x14ac:dyDescent="0.2">
      <c r="A50" s="34"/>
      <c r="B50" s="22"/>
      <c r="C50" s="34"/>
      <c r="D50" s="40"/>
      <c r="E50" s="40"/>
      <c r="F50" s="40"/>
      <c r="G50" s="40"/>
      <c r="H50" s="40"/>
      <c r="I50" s="40"/>
      <c r="J50" s="34"/>
      <c r="K50" s="59"/>
      <c r="L50" s="59"/>
      <c r="M50" s="59"/>
      <c r="N50" s="59"/>
      <c r="O50" s="59"/>
      <c r="P50" s="59"/>
      <c r="Q50" s="59"/>
      <c r="R50" s="40"/>
      <c r="S50" s="40"/>
      <c r="T50" s="40"/>
      <c r="V50" s="45"/>
      <c r="W50" s="45"/>
      <c r="X50" s="45"/>
    </row>
    <row r="51" spans="1:24" s="1" customFormat="1" outlineLevel="1" x14ac:dyDescent="0.2">
      <c r="A51" s="34"/>
      <c r="B51" s="22"/>
      <c r="C51" s="34"/>
      <c r="D51" s="176" t="s">
        <v>223</v>
      </c>
      <c r="E51" s="176"/>
      <c r="F51" s="176"/>
      <c r="G51" s="176"/>
      <c r="H51" s="176"/>
      <c r="I51" s="176"/>
      <c r="J51" s="34"/>
      <c r="K51" s="2" t="s">
        <v>222</v>
      </c>
      <c r="R51" s="2" t="s">
        <v>143</v>
      </c>
      <c r="V51" s="32"/>
    </row>
    <row r="52" spans="1:24" s="1" customFormat="1" outlineLevel="1" x14ac:dyDescent="0.2">
      <c r="A52" s="34"/>
      <c r="B52" s="22"/>
      <c r="C52" s="34"/>
      <c r="D52" s="6" t="s">
        <v>38</v>
      </c>
      <c r="E52" s="6"/>
      <c r="F52" s="6"/>
      <c r="G52" s="6" t="s">
        <v>39</v>
      </c>
      <c r="H52" s="6"/>
      <c r="I52" s="6"/>
      <c r="J52" s="34"/>
      <c r="K52" s="6" t="s">
        <v>38</v>
      </c>
      <c r="L52" s="6"/>
      <c r="M52" s="6"/>
      <c r="N52" s="6" t="s">
        <v>39</v>
      </c>
      <c r="O52" s="6"/>
      <c r="P52" s="6"/>
      <c r="Q52" s="6"/>
    </row>
    <row r="53" spans="1:24" s="1" customFormat="1" ht="25.5" outlineLevel="1" x14ac:dyDescent="0.2">
      <c r="A53" s="58" t="s">
        <v>150</v>
      </c>
      <c r="B53" s="2" t="s">
        <v>142</v>
      </c>
      <c r="C53" s="58"/>
      <c r="D53" s="29" t="s">
        <v>40</v>
      </c>
      <c r="E53" s="29" t="s">
        <v>41</v>
      </c>
      <c r="F53" s="29" t="s">
        <v>42</v>
      </c>
      <c r="G53" s="29" t="s">
        <v>40</v>
      </c>
      <c r="H53" s="29" t="s">
        <v>41</v>
      </c>
      <c r="I53" s="29" t="s">
        <v>42</v>
      </c>
      <c r="J53" s="58"/>
      <c r="K53" s="29" t="s">
        <v>40</v>
      </c>
      <c r="L53" s="29" t="s">
        <v>41</v>
      </c>
      <c r="M53" s="29" t="s">
        <v>42</v>
      </c>
      <c r="N53" s="29" t="s">
        <v>40</v>
      </c>
      <c r="O53" s="29" t="s">
        <v>41</v>
      </c>
      <c r="P53" s="29" t="s">
        <v>42</v>
      </c>
      <c r="Q53" s="29"/>
      <c r="R53" s="2" t="s">
        <v>40</v>
      </c>
      <c r="S53" s="2" t="s">
        <v>41</v>
      </c>
      <c r="T53" s="2" t="s">
        <v>42</v>
      </c>
      <c r="V53" s="2"/>
      <c r="W53" s="2"/>
      <c r="X53" s="2"/>
    </row>
    <row r="54" spans="1:24" s="1" customFormat="1" outlineLevel="1" x14ac:dyDescent="0.2">
      <c r="A54" s="34" t="s">
        <v>85</v>
      </c>
      <c r="B54" s="27">
        <f>SUM(Input!H$131:H$134)</f>
        <v>0</v>
      </c>
      <c r="C54" s="34"/>
      <c r="D54" s="105"/>
      <c r="E54" s="105"/>
      <c r="F54" s="105"/>
      <c r="G54" s="105"/>
      <c r="H54" s="105"/>
      <c r="I54" s="105"/>
      <c r="J54" s="34"/>
      <c r="K54" s="80">
        <f>$B54*Input!D70</f>
        <v>0</v>
      </c>
      <c r="L54" s="80">
        <f>$B54*Input!E70</f>
        <v>0</v>
      </c>
      <c r="M54" s="80">
        <f>$B54*Input!F70</f>
        <v>0</v>
      </c>
      <c r="N54" s="80">
        <f>$B54*Input!G70</f>
        <v>0</v>
      </c>
      <c r="O54" s="80">
        <f>$B54*Input!H70</f>
        <v>0</v>
      </c>
      <c r="P54" s="80">
        <f>$B54*Input!I70</f>
        <v>0</v>
      </c>
      <c r="Q54" s="59"/>
      <c r="R54" s="22">
        <f t="shared" ref="R54:T56" si="9">K54+N54</f>
        <v>0</v>
      </c>
      <c r="S54" s="22">
        <f t="shared" si="9"/>
        <v>0</v>
      </c>
      <c r="T54" s="22">
        <f t="shared" si="9"/>
        <v>0</v>
      </c>
      <c r="V54" s="44"/>
      <c r="W54" s="44"/>
      <c r="X54" s="44"/>
    </row>
    <row r="55" spans="1:24" s="1" customFormat="1" outlineLevel="1" x14ac:dyDescent="0.2">
      <c r="A55" s="34" t="s">
        <v>95</v>
      </c>
      <c r="B55" s="27">
        <f>SUM(Input!I$131:I$134)</f>
        <v>0</v>
      </c>
      <c r="C55" s="34"/>
      <c r="D55" s="105"/>
      <c r="E55" s="105"/>
      <c r="F55" s="105"/>
      <c r="G55" s="105"/>
      <c r="H55" s="105"/>
      <c r="I55" s="105"/>
      <c r="J55" s="34"/>
      <c r="K55" s="54">
        <f>$B55*Input!D77</f>
        <v>0</v>
      </c>
      <c r="L55" s="54">
        <f>$B55*Input!E77</f>
        <v>0</v>
      </c>
      <c r="M55" s="54">
        <f>$B55*Input!F77</f>
        <v>0</v>
      </c>
      <c r="N55" s="54">
        <f>$B55*Input!G77</f>
        <v>0</v>
      </c>
      <c r="O55" s="54">
        <f>$B55*Input!H77</f>
        <v>0</v>
      </c>
      <c r="P55" s="54">
        <f>$B55*Input!I77</f>
        <v>0</v>
      </c>
      <c r="Q55" s="59"/>
      <c r="R55" s="22">
        <f t="shared" si="9"/>
        <v>0</v>
      </c>
      <c r="S55" s="22">
        <f t="shared" si="9"/>
        <v>0</v>
      </c>
      <c r="T55" s="22">
        <f t="shared" si="9"/>
        <v>0</v>
      </c>
      <c r="V55" s="45"/>
      <c r="W55" s="45"/>
      <c r="X55" s="45"/>
    </row>
    <row r="56" spans="1:24" s="1" customFormat="1" outlineLevel="1" x14ac:dyDescent="0.2">
      <c r="A56" s="34" t="s">
        <v>96</v>
      </c>
      <c r="B56" s="27">
        <f>SUM(Input!J$131:J$134)</f>
        <v>0</v>
      </c>
      <c r="C56" s="34"/>
      <c r="D56" s="105"/>
      <c r="E56" s="105"/>
      <c r="F56" s="105"/>
      <c r="G56" s="105"/>
      <c r="H56" s="105"/>
      <c r="I56" s="105"/>
      <c r="J56" s="34"/>
      <c r="K56" s="54">
        <f>$B56*Input!D84</f>
        <v>0</v>
      </c>
      <c r="L56" s="54">
        <f>$B56*Input!E84</f>
        <v>0</v>
      </c>
      <c r="M56" s="54">
        <f>$B56*Input!F84</f>
        <v>0</v>
      </c>
      <c r="N56" s="54">
        <f>$B56*Input!G84</f>
        <v>0</v>
      </c>
      <c r="O56" s="54">
        <f>$B56*Input!H84</f>
        <v>0</v>
      </c>
      <c r="P56" s="54">
        <f>$B56*Input!I84</f>
        <v>0</v>
      </c>
      <c r="Q56" s="59"/>
      <c r="R56" s="22">
        <f t="shared" si="9"/>
        <v>0</v>
      </c>
      <c r="S56" s="22">
        <f t="shared" si="9"/>
        <v>0</v>
      </c>
      <c r="T56" s="22">
        <f t="shared" si="9"/>
        <v>0</v>
      </c>
      <c r="V56" s="45"/>
      <c r="W56" s="45"/>
      <c r="X56" s="45"/>
    </row>
    <row r="57" spans="1:24" s="1" customFormat="1" outlineLevel="1" x14ac:dyDescent="0.2">
      <c r="A57" s="34"/>
      <c r="B57" s="22"/>
      <c r="C57" s="34"/>
      <c r="D57" s="40"/>
      <c r="E57" s="40"/>
      <c r="F57" s="40"/>
      <c r="G57" s="40"/>
      <c r="H57" s="40"/>
      <c r="I57" s="40"/>
      <c r="J57" s="34"/>
      <c r="K57" s="59"/>
      <c r="L57" s="59"/>
      <c r="M57" s="59"/>
      <c r="N57" s="59"/>
      <c r="O57" s="59"/>
      <c r="P57" s="59"/>
      <c r="Q57" s="59"/>
      <c r="R57" s="40"/>
      <c r="S57" s="40"/>
      <c r="T57" s="40"/>
      <c r="V57" s="45"/>
      <c r="W57" s="45"/>
      <c r="X57" s="45"/>
    </row>
    <row r="58" spans="1:24" s="1" customFormat="1" outlineLevel="1" x14ac:dyDescent="0.2">
      <c r="B58" s="2"/>
      <c r="D58" s="2" t="s">
        <v>182</v>
      </c>
      <c r="K58" s="2" t="s">
        <v>99</v>
      </c>
      <c r="R58" s="2" t="s">
        <v>192</v>
      </c>
      <c r="V58" s="32"/>
    </row>
    <row r="59" spans="1:24" s="1" customFormat="1" outlineLevel="1" x14ac:dyDescent="0.2">
      <c r="A59" s="29"/>
      <c r="C59" s="29"/>
      <c r="D59" s="6" t="s">
        <v>38</v>
      </c>
      <c r="E59" s="6"/>
      <c r="F59" s="6"/>
      <c r="G59" s="6" t="s">
        <v>39</v>
      </c>
      <c r="H59" s="6"/>
      <c r="I59" s="6"/>
      <c r="J59" s="29"/>
      <c r="K59" s="6" t="s">
        <v>38</v>
      </c>
      <c r="L59" s="6"/>
      <c r="M59" s="6"/>
      <c r="N59" s="6" t="s">
        <v>39</v>
      </c>
      <c r="O59" s="6"/>
      <c r="P59" s="6"/>
      <c r="Q59" s="6"/>
    </row>
    <row r="60" spans="1:24" s="1" customFormat="1" outlineLevel="1" x14ac:dyDescent="0.2">
      <c r="A60" s="5" t="s">
        <v>135</v>
      </c>
      <c r="B60" s="2" t="s">
        <v>142</v>
      </c>
      <c r="C60" s="5"/>
      <c r="D60" s="29" t="s">
        <v>40</v>
      </c>
      <c r="E60" s="29" t="s">
        <v>41</v>
      </c>
      <c r="F60" s="29" t="s">
        <v>42</v>
      </c>
      <c r="G60" s="29" t="s">
        <v>40</v>
      </c>
      <c r="H60" s="29" t="s">
        <v>41</v>
      </c>
      <c r="I60" s="29" t="s">
        <v>42</v>
      </c>
      <c r="J60" s="5"/>
      <c r="K60" s="29" t="s">
        <v>40</v>
      </c>
      <c r="L60" s="29" t="s">
        <v>41</v>
      </c>
      <c r="M60" s="29" t="s">
        <v>42</v>
      </c>
      <c r="N60" s="29" t="s">
        <v>40</v>
      </c>
      <c r="O60" s="29" t="s">
        <v>41</v>
      </c>
      <c r="P60" s="29" t="s">
        <v>42</v>
      </c>
      <c r="Q60" s="29"/>
      <c r="R60" s="2" t="s">
        <v>40</v>
      </c>
      <c r="S60" s="2" t="s">
        <v>41</v>
      </c>
      <c r="T60" s="2" t="s">
        <v>42</v>
      </c>
      <c r="V60" s="2"/>
      <c r="W60" s="2"/>
      <c r="X60" s="2"/>
    </row>
    <row r="61" spans="1:24" s="1" customFormat="1" outlineLevel="1" x14ac:dyDescent="0.2">
      <c r="A61" s="34" t="s">
        <v>85</v>
      </c>
      <c r="B61" s="22">
        <f>B26+B33+B40+B47+B54</f>
        <v>3894.9224648130144</v>
      </c>
      <c r="C61" s="34"/>
      <c r="D61" s="22">
        <f t="shared" ref="D61:I63" si="10">D26+D33+D40+D47+D54</f>
        <v>0</v>
      </c>
      <c r="E61" s="22">
        <f t="shared" si="10"/>
        <v>0</v>
      </c>
      <c r="F61" s="22">
        <f t="shared" si="10"/>
        <v>118.6</v>
      </c>
      <c r="G61" s="22">
        <f t="shared" si="10"/>
        <v>359.6</v>
      </c>
      <c r="H61" s="22">
        <f t="shared" si="10"/>
        <v>316</v>
      </c>
      <c r="I61" s="22">
        <f t="shared" si="10"/>
        <v>118.6</v>
      </c>
      <c r="J61" s="34"/>
      <c r="K61" s="22">
        <f t="shared" ref="K61:P63" si="11">K26+K33+K40+K47+K54</f>
        <v>0</v>
      </c>
      <c r="L61" s="22">
        <f t="shared" si="11"/>
        <v>0</v>
      </c>
      <c r="M61" s="22">
        <f t="shared" si="11"/>
        <v>526.99664131502755</v>
      </c>
      <c r="N61" s="22">
        <f t="shared" si="11"/>
        <v>1403.5084549932142</v>
      </c>
      <c r="O61" s="22">
        <f t="shared" si="11"/>
        <v>1437.4207271897453</v>
      </c>
      <c r="P61" s="22">
        <f t="shared" si="11"/>
        <v>526.99664131502755</v>
      </c>
      <c r="Q61" s="59"/>
      <c r="R61" s="22">
        <f t="shared" ref="R61:T63" si="12">R26+R33+R40+R47+R54</f>
        <v>1403.5084549932142</v>
      </c>
      <c r="S61" s="22">
        <f t="shared" si="12"/>
        <v>1437.4207271897453</v>
      </c>
      <c r="T61" s="22">
        <f t="shared" si="12"/>
        <v>1053.9932826300551</v>
      </c>
      <c r="V61" s="22"/>
      <c r="W61" s="22"/>
      <c r="X61" s="22"/>
    </row>
    <row r="62" spans="1:24" s="1" customFormat="1" outlineLevel="1" x14ac:dyDescent="0.2">
      <c r="A62" s="34" t="s">
        <v>95</v>
      </c>
      <c r="B62" s="22">
        <f>B27+B34+B41+B48+B55</f>
        <v>279.07326992152787</v>
      </c>
      <c r="C62" s="34"/>
      <c r="D62" s="22">
        <f t="shared" si="10"/>
        <v>0</v>
      </c>
      <c r="E62" s="22">
        <f t="shared" si="10"/>
        <v>0</v>
      </c>
      <c r="F62" s="22">
        <f t="shared" si="10"/>
        <v>1.8620199999999998</v>
      </c>
      <c r="G62" s="22">
        <f t="shared" si="10"/>
        <v>51.512699999999995</v>
      </c>
      <c r="H62" s="22">
        <f t="shared" si="10"/>
        <v>16.447800000000001</v>
      </c>
      <c r="I62" s="22">
        <f t="shared" si="10"/>
        <v>1.8620199999999998</v>
      </c>
      <c r="J62" s="34"/>
      <c r="K62" s="22">
        <f t="shared" si="11"/>
        <v>0</v>
      </c>
      <c r="L62" s="22">
        <f t="shared" si="11"/>
        <v>0</v>
      </c>
      <c r="M62" s="22">
        <f t="shared" si="11"/>
        <v>6.551696356096893</v>
      </c>
      <c r="N62" s="22">
        <f t="shared" si="11"/>
        <v>210.80855902386486</v>
      </c>
      <c r="O62" s="22">
        <f t="shared" si="11"/>
        <v>55.161318185469256</v>
      </c>
      <c r="P62" s="22">
        <f t="shared" si="11"/>
        <v>6.551696356096893</v>
      </c>
      <c r="Q62" s="59"/>
      <c r="R62" s="22">
        <f t="shared" si="12"/>
        <v>210.80855902386486</v>
      </c>
      <c r="S62" s="22">
        <f t="shared" si="12"/>
        <v>55.161318185469256</v>
      </c>
      <c r="T62" s="22">
        <f t="shared" si="12"/>
        <v>13.103392712193786</v>
      </c>
      <c r="V62" s="22"/>
      <c r="W62" s="22"/>
      <c r="X62" s="22"/>
    </row>
    <row r="63" spans="1:24" s="1" customFormat="1" outlineLevel="1" x14ac:dyDescent="0.2">
      <c r="A63" s="34" t="s">
        <v>96</v>
      </c>
      <c r="B63" s="22">
        <f>B28+B35+B42+B49+B56</f>
        <v>487.59974598605595</v>
      </c>
      <c r="C63" s="34"/>
      <c r="D63" s="22">
        <f t="shared" si="10"/>
        <v>0</v>
      </c>
      <c r="E63" s="22">
        <f t="shared" si="10"/>
        <v>0</v>
      </c>
      <c r="F63" s="22">
        <f t="shared" si="10"/>
        <v>10.95271</v>
      </c>
      <c r="G63" s="22">
        <f t="shared" si="10"/>
        <v>41.452889999999996</v>
      </c>
      <c r="H63" s="22">
        <f t="shared" si="10"/>
        <v>23.012699999999999</v>
      </c>
      <c r="I63" s="22">
        <f t="shared" si="10"/>
        <v>10.95271</v>
      </c>
      <c r="J63" s="34"/>
      <c r="K63" s="22">
        <f t="shared" si="11"/>
        <v>0</v>
      </c>
      <c r="L63" s="22">
        <f t="shared" si="11"/>
        <v>0</v>
      </c>
      <c r="M63" s="22">
        <f t="shared" si="11"/>
        <v>62.641276291738173</v>
      </c>
      <c r="N63" s="22">
        <f t="shared" si="11"/>
        <v>230.55626719019105</v>
      </c>
      <c r="O63" s="22">
        <f t="shared" si="11"/>
        <v>131.76092621238851</v>
      </c>
      <c r="P63" s="22">
        <f t="shared" si="11"/>
        <v>62.641276291738173</v>
      </c>
      <c r="Q63" s="59"/>
      <c r="R63" s="22">
        <f t="shared" si="12"/>
        <v>230.55626719019105</v>
      </c>
      <c r="S63" s="22">
        <f t="shared" si="12"/>
        <v>131.76092621238851</v>
      </c>
      <c r="T63" s="22">
        <f t="shared" si="12"/>
        <v>125.28255258347635</v>
      </c>
      <c r="V63" s="22"/>
      <c r="W63" s="22"/>
      <c r="X63" s="22"/>
    </row>
    <row r="64" spans="1:24" s="1" customFormat="1" x14ac:dyDescent="0.2">
      <c r="A64" s="34"/>
      <c r="B64" s="22"/>
      <c r="D64" s="40"/>
      <c r="E64" s="40"/>
      <c r="F64" s="40"/>
      <c r="H64" s="45"/>
      <c r="I64" s="45"/>
      <c r="J64" s="45"/>
      <c r="L64" s="40"/>
      <c r="M64" s="40"/>
      <c r="N64" s="40"/>
      <c r="O64" s="40"/>
      <c r="P64" s="40"/>
      <c r="Q64" s="40"/>
      <c r="S64" s="59"/>
      <c r="T64" s="59"/>
      <c r="U64" s="59"/>
      <c r="V64" s="59"/>
      <c r="W64" s="59"/>
      <c r="X64" s="59"/>
    </row>
    <row r="65" spans="1:10" s="1" customFormat="1" ht="20.25" x14ac:dyDescent="0.3">
      <c r="A65" s="124" t="s">
        <v>264</v>
      </c>
      <c r="B65" s="22"/>
      <c r="D65" s="40"/>
      <c r="E65" s="40"/>
      <c r="F65" s="40"/>
      <c r="H65" s="45"/>
      <c r="I65" s="45"/>
      <c r="J65" s="45"/>
    </row>
    <row r="66" spans="1:10" s="1" customFormat="1" ht="20.25" outlineLevel="1" x14ac:dyDescent="0.3">
      <c r="A66" s="102"/>
      <c r="B66" s="22"/>
      <c r="D66" s="40"/>
      <c r="E66" s="40"/>
      <c r="F66" s="40"/>
      <c r="H66" s="45"/>
      <c r="I66" s="45"/>
      <c r="J66" s="45"/>
    </row>
    <row r="67" spans="1:10" s="1" customFormat="1" ht="25.5" outlineLevel="1" x14ac:dyDescent="0.2">
      <c r="A67" s="58" t="s">
        <v>138</v>
      </c>
      <c r="D67" s="22"/>
      <c r="F67" s="40"/>
      <c r="H67" s="45"/>
      <c r="I67" s="45"/>
      <c r="J67" s="45"/>
    </row>
    <row r="68" spans="1:10" s="1" customFormat="1" outlineLevel="1" x14ac:dyDescent="0.2">
      <c r="A68" s="34"/>
      <c r="B68" s="2" t="s">
        <v>142</v>
      </c>
      <c r="D68" s="2" t="s">
        <v>40</v>
      </c>
      <c r="E68" s="2" t="s">
        <v>41</v>
      </c>
      <c r="F68" s="2" t="s">
        <v>42</v>
      </c>
      <c r="H68" s="45"/>
      <c r="I68" s="45"/>
      <c r="J68" s="45"/>
    </row>
    <row r="69" spans="1:10" s="1" customFormat="1" outlineLevel="1" x14ac:dyDescent="0.2">
      <c r="A69" s="34" t="s">
        <v>85</v>
      </c>
      <c r="B69" s="22">
        <f>SUM(D69:F69)</f>
        <v>3894.9224648130144</v>
      </c>
      <c r="D69" s="27">
        <f>R61</f>
        <v>1403.5084549932142</v>
      </c>
      <c r="E69" s="122">
        <f t="shared" ref="E69:F71" si="13">S61</f>
        <v>1437.4207271897453</v>
      </c>
      <c r="F69" s="122">
        <f t="shared" si="13"/>
        <v>1053.9932826300551</v>
      </c>
      <c r="H69" s="45"/>
      <c r="I69" s="45"/>
      <c r="J69" s="45"/>
    </row>
    <row r="70" spans="1:10" s="1" customFormat="1" outlineLevel="1" x14ac:dyDescent="0.2">
      <c r="A70" s="34" t="s">
        <v>95</v>
      </c>
      <c r="B70" s="22">
        <f>SUM(D70:F70)</f>
        <v>279.07326992152792</v>
      </c>
      <c r="D70" s="122">
        <f t="shared" ref="D70:D71" si="14">R62</f>
        <v>210.80855902386486</v>
      </c>
      <c r="E70" s="122">
        <f t="shared" si="13"/>
        <v>55.161318185469256</v>
      </c>
      <c r="F70" s="122">
        <f t="shared" si="13"/>
        <v>13.103392712193786</v>
      </c>
      <c r="H70" s="45"/>
      <c r="I70" s="45"/>
      <c r="J70" s="45"/>
    </row>
    <row r="71" spans="1:10" s="1" customFormat="1" outlineLevel="1" x14ac:dyDescent="0.2">
      <c r="A71" s="34" t="s">
        <v>96</v>
      </c>
      <c r="B71" s="22">
        <f>SUM(D71:F71)</f>
        <v>487.59974598605589</v>
      </c>
      <c r="D71" s="122">
        <f t="shared" si="14"/>
        <v>230.55626719019105</v>
      </c>
      <c r="E71" s="122">
        <f t="shared" si="13"/>
        <v>131.76092621238851</v>
      </c>
      <c r="F71" s="122">
        <f t="shared" si="13"/>
        <v>125.28255258347635</v>
      </c>
      <c r="H71" s="45"/>
      <c r="I71" s="45"/>
      <c r="J71" s="45"/>
    </row>
    <row r="72" spans="1:10" s="1" customFormat="1" x14ac:dyDescent="0.2">
      <c r="A72" s="34"/>
      <c r="B72" s="22"/>
      <c r="D72" s="40"/>
      <c r="E72" s="40"/>
      <c r="F72" s="40"/>
      <c r="H72" s="45"/>
      <c r="I72" s="45"/>
      <c r="J72" s="45"/>
    </row>
    <row r="73" spans="1:10" s="1" customFormat="1" ht="20.25" x14ac:dyDescent="0.2">
      <c r="A73" s="180" t="s">
        <v>199</v>
      </c>
      <c r="B73" s="180"/>
      <c r="C73" s="180"/>
      <c r="D73" s="180"/>
      <c r="E73" s="180"/>
      <c r="F73" s="40"/>
      <c r="H73" s="45"/>
      <c r="I73" s="45"/>
      <c r="J73" s="45"/>
    </row>
    <row r="74" spans="1:10" s="1" customFormat="1" outlineLevel="1" x14ac:dyDescent="0.2">
      <c r="A74" s="34"/>
      <c r="B74" s="22"/>
      <c r="D74" s="40"/>
      <c r="E74" s="40"/>
      <c r="F74" s="40"/>
      <c r="H74" s="45"/>
      <c r="I74" s="45"/>
      <c r="J74" s="45"/>
    </row>
    <row r="75" spans="1:10" s="1" customFormat="1" outlineLevel="1" x14ac:dyDescent="0.2">
      <c r="A75" s="66" t="s">
        <v>97</v>
      </c>
      <c r="B75" s="101">
        <f>IF(Input!B23="Yes",Input!B24,SUMPRODUCT(Input!$C$33:$C$35,Input!$B$107:$B$109))</f>
        <v>0</v>
      </c>
      <c r="D75" s="40"/>
      <c r="E75" s="40"/>
      <c r="F75" s="40"/>
      <c r="H75" s="45"/>
      <c r="I75" s="45"/>
      <c r="J75" s="45"/>
    </row>
    <row r="76" spans="1:10" s="1" customFormat="1" outlineLevel="1" x14ac:dyDescent="0.2">
      <c r="A76" s="66" t="s">
        <v>98</v>
      </c>
      <c r="B76" s="101">
        <f>SUM(B15:B19)</f>
        <v>248</v>
      </c>
      <c r="D76" s="40"/>
      <c r="E76" s="40"/>
      <c r="F76" s="40"/>
      <c r="H76" s="45"/>
      <c r="I76" s="45"/>
      <c r="J76" s="45"/>
    </row>
    <row r="77" spans="1:10" s="1" customFormat="1" outlineLevel="1" x14ac:dyDescent="0.2">
      <c r="A77" s="34"/>
      <c r="B77" s="22"/>
      <c r="D77" s="40"/>
      <c r="E77" s="40"/>
      <c r="F77" s="40"/>
      <c r="H77" s="45"/>
      <c r="I77" s="45"/>
      <c r="J77" s="45"/>
    </row>
    <row r="78" spans="1:10" s="1" customFormat="1" outlineLevel="1" x14ac:dyDescent="0.2">
      <c r="A78" s="5" t="s">
        <v>47</v>
      </c>
      <c r="B78" s="2"/>
      <c r="C78" s="2"/>
      <c r="D78" s="2"/>
      <c r="E78" s="2"/>
      <c r="F78" s="2"/>
    </row>
    <row r="79" spans="1:10" s="1" customFormat="1" outlineLevel="1" x14ac:dyDescent="0.2">
      <c r="F79" s="179"/>
      <c r="G79" s="179"/>
      <c r="H79" s="179"/>
    </row>
    <row r="80" spans="1:10" s="1" customFormat="1" outlineLevel="1" x14ac:dyDescent="0.2">
      <c r="A80" s="35" t="s">
        <v>48</v>
      </c>
      <c r="B80" s="36" t="s">
        <v>49</v>
      </c>
      <c r="C80" s="50" t="s">
        <v>124</v>
      </c>
      <c r="D80" s="36" t="s">
        <v>125</v>
      </c>
      <c r="E80" s="48" t="s">
        <v>109</v>
      </c>
      <c r="F80" s="48"/>
      <c r="G80" s="36"/>
      <c r="H80" s="36"/>
    </row>
    <row r="81" spans="1:8" s="1" customFormat="1" outlineLevel="1" x14ac:dyDescent="0.2">
      <c r="A81" s="1" t="s">
        <v>102</v>
      </c>
      <c r="B81" s="22">
        <f>B76</f>
        <v>248</v>
      </c>
      <c r="C81" s="37">
        <f t="shared" ref="C81:C86" si="15">IF(B81=0,0,LN(B81))</f>
        <v>5.5134287461649825</v>
      </c>
      <c r="D81" s="1">
        <f>'Fixed Parameters'!F10</f>
        <v>6.7</v>
      </c>
      <c r="E81" s="37">
        <f t="shared" ref="E81:E86" si="16">C81-D81</f>
        <v>-1.1865712538350177</v>
      </c>
      <c r="G81" s="37"/>
      <c r="H81" s="37"/>
    </row>
    <row r="82" spans="1:8" s="1" customFormat="1" outlineLevel="1" x14ac:dyDescent="0.2">
      <c r="A82" s="1" t="s">
        <v>103</v>
      </c>
      <c r="B82" s="37">
        <f>Input!B12/640</f>
        <v>1.40625E-2</v>
      </c>
      <c r="C82" s="37">
        <f t="shared" si="15"/>
        <v>-4.2642435990174983</v>
      </c>
      <c r="D82" s="1">
        <f>'Fixed Parameters'!F11</f>
        <v>-1.59</v>
      </c>
      <c r="E82" s="37">
        <f t="shared" si="16"/>
        <v>-2.6742435990174984</v>
      </c>
      <c r="G82" s="37"/>
      <c r="H82" s="37"/>
    </row>
    <row r="83" spans="1:8" s="1" customFormat="1" ht="25.5" outlineLevel="1" x14ac:dyDescent="0.2">
      <c r="A83" s="17" t="s">
        <v>126</v>
      </c>
      <c r="B83" s="37">
        <f>MAX(1-ABS(0.2*B75-B76)/(0.2*B75+B76),0.01)</f>
        <v>0.01</v>
      </c>
      <c r="C83" s="37">
        <f t="shared" si="15"/>
        <v>-4.6051701859880909</v>
      </c>
      <c r="D83" s="1">
        <f>'Fixed Parameters'!F12</f>
        <v>-1.44</v>
      </c>
      <c r="E83" s="37">
        <f t="shared" si="16"/>
        <v>-3.165170185988091</v>
      </c>
      <c r="G83" s="37"/>
      <c r="H83" s="37"/>
    </row>
    <row r="84" spans="1:8" s="1" customFormat="1" ht="25.5" outlineLevel="1" x14ac:dyDescent="0.2">
      <c r="A84" s="17" t="s">
        <v>51</v>
      </c>
      <c r="B84" s="37">
        <f>Input!B13/Input!B12*640</f>
        <v>142.22222222222223</v>
      </c>
      <c r="C84" s="37">
        <f t="shared" si="15"/>
        <v>4.9573907795774437</v>
      </c>
      <c r="D84" s="1">
        <f>'Fixed Parameters'!F13</f>
        <v>5.31</v>
      </c>
      <c r="E84" s="37">
        <f t="shared" si="16"/>
        <v>-0.35260922042255594</v>
      </c>
      <c r="G84" s="37"/>
      <c r="H84" s="37"/>
    </row>
    <row r="85" spans="1:8" s="1" customFormat="1" outlineLevel="1" x14ac:dyDescent="0.2">
      <c r="A85" s="17" t="s">
        <v>104</v>
      </c>
      <c r="B85" s="37">
        <f>IF(SUM(Input!B107:B109)=0,EXP(D85),SUMPRODUCT(Input!$C$33:$C$35,Input!B107:B109)/SUM(Input!B107:B109))</f>
        <v>2.3396468519259908</v>
      </c>
      <c r="C85" s="37">
        <f t="shared" si="15"/>
        <v>0.85</v>
      </c>
      <c r="D85" s="1">
        <f>'Fixed Parameters'!F14</f>
        <v>0.85</v>
      </c>
      <c r="E85" s="37">
        <f t="shared" si="16"/>
        <v>0</v>
      </c>
      <c r="G85" s="37"/>
      <c r="H85" s="37"/>
    </row>
    <row r="86" spans="1:8" s="1" customFormat="1" ht="25.5" outlineLevel="1" x14ac:dyDescent="0.2">
      <c r="A86" s="17" t="s">
        <v>105</v>
      </c>
      <c r="B86" s="37">
        <f>IF(SUM(Input!B107:B109)=0,EXP(D86),Input!B25/B85)</f>
        <v>0.75578374145572547</v>
      </c>
      <c r="C86" s="37">
        <f t="shared" si="15"/>
        <v>-0.28000000000000003</v>
      </c>
      <c r="D86" s="1">
        <f>'Fixed Parameters'!F15</f>
        <v>-0.28000000000000003</v>
      </c>
      <c r="E86" s="37">
        <f t="shared" si="16"/>
        <v>0</v>
      </c>
      <c r="G86" s="37"/>
      <c r="H86" s="37"/>
    </row>
    <row r="87" spans="1:8" s="1" customFormat="1" outlineLevel="1" x14ac:dyDescent="0.2">
      <c r="A87" s="17"/>
      <c r="B87" s="37"/>
      <c r="D87" s="37"/>
      <c r="F87" s="36"/>
      <c r="G87" s="36"/>
      <c r="H87" s="36"/>
    </row>
    <row r="88" spans="1:8" s="1" customFormat="1" outlineLevel="1" x14ac:dyDescent="0.2">
      <c r="A88" s="17"/>
      <c r="B88" s="36" t="s">
        <v>40</v>
      </c>
      <c r="C88" s="36" t="s">
        <v>41</v>
      </c>
      <c r="D88" s="36" t="s">
        <v>42</v>
      </c>
      <c r="F88" s="36"/>
      <c r="G88" s="36"/>
      <c r="H88" s="36"/>
    </row>
    <row r="89" spans="1:8" s="1" customFormat="1" outlineLevel="1" x14ac:dyDescent="0.2">
      <c r="A89" s="2" t="s">
        <v>52</v>
      </c>
      <c r="B89" s="38">
        <f>'Fixed Parameters'!B$9+SUMPRODUCT('Fixed Parameters'!B$10:B$15,$E$81:$E$86)</f>
        <v>-4.851251202349367</v>
      </c>
      <c r="C89" s="38">
        <f>'Fixed Parameters'!C$9+SUMPRODUCT('Fixed Parameters'!C$10:C$15,$E$81:$E$86)</f>
        <v>-5.3783398431944374</v>
      </c>
      <c r="D89" s="38">
        <f>'Fixed Parameters'!D$9+SUMPRODUCT('Fixed Parameters'!D$10:D$15,$E$81:$E$86)</f>
        <v>-3.5933175077674639</v>
      </c>
      <c r="E89" s="38"/>
    </row>
    <row r="90" spans="1:8" s="1" customFormat="1" outlineLevel="1" x14ac:dyDescent="0.2">
      <c r="A90" s="46" t="s">
        <v>111</v>
      </c>
    </row>
    <row r="91" spans="1:8" s="1" customFormat="1" outlineLevel="1" x14ac:dyDescent="0.2">
      <c r="A91" s="2" t="s">
        <v>53</v>
      </c>
    </row>
    <row r="92" spans="1:8" s="1" customFormat="1" outlineLevel="1" x14ac:dyDescent="0.2">
      <c r="D92" s="36"/>
      <c r="F92" s="48"/>
      <c r="G92" s="48"/>
      <c r="H92" s="48"/>
    </row>
    <row r="93" spans="1:8" s="1" customFormat="1" outlineLevel="1" x14ac:dyDescent="0.2">
      <c r="A93" s="35" t="s">
        <v>48</v>
      </c>
      <c r="B93" s="36" t="s">
        <v>49</v>
      </c>
      <c r="C93" s="50" t="s">
        <v>124</v>
      </c>
      <c r="D93" s="36" t="s">
        <v>125</v>
      </c>
      <c r="E93" s="48" t="s">
        <v>109</v>
      </c>
    </row>
    <row r="94" spans="1:8" s="1" customFormat="1" outlineLevel="1" x14ac:dyDescent="0.2">
      <c r="A94" s="1" t="s">
        <v>103</v>
      </c>
      <c r="B94" s="51">
        <f>Input!B12/640</f>
        <v>1.40625E-2</v>
      </c>
      <c r="C94" s="37">
        <f t="shared" ref="C94:C101" si="17">IF(B94=0,0,LN(B94))</f>
        <v>-4.2642435990174983</v>
      </c>
      <c r="D94" s="1">
        <f>'Fixed Parameters'!F22</f>
        <v>-1.59</v>
      </c>
      <c r="E94" s="37">
        <f t="shared" ref="E94:E101" si="18">C94-D94</f>
        <v>-2.6742435990174984</v>
      </c>
      <c r="G94" s="37"/>
      <c r="H94" s="37"/>
    </row>
    <row r="95" spans="1:8" s="1" customFormat="1" ht="25.5" outlineLevel="1" x14ac:dyDescent="0.2">
      <c r="A95" s="17" t="s">
        <v>54</v>
      </c>
      <c r="B95" s="22">
        <f>(B75+B76)/B82</f>
        <v>17635.555555555555</v>
      </c>
      <c r="C95" s="37">
        <f t="shared" si="17"/>
        <v>9.7776723451824807</v>
      </c>
      <c r="D95" s="1">
        <f>'Fixed Parameters'!F23</f>
        <v>9.2799999999999994</v>
      </c>
      <c r="E95" s="37">
        <f t="shared" si="18"/>
        <v>0.49767234518248138</v>
      </c>
      <c r="G95" s="37"/>
      <c r="H95" s="37"/>
    </row>
    <row r="96" spans="1:8" s="1" customFormat="1" ht="25.5" outlineLevel="1" x14ac:dyDescent="0.2">
      <c r="A96" s="17" t="s">
        <v>126</v>
      </c>
      <c r="B96" s="37">
        <f>MAX(1-ABS(0.2*B75-B76)/(0.2*B75+B76),0.01)</f>
        <v>0.01</v>
      </c>
      <c r="C96" s="37">
        <f t="shared" si="17"/>
        <v>-4.6051701859880909</v>
      </c>
      <c r="D96" s="1">
        <f>'Fixed Parameters'!F24</f>
        <v>-1.44</v>
      </c>
      <c r="E96" s="37">
        <f t="shared" si="18"/>
        <v>-3.165170185988091</v>
      </c>
      <c r="G96" s="37"/>
      <c r="H96" s="37"/>
    </row>
    <row r="97" spans="1:8" s="1" customFormat="1" ht="38.25" outlineLevel="1" x14ac:dyDescent="0.2">
      <c r="A97" s="17" t="s">
        <v>127</v>
      </c>
      <c r="B97" s="37">
        <f>IF(B75+B15+B16=0,EXP(D97),MAX(1-ABS(0.05*B75-(B15+B16))/(0.05*B75+(B15+B16)),0.01))</f>
        <v>0.01</v>
      </c>
      <c r="C97" s="37">
        <f t="shared" si="17"/>
        <v>-4.6051701859880909</v>
      </c>
      <c r="D97" s="37">
        <f>'Fixed Parameters'!F25</f>
        <v>-1.43</v>
      </c>
      <c r="E97" s="37">
        <f t="shared" si="18"/>
        <v>-3.1751701859880912</v>
      </c>
      <c r="G97" s="37"/>
      <c r="H97" s="37"/>
    </row>
    <row r="98" spans="1:8" s="1" customFormat="1" ht="25.5" outlineLevel="1" x14ac:dyDescent="0.2">
      <c r="A98" s="17" t="s">
        <v>51</v>
      </c>
      <c r="B98" s="37">
        <f>Input!B13/Input!B12*640</f>
        <v>142.22222222222223</v>
      </c>
      <c r="C98" s="37">
        <f t="shared" si="17"/>
        <v>4.9573907795774437</v>
      </c>
      <c r="D98" s="1">
        <f>'Fixed Parameters'!F26</f>
        <v>5.31</v>
      </c>
      <c r="E98" s="37">
        <f t="shared" si="18"/>
        <v>-0.35260922042255594</v>
      </c>
      <c r="G98" s="37"/>
      <c r="H98" s="37"/>
    </row>
    <row r="99" spans="1:8" s="1" customFormat="1" ht="25.5" outlineLevel="1" x14ac:dyDescent="0.2">
      <c r="A99" s="17" t="s">
        <v>128</v>
      </c>
      <c r="B99" s="30">
        <f>Input!B18/1000</f>
        <v>5</v>
      </c>
      <c r="C99" s="37">
        <f t="shared" si="17"/>
        <v>1.6094379124341003</v>
      </c>
      <c r="D99" s="1">
        <f>'Fixed Parameters'!F27</f>
        <v>2.44</v>
      </c>
      <c r="E99" s="37">
        <f t="shared" si="18"/>
        <v>-0.83056208756589966</v>
      </c>
      <c r="G99" s="37"/>
      <c r="H99" s="37"/>
    </row>
    <row r="100" spans="1:8" s="1" customFormat="1" outlineLevel="1" x14ac:dyDescent="0.2">
      <c r="A100" s="17" t="s">
        <v>104</v>
      </c>
      <c r="B100" s="37">
        <f>B85</f>
        <v>2.3396468519259908</v>
      </c>
      <c r="C100" s="37">
        <f t="shared" si="17"/>
        <v>0.85</v>
      </c>
      <c r="D100" s="1">
        <f>'Fixed Parameters'!F28</f>
        <v>0.85</v>
      </c>
      <c r="E100" s="37">
        <f t="shared" si="18"/>
        <v>0</v>
      </c>
      <c r="G100" s="37"/>
      <c r="H100" s="37"/>
    </row>
    <row r="101" spans="1:8" s="1" customFormat="1" ht="25.5" outlineLevel="1" x14ac:dyDescent="0.2">
      <c r="A101" s="17" t="s">
        <v>105</v>
      </c>
      <c r="B101" s="37">
        <f>B86</f>
        <v>0.75578374145572547</v>
      </c>
      <c r="C101" s="37">
        <f t="shared" si="17"/>
        <v>-0.28000000000000003</v>
      </c>
      <c r="D101" s="1">
        <f>'Fixed Parameters'!F29</f>
        <v>-0.28000000000000003</v>
      </c>
      <c r="E101" s="37">
        <f t="shared" si="18"/>
        <v>0</v>
      </c>
      <c r="F101" s="1" t="s">
        <v>110</v>
      </c>
      <c r="G101" s="37"/>
      <c r="H101" s="37"/>
    </row>
    <row r="102" spans="1:8" s="1" customFormat="1" outlineLevel="1" x14ac:dyDescent="0.2">
      <c r="A102" s="17"/>
      <c r="B102" s="37"/>
      <c r="F102" s="37"/>
      <c r="G102" s="37"/>
      <c r="H102" s="37"/>
    </row>
    <row r="103" spans="1:8" s="1" customFormat="1" outlineLevel="1" x14ac:dyDescent="0.2">
      <c r="A103" s="17"/>
      <c r="B103" s="36" t="s">
        <v>40</v>
      </c>
      <c r="C103" s="36" t="s">
        <v>41</v>
      </c>
      <c r="D103" s="36" t="s">
        <v>42</v>
      </c>
      <c r="F103" s="37"/>
      <c r="G103" s="37"/>
      <c r="H103" s="37"/>
    </row>
    <row r="104" spans="1:8" s="1" customFormat="1" outlineLevel="1" x14ac:dyDescent="0.2">
      <c r="A104" s="2" t="s">
        <v>52</v>
      </c>
      <c r="B104" s="38">
        <f>'Fixed Parameters'!B$21+SUMPRODUCT('Fixed Parameters'!B$22:B$29,$E$94:$E$101)</f>
        <v>-5.01509486574618</v>
      </c>
      <c r="C104" s="38">
        <f>'Fixed Parameters'!C$21+SUMPRODUCT('Fixed Parameters'!C$22:C$29,$E$94:$E$101)</f>
        <v>-3.2203160062259397</v>
      </c>
      <c r="D104" s="38">
        <f>'Fixed Parameters'!D$21+SUMPRODUCT('Fixed Parameters'!D$22:D$29,$E$94:$E$101)</f>
        <v>-4.0909700483945128</v>
      </c>
    </row>
    <row r="105" spans="1:8" s="1" customFormat="1" outlineLevel="1" x14ac:dyDescent="0.2"/>
    <row r="106" spans="1:8" s="1" customFormat="1" outlineLevel="1" x14ac:dyDescent="0.2">
      <c r="A106" s="2" t="s">
        <v>55</v>
      </c>
    </row>
    <row r="107" spans="1:8" s="1" customFormat="1" outlineLevel="1" x14ac:dyDescent="0.2">
      <c r="D107" s="36"/>
      <c r="F107" s="48"/>
      <c r="G107" s="48"/>
      <c r="H107" s="48"/>
    </row>
    <row r="108" spans="1:8" s="1" customFormat="1" outlineLevel="1" x14ac:dyDescent="0.2">
      <c r="A108" s="35" t="s">
        <v>48</v>
      </c>
      <c r="B108" s="36" t="s">
        <v>49</v>
      </c>
      <c r="C108" s="50" t="s">
        <v>124</v>
      </c>
      <c r="D108" s="36" t="s">
        <v>125</v>
      </c>
      <c r="E108" s="48" t="s">
        <v>109</v>
      </c>
      <c r="F108" s="36"/>
      <c r="G108" s="36"/>
      <c r="H108" s="36"/>
    </row>
    <row r="109" spans="1:8" s="1" customFormat="1" outlineLevel="1" x14ac:dyDescent="0.2">
      <c r="A109" s="1" t="s">
        <v>102</v>
      </c>
      <c r="B109" s="33">
        <f>B76</f>
        <v>248</v>
      </c>
      <c r="C109" s="37">
        <f>IF(B109=0,0,LN(B109))</f>
        <v>5.5134287461649825</v>
      </c>
      <c r="D109" s="1">
        <f>'Fixed Parameters'!F36</f>
        <v>6.7</v>
      </c>
      <c r="E109" s="37">
        <f>C109-D109</f>
        <v>-1.1865712538350177</v>
      </c>
      <c r="G109" s="37"/>
      <c r="H109" s="37"/>
    </row>
    <row r="110" spans="1:8" s="1" customFormat="1" ht="25.5" outlineLevel="1" x14ac:dyDescent="0.2">
      <c r="A110" s="17" t="s">
        <v>51</v>
      </c>
      <c r="B110" s="22">
        <f>Input!B13/Input!B12*640</f>
        <v>142.22222222222223</v>
      </c>
      <c r="C110" s="37">
        <f>IF(B110=0,0,LN(B110))</f>
        <v>4.9573907795774437</v>
      </c>
      <c r="D110" s="1">
        <f>'Fixed Parameters'!F37</f>
        <v>5.31</v>
      </c>
      <c r="E110" s="37">
        <f>C110-D110</f>
        <v>-0.35260922042255594</v>
      </c>
      <c r="G110" s="37"/>
      <c r="H110" s="37"/>
    </row>
    <row r="111" spans="1:8" s="1" customFormat="1" ht="25.5" outlineLevel="1" x14ac:dyDescent="0.2">
      <c r="A111" s="17" t="s">
        <v>56</v>
      </c>
      <c r="B111" s="52">
        <f>Input!B19/1000</f>
        <v>1000</v>
      </c>
      <c r="C111" s="53">
        <f>IF(B111=0,0,LN(B111*1000))</f>
        <v>13.815510557964274</v>
      </c>
      <c r="D111" s="1">
        <f>'Fixed Parameters'!F38</f>
        <v>8.41</v>
      </c>
      <c r="E111" s="37">
        <f>C111-D111</f>
        <v>5.4055105579642735</v>
      </c>
      <c r="F111" s="1" t="s">
        <v>129</v>
      </c>
      <c r="G111" s="37"/>
      <c r="H111" s="37"/>
    </row>
    <row r="112" spans="1:8" s="1" customFormat="1" outlineLevel="1" x14ac:dyDescent="0.2">
      <c r="A112" s="17" t="s">
        <v>104</v>
      </c>
      <c r="B112" s="37">
        <f>B100</f>
        <v>2.3396468519259908</v>
      </c>
      <c r="C112" s="37">
        <f>IF(B112=0,0,LN(B112))</f>
        <v>0.85</v>
      </c>
      <c r="D112" s="1">
        <f>'Fixed Parameters'!F39</f>
        <v>0.85</v>
      </c>
      <c r="E112" s="37">
        <f>C112-D112</f>
        <v>0</v>
      </c>
      <c r="F112" s="1" t="s">
        <v>110</v>
      </c>
      <c r="G112" s="37"/>
      <c r="H112" s="37"/>
    </row>
    <row r="113" spans="1:8" s="1" customFormat="1" ht="25.5" outlineLevel="1" x14ac:dyDescent="0.2">
      <c r="A113" s="17" t="s">
        <v>105</v>
      </c>
      <c r="B113" s="37">
        <f>B101</f>
        <v>0.75578374145572547</v>
      </c>
      <c r="C113" s="37">
        <f>IF(B113=0,0,LN(B113))</f>
        <v>-0.28000000000000003</v>
      </c>
      <c r="D113" s="1">
        <f>'Fixed Parameters'!F40</f>
        <v>-0.28000000000000003</v>
      </c>
      <c r="E113" s="37">
        <f>C113-D113</f>
        <v>0</v>
      </c>
      <c r="G113" s="37"/>
      <c r="H113" s="37"/>
    </row>
    <row r="114" spans="1:8" s="1" customFormat="1" outlineLevel="1" x14ac:dyDescent="0.2">
      <c r="A114" s="17"/>
      <c r="B114" s="37"/>
      <c r="F114" s="37"/>
      <c r="G114" s="37"/>
      <c r="H114" s="37"/>
    </row>
    <row r="115" spans="1:8" s="1" customFormat="1" outlineLevel="1" x14ac:dyDescent="0.2">
      <c r="A115" s="17"/>
      <c r="B115" s="36" t="s">
        <v>40</v>
      </c>
      <c r="C115" s="36" t="s">
        <v>41</v>
      </c>
      <c r="D115" s="36" t="s">
        <v>42</v>
      </c>
      <c r="F115" s="37"/>
      <c r="G115" s="37"/>
      <c r="H115" s="37"/>
    </row>
    <row r="116" spans="1:8" s="1" customFormat="1" outlineLevel="1" x14ac:dyDescent="0.2">
      <c r="A116" s="2" t="s">
        <v>52</v>
      </c>
      <c r="B116" s="38">
        <f>'Fixed Parameters'!B$35+SUMPRODUCT('Fixed Parameters'!B$36:B$40,$E$109:$E$113)</f>
        <v>-4.1295111945353558</v>
      </c>
      <c r="C116" s="38">
        <f>'Fixed Parameters'!C$35+SUMPRODUCT('Fixed Parameters'!C$36:C$40,$E$109:$E$113)</f>
        <v>-3.3807798959585034</v>
      </c>
      <c r="D116" s="38">
        <f>'Fixed Parameters'!D$35+SUMPRODUCT('Fixed Parameters'!D$36:D$40,$E$109:$E$113)</f>
        <v>-3.0540278710668964</v>
      </c>
      <c r="E116" s="38"/>
    </row>
  </sheetData>
  <mergeCells count="3">
    <mergeCell ref="F79:H79"/>
    <mergeCell ref="D51:I51"/>
    <mergeCell ref="A73:E73"/>
  </mergeCells>
  <phoneticPr fontId="10" type="noConversion"/>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outlinePr summaryBelow="0"/>
  </sheetPr>
  <dimension ref="A1:T51"/>
  <sheetViews>
    <sheetView tabSelected="1" zoomScale="85" zoomScaleNormal="85" workbookViewId="0">
      <selection activeCell="P23" sqref="P23"/>
    </sheetView>
  </sheetViews>
  <sheetFormatPr defaultRowHeight="12.75" outlineLevelRow="1" x14ac:dyDescent="0.2"/>
  <cols>
    <col min="1" max="1" width="37.85546875" customWidth="1"/>
    <col min="10" max="10" width="9.42578125" customWidth="1"/>
    <col min="11" max="11" width="10" customWidth="1"/>
    <col min="14" max="14" width="5.28515625" style="146" customWidth="1"/>
    <col min="16" max="16" width="22.5703125" customWidth="1"/>
    <col min="17" max="19" width="11.5703125" bestFit="1" customWidth="1"/>
    <col min="20" max="20" width="11.7109375" bestFit="1" customWidth="1"/>
  </cols>
  <sheetData>
    <row r="1" spans="1:20" ht="20.25" x14ac:dyDescent="0.3">
      <c r="A1" s="93" t="s">
        <v>200</v>
      </c>
    </row>
    <row r="2" spans="1:20" ht="20.25" x14ac:dyDescent="0.3">
      <c r="A2" s="93"/>
    </row>
    <row r="3" spans="1:20" ht="20.25" x14ac:dyDescent="0.3">
      <c r="A3" s="189" t="s">
        <v>184</v>
      </c>
      <c r="B3" s="189"/>
      <c r="C3" s="189"/>
      <c r="D3" s="189"/>
      <c r="E3" s="189"/>
      <c r="O3" s="184" t="s">
        <v>347</v>
      </c>
      <c r="P3" s="185"/>
      <c r="Q3" s="185"/>
    </row>
    <row r="4" spans="1:20" s="1" customFormat="1" outlineLevel="1" x14ac:dyDescent="0.2">
      <c r="A4" s="7"/>
      <c r="B4" s="186" t="s">
        <v>85</v>
      </c>
      <c r="C4" s="186"/>
      <c r="D4" s="186"/>
      <c r="E4" s="186"/>
      <c r="F4" s="186" t="s">
        <v>95</v>
      </c>
      <c r="G4" s="186"/>
      <c r="H4" s="186"/>
      <c r="I4" s="186"/>
      <c r="J4" s="186" t="s">
        <v>96</v>
      </c>
      <c r="K4" s="186"/>
      <c r="L4" s="186"/>
      <c r="M4" s="186"/>
      <c r="N4" s="147"/>
      <c r="Q4" s="7" t="s">
        <v>40</v>
      </c>
      <c r="R4" s="7" t="s">
        <v>41</v>
      </c>
      <c r="S4" s="7" t="s">
        <v>42</v>
      </c>
      <c r="T4" s="7" t="s">
        <v>36</v>
      </c>
    </row>
    <row r="5" spans="1:20" s="1" customFormat="1" outlineLevel="1" x14ac:dyDescent="0.2">
      <c r="B5" s="140" t="s">
        <v>40</v>
      </c>
      <c r="C5" s="47" t="s">
        <v>41</v>
      </c>
      <c r="D5" s="47" t="s">
        <v>42</v>
      </c>
      <c r="E5" s="1" t="s">
        <v>36</v>
      </c>
      <c r="F5" s="47" t="s">
        <v>40</v>
      </c>
      <c r="G5" s="47" t="s">
        <v>41</v>
      </c>
      <c r="H5" s="47" t="s">
        <v>42</v>
      </c>
      <c r="I5" s="1" t="s">
        <v>36</v>
      </c>
      <c r="J5" s="47" t="s">
        <v>40</v>
      </c>
      <c r="K5" s="47" t="s">
        <v>41</v>
      </c>
      <c r="L5" s="47" t="s">
        <v>42</v>
      </c>
      <c r="M5" s="1" t="s">
        <v>36</v>
      </c>
      <c r="N5" s="147"/>
      <c r="O5" s="181" t="s">
        <v>350</v>
      </c>
      <c r="P5" s="181"/>
      <c r="Q5" s="33">
        <f>$B$6*Input!$B$147</f>
        <v>0</v>
      </c>
      <c r="R5" s="33">
        <f>$C$6*Input!$C$147</f>
        <v>0</v>
      </c>
      <c r="S5" s="33">
        <f>$D$6*Input!$D$147</f>
        <v>0</v>
      </c>
      <c r="T5" s="33">
        <f>SUM(Q5:S5)</f>
        <v>0</v>
      </c>
    </row>
    <row r="6" spans="1:20" s="1" customFormat="1" outlineLevel="1" x14ac:dyDescent="0.2">
      <c r="A6" s="2" t="s">
        <v>334</v>
      </c>
      <c r="B6" s="22">
        <f>Calculations!D69</f>
        <v>1403.5084549932142</v>
      </c>
      <c r="C6" s="22">
        <f>Calculations!E69</f>
        <v>1437.4207271897453</v>
      </c>
      <c r="D6" s="22">
        <f>Calculations!F69</f>
        <v>1053.9932826300551</v>
      </c>
      <c r="E6" s="22">
        <f>SUM(B6:D6)</f>
        <v>3894.9224648130144</v>
      </c>
      <c r="F6" s="22">
        <f>Calculations!D70</f>
        <v>210.80855902386486</v>
      </c>
      <c r="G6" s="22">
        <f>Calculations!E70</f>
        <v>55.161318185469256</v>
      </c>
      <c r="H6" s="22">
        <f>Calculations!F70</f>
        <v>13.103392712193786</v>
      </c>
      <c r="I6" s="22">
        <f>SUM(F6:H6)</f>
        <v>279.07326992152792</v>
      </c>
      <c r="J6" s="22">
        <f>Calculations!D71</f>
        <v>230.55626719019105</v>
      </c>
      <c r="K6" s="22">
        <f>Calculations!E71</f>
        <v>131.76092621238851</v>
      </c>
      <c r="L6" s="22">
        <f>Calculations!F71</f>
        <v>125.28255258347635</v>
      </c>
      <c r="M6" s="22">
        <f>SUM(J6:L6)</f>
        <v>487.59974598605589</v>
      </c>
      <c r="N6" s="147"/>
      <c r="O6" s="181" t="s">
        <v>351</v>
      </c>
      <c r="P6" s="181"/>
      <c r="Q6" s="161">
        <f>$B$17*Input!$B$147</f>
        <v>0</v>
      </c>
      <c r="R6" s="161">
        <f>$C$17*Input!$C$147</f>
        <v>0</v>
      </c>
      <c r="S6" s="161">
        <f>$D$17*Input!$D$147</f>
        <v>0</v>
      </c>
      <c r="T6" s="33">
        <f>SUM(Q6:S6)</f>
        <v>0</v>
      </c>
    </row>
    <row r="7" spans="1:20" s="1" customFormat="1" ht="25.5" outlineLevel="1" x14ac:dyDescent="0.2">
      <c r="A7" s="132" t="s">
        <v>335</v>
      </c>
      <c r="L7" s="6"/>
      <c r="N7" s="147"/>
      <c r="O7" s="176" t="s">
        <v>352</v>
      </c>
      <c r="P7" s="182"/>
      <c r="Q7" s="33"/>
      <c r="R7" s="33"/>
      <c r="S7" s="33"/>
      <c r="T7" s="33">
        <f>T5-T6</f>
        <v>0</v>
      </c>
    </row>
    <row r="8" spans="1:20" s="1" customFormat="1" outlineLevel="1" x14ac:dyDescent="0.2">
      <c r="A8" s="25" t="s">
        <v>57</v>
      </c>
      <c r="B8" s="41">
        <f>EXP(Calculations!B$89)/(EXP(Calculations!B$89)+1)</f>
        <v>7.7579327043054537E-3</v>
      </c>
      <c r="C8" s="41">
        <f>EXP(Calculations!C$89)/(EXP(Calculations!C$89)+1)</f>
        <v>4.5942732233567127E-3</v>
      </c>
      <c r="D8" s="41">
        <f>EXP(Calculations!D$89)/(EXP(Calculations!D$89)+1)</f>
        <v>2.6770548983139485E-2</v>
      </c>
      <c r="E8" s="56">
        <f>E13/E6</f>
        <v>1.1735331554059335E-2</v>
      </c>
      <c r="F8" s="42">
        <f t="shared" ref="F8:H10" si="0">B8</f>
        <v>7.7579327043054537E-3</v>
      </c>
      <c r="G8" s="42">
        <f t="shared" si="0"/>
        <v>4.5942732233567127E-3</v>
      </c>
      <c r="H8" s="42">
        <f t="shared" si="0"/>
        <v>2.6770548983139485E-2</v>
      </c>
      <c r="I8" s="56">
        <f>I13/I6</f>
        <v>8.0253110539041175E-3</v>
      </c>
      <c r="J8" s="42">
        <f t="shared" ref="J8:L10" si="1">F8</f>
        <v>7.7579327043054537E-3</v>
      </c>
      <c r="K8" s="42">
        <f t="shared" si="1"/>
        <v>4.5942732233567127E-3</v>
      </c>
      <c r="L8" s="42">
        <f t="shared" si="1"/>
        <v>2.6770548983139485E-2</v>
      </c>
      <c r="M8" s="56">
        <f>M13/M6</f>
        <v>1.1788087378192978E-2</v>
      </c>
      <c r="N8" s="147"/>
      <c r="O8" s="183" t="s">
        <v>353</v>
      </c>
      <c r="P8" s="183"/>
      <c r="T8" s="109" t="e">
        <f>T7/T5</f>
        <v>#DIV/0!</v>
      </c>
    </row>
    <row r="9" spans="1:20" s="1" customFormat="1" outlineLevel="1" x14ac:dyDescent="0.2">
      <c r="A9" s="25" t="s">
        <v>58</v>
      </c>
      <c r="B9" s="41">
        <f>EXP(Calculations!B$104)/(EXP(Calculations!B$104)+1)</f>
        <v>6.5932430135685911E-3</v>
      </c>
      <c r="C9" s="41">
        <f>EXP(Calculations!C$104)/(EXP(Calculations!C$104)+1)</f>
        <v>3.8408312704963254E-2</v>
      </c>
      <c r="D9" s="41">
        <f>EXP(Calculations!D$104)/(EXP(Calculations!D$104)+1)</f>
        <v>1.6447944530137041E-2</v>
      </c>
      <c r="E9" s="56">
        <f>E14/(E6-E13)</f>
        <v>2.1045612348705285E-2</v>
      </c>
      <c r="F9" s="42">
        <f t="shared" si="0"/>
        <v>6.5932430135685911E-3</v>
      </c>
      <c r="G9" s="42">
        <f t="shared" si="0"/>
        <v>3.8408312704963254E-2</v>
      </c>
      <c r="H9" s="42">
        <f t="shared" si="0"/>
        <v>1.6447944530137041E-2</v>
      </c>
      <c r="I9" s="56">
        <f>I14/(I6-I13)</f>
        <v>1.3357492069501226E-2</v>
      </c>
      <c r="J9" s="42">
        <f t="shared" si="1"/>
        <v>6.5932430135685911E-3</v>
      </c>
      <c r="K9" s="42">
        <f t="shared" si="1"/>
        <v>3.8408312704963254E-2</v>
      </c>
      <c r="L9" s="42">
        <f t="shared" si="1"/>
        <v>1.6447944530137041E-2</v>
      </c>
      <c r="M9" s="56">
        <f>M14/(M6-M13)</f>
        <v>1.7746659307240363E-2</v>
      </c>
      <c r="N9" s="147"/>
    </row>
    <row r="10" spans="1:20" s="1" customFormat="1" outlineLevel="1" x14ac:dyDescent="0.2">
      <c r="A10" s="25" t="s">
        <v>59</v>
      </c>
      <c r="B10" s="41">
        <f>IF(Input!$B14="No",0,EXP(Calculations!B$116)/(EXP(Calculations!B$116)+1))</f>
        <v>1.5835930272687461E-2</v>
      </c>
      <c r="C10" s="41">
        <f>IF(Input!$B14="No",0,EXP(Calculations!C$116)/(EXP(Calculations!C$116)+1))</f>
        <v>3.2901570202223264E-2</v>
      </c>
      <c r="D10" s="41">
        <f>IF(Input!$B14="No",0,EXP(Calculations!D$116)/(EXP(Calculations!D$116)+1))</f>
        <v>4.5043896988525754E-2</v>
      </c>
      <c r="E10" s="56">
        <f>E15/(E6-E13)</f>
        <v>2.9963144404228748E-2</v>
      </c>
      <c r="F10" s="42">
        <f t="shared" si="0"/>
        <v>1.5835930272687461E-2</v>
      </c>
      <c r="G10" s="42">
        <f t="shared" si="0"/>
        <v>3.2901570202223264E-2</v>
      </c>
      <c r="H10" s="42">
        <f t="shared" si="0"/>
        <v>4.5043896988525754E-2</v>
      </c>
      <c r="I10" s="56">
        <f>I15/(I6-I13)</f>
        <v>2.0566266331610482E-2</v>
      </c>
      <c r="J10" s="42">
        <f t="shared" si="1"/>
        <v>1.5835930272687461E-2</v>
      </c>
      <c r="K10" s="42">
        <f t="shared" si="1"/>
        <v>3.2901570202223264E-2</v>
      </c>
      <c r="L10" s="42">
        <f t="shared" si="1"/>
        <v>4.5043896988525754E-2</v>
      </c>
      <c r="M10" s="56">
        <f>M15/(M6-M13)</f>
        <v>2.7871874746738298E-2</v>
      </c>
      <c r="N10" s="147"/>
      <c r="Q10" s="7" t="s">
        <v>40</v>
      </c>
      <c r="R10" s="7" t="s">
        <v>41</v>
      </c>
      <c r="S10" s="7" t="s">
        <v>42</v>
      </c>
      <c r="T10" s="7" t="s">
        <v>36</v>
      </c>
    </row>
    <row r="11" spans="1:20" s="1" customFormat="1" outlineLevel="1" x14ac:dyDescent="0.2">
      <c r="B11" s="6"/>
      <c r="N11" s="147"/>
      <c r="O11" s="181" t="s">
        <v>354</v>
      </c>
      <c r="P11" s="182"/>
      <c r="Q11" s="155">
        <f>$I$21*Input!$B$147</f>
        <v>0</v>
      </c>
      <c r="R11" s="155">
        <f>$J$21*Input!$C$147</f>
        <v>0</v>
      </c>
      <c r="S11" s="155">
        <f>$K$21*Input!$D$147</f>
        <v>0</v>
      </c>
      <c r="T11" s="155">
        <f>SUM(Q11:S11)</f>
        <v>0</v>
      </c>
    </row>
    <row r="12" spans="1:20" s="1" customFormat="1" outlineLevel="1" x14ac:dyDescent="0.2">
      <c r="A12" s="2" t="s">
        <v>336</v>
      </c>
      <c r="B12" s="6"/>
      <c r="N12" s="147"/>
      <c r="O12" s="176" t="s">
        <v>355</v>
      </c>
      <c r="P12" s="183"/>
      <c r="Q12" s="155">
        <f>(Input!$B$146-Input!$B$147)*'Results '!$B$17</f>
        <v>0</v>
      </c>
      <c r="R12" s="155">
        <f>(Input!$C$146-Input!$C$147)*'Results '!$C$17</f>
        <v>0</v>
      </c>
      <c r="S12" s="155">
        <f>(Input!$D$146-Input!$D$147)*'Results '!$D$17</f>
        <v>0</v>
      </c>
      <c r="T12" s="155">
        <f>SUM(Q12:S12)</f>
        <v>0</v>
      </c>
    </row>
    <row r="13" spans="1:20" s="1" customFormat="1" outlineLevel="1" x14ac:dyDescent="0.2">
      <c r="A13" s="25" t="s">
        <v>57</v>
      </c>
      <c r="B13" s="27">
        <f>B6*B8</f>
        <v>10.888324143761075</v>
      </c>
      <c r="C13" s="27">
        <f>C6*C8</f>
        <v>6.603903557625781</v>
      </c>
      <c r="D13" s="27">
        <f>D6*D8</f>
        <v>28.21597880054787</v>
      </c>
      <c r="E13" s="22">
        <f>SUM(B13:D13)</f>
        <v>45.708206501934725</v>
      </c>
      <c r="F13" s="27">
        <f>F6*F8</f>
        <v>1.6354386143987478</v>
      </c>
      <c r="G13" s="27">
        <f>G6*G8</f>
        <v>0.25342616710456112</v>
      </c>
      <c r="H13" s="27">
        <f>H6*H8</f>
        <v>0.3507850164470967</v>
      </c>
      <c r="I13" s="22">
        <f>SUM(F13:H13)</f>
        <v>2.2396497979504058</v>
      </c>
      <c r="J13" s="27">
        <f>J6*J8</f>
        <v>1.7886400054173697</v>
      </c>
      <c r="K13" s="27">
        <f>K6*K8</f>
        <v>0.60534569518225612</v>
      </c>
      <c r="L13" s="27">
        <f>L6*L8</f>
        <v>3.3538827106687017</v>
      </c>
      <c r="M13" s="22">
        <f>SUM(J13:L13)</f>
        <v>5.7478684112683274</v>
      </c>
      <c r="N13" s="147"/>
      <c r="O13" s="2" t="s">
        <v>348</v>
      </c>
      <c r="T13" s="156">
        <f>SUM(T11:T12)</f>
        <v>0</v>
      </c>
    </row>
    <row r="14" spans="1:20" s="1" customFormat="1" outlineLevel="1" x14ac:dyDescent="0.2">
      <c r="A14" s="25" t="s">
        <v>58</v>
      </c>
      <c r="B14" s="27">
        <f>(B6-B13)*B9</f>
        <v>9.1818829482781332</v>
      </c>
      <c r="C14" s="27">
        <f>(C6-C13)*C9</f>
        <v>54.955259985584711</v>
      </c>
      <c r="D14" s="27">
        <f>(D6-D13)*D9</f>
        <v>16.871928193661265</v>
      </c>
      <c r="E14" s="22">
        <f>SUM(B14:D14)</f>
        <v>81.009071127524109</v>
      </c>
      <c r="F14" s="27">
        <f>(F6-F13)*F9</f>
        <v>1.3791292147660541</v>
      </c>
      <c r="G14" s="27">
        <f>(G6-G13)*G9</f>
        <v>2.1089194866117071</v>
      </c>
      <c r="H14" s="27">
        <f>(H6-H13)*H9</f>
        <v>0.20975418399424031</v>
      </c>
      <c r="I14" s="22">
        <f>SUM(F14:H14)</f>
        <v>3.6978028853720017</v>
      </c>
      <c r="J14" s="27">
        <f>(J6-J13)*J9</f>
        <v>1.5083205596666731</v>
      </c>
      <c r="K14" s="27">
        <f>(K6-K13)*K9</f>
        <v>5.0374645495058443</v>
      </c>
      <c r="L14" s="27">
        <f>(L6-L13)*L9</f>
        <v>2.0054759987013315</v>
      </c>
      <c r="M14" s="22">
        <f>SUM(J14:L14)</f>
        <v>8.5512611078738487</v>
      </c>
      <c r="N14" s="147"/>
    </row>
    <row r="15" spans="1:20" s="1" customFormat="1" outlineLevel="1" x14ac:dyDescent="0.2">
      <c r="A15" s="25" t="s">
        <v>59</v>
      </c>
      <c r="B15" s="27">
        <f>(B6-B13)*B10</f>
        <v>22.053435288472826</v>
      </c>
      <c r="C15" s="27">
        <f>(C6-C13)*C10</f>
        <v>47.076120169254288</v>
      </c>
      <c r="D15" s="27">
        <f>(D6-D13)*D10</f>
        <v>46.205007206864011</v>
      </c>
      <c r="E15" s="22">
        <f>SUM(B15:D15)</f>
        <v>115.33456266459113</v>
      </c>
      <c r="F15" s="27">
        <f>(F6-F13)*F10</f>
        <v>3.3124509497247638</v>
      </c>
      <c r="G15" s="27">
        <f>(G6-G13)*G10</f>
        <v>1.8065558638983203</v>
      </c>
      <c r="H15" s="27">
        <f>(H6-H13)*H10</f>
        <v>0.57442714738229472</v>
      </c>
      <c r="I15" s="22">
        <f>SUM(F15:H15)</f>
        <v>5.693433961005379</v>
      </c>
      <c r="J15" s="27">
        <f>(J6-J13)*J10</f>
        <v>3.6227481927462364</v>
      </c>
      <c r="K15" s="27">
        <f>(K6-K13)*K10</f>
        <v>4.3152245398002078</v>
      </c>
      <c r="L15" s="27">
        <f>(L6-L13)*L10</f>
        <v>5.4921424456987111</v>
      </c>
      <c r="M15" s="22">
        <f>SUM(J15:L15)</f>
        <v>13.430115178245156</v>
      </c>
      <c r="N15" s="147"/>
    </row>
    <row r="16" spans="1:20" s="74" customFormat="1" outlineLevel="1" x14ac:dyDescent="0.2">
      <c r="A16" s="142"/>
      <c r="B16" s="143"/>
      <c r="C16" s="143"/>
      <c r="D16" s="143"/>
      <c r="E16" s="143"/>
      <c r="F16" s="143"/>
      <c r="G16" s="143"/>
      <c r="H16" s="143"/>
      <c r="I16" s="143"/>
      <c r="J16" s="143"/>
      <c r="K16" s="143"/>
      <c r="L16" s="143"/>
      <c r="M16" s="143"/>
      <c r="N16" s="148"/>
      <c r="O16" s="1"/>
      <c r="P16" s="1"/>
      <c r="Q16" s="1"/>
      <c r="R16" s="1"/>
      <c r="S16" s="1"/>
      <c r="T16" s="1"/>
    </row>
    <row r="17" spans="1:20" s="1" customFormat="1" outlineLevel="1" x14ac:dyDescent="0.2">
      <c r="A17" s="2" t="s">
        <v>337</v>
      </c>
      <c r="B17" s="31">
        <f>B6-SUM(B13:B15)</f>
        <v>1361.384812612702</v>
      </c>
      <c r="C17" s="31">
        <f>C6-SUM(C13:C15)</f>
        <v>1328.7854434772805</v>
      </c>
      <c r="D17" s="31">
        <f>D6-SUM(D13:D15)</f>
        <v>962.70036842898196</v>
      </c>
      <c r="E17" s="32">
        <f>SUM(B17:D17)</f>
        <v>3652.8706245189646</v>
      </c>
      <c r="F17" s="31">
        <f>F6-SUM(F13:F15)</f>
        <v>204.48154024497529</v>
      </c>
      <c r="G17" s="31">
        <f>G6-SUM(G13:G15)</f>
        <v>50.99241666785467</v>
      </c>
      <c r="H17" s="31">
        <f>H6-SUM(H13:H15)</f>
        <v>11.968426364370155</v>
      </c>
      <c r="I17" s="32">
        <f>SUM(F17:H17)</f>
        <v>267.44238327720012</v>
      </c>
      <c r="J17" s="31">
        <f>J6-SUM(J13:J15)</f>
        <v>223.63655843236077</v>
      </c>
      <c r="K17" s="31">
        <f>K6-SUM(K13:K15)</f>
        <v>121.80289142790021</v>
      </c>
      <c r="L17" s="31">
        <f>L6-SUM(L13:L15)</f>
        <v>114.4310514284076</v>
      </c>
      <c r="M17" s="32">
        <f>SUM(J17:L17)</f>
        <v>459.87050128866861</v>
      </c>
      <c r="N17" s="147"/>
    </row>
    <row r="18" spans="1:20" s="1" customFormat="1" outlineLevel="1" x14ac:dyDescent="0.2">
      <c r="B18" s="43"/>
      <c r="C18" s="43"/>
      <c r="D18" s="43"/>
      <c r="E18" s="43"/>
      <c r="F18" s="43"/>
      <c r="G18" s="43"/>
      <c r="H18" s="43"/>
      <c r="I18" s="43"/>
      <c r="J18" s="43"/>
      <c r="N18" s="147"/>
    </row>
    <row r="19" spans="1:20" s="1" customFormat="1" outlineLevel="1" x14ac:dyDescent="0.2">
      <c r="A19" s="145" t="s">
        <v>112</v>
      </c>
      <c r="B19" s="187" t="s">
        <v>134</v>
      </c>
      <c r="C19" s="187"/>
      <c r="D19" s="187"/>
      <c r="E19" s="43"/>
      <c r="F19" s="134"/>
      <c r="G19" s="134"/>
      <c r="H19" s="134"/>
      <c r="I19" s="187" t="s">
        <v>339</v>
      </c>
      <c r="J19" s="192"/>
      <c r="K19" s="192"/>
      <c r="L19" s="182"/>
      <c r="N19" s="147"/>
    </row>
    <row r="20" spans="1:20" s="1" customFormat="1" outlineLevel="1" x14ac:dyDescent="0.2">
      <c r="B20" s="7" t="s">
        <v>299</v>
      </c>
      <c r="C20" s="7" t="s">
        <v>303</v>
      </c>
      <c r="D20" s="1" t="s">
        <v>113</v>
      </c>
      <c r="I20" s="7" t="s">
        <v>40</v>
      </c>
      <c r="J20" s="7" t="s">
        <v>41</v>
      </c>
      <c r="K20" s="7" t="s">
        <v>42</v>
      </c>
      <c r="L20" s="7" t="s">
        <v>36</v>
      </c>
      <c r="N20" s="147"/>
    </row>
    <row r="21" spans="1:20" s="1" customFormat="1" outlineLevel="1" x14ac:dyDescent="0.2">
      <c r="A21" s="25" t="s">
        <v>85</v>
      </c>
      <c r="B21" s="33">
        <f>Calculations!B61</f>
        <v>3894.9224648130144</v>
      </c>
      <c r="C21" s="33">
        <f>SUM(B17:D17)</f>
        <v>3652.8706245189646</v>
      </c>
      <c r="D21" s="57">
        <f>1-C21/B21</f>
        <v>6.2145483634337251E-2</v>
      </c>
      <c r="F21" s="101"/>
      <c r="G21" s="190" t="s">
        <v>85</v>
      </c>
      <c r="H21" s="191"/>
      <c r="I21" s="122">
        <f>SUM(B13:B15)</f>
        <v>42.123642380512038</v>
      </c>
      <c r="J21" s="22">
        <f>SUM(C13:C15)</f>
        <v>108.63528371246477</v>
      </c>
      <c r="K21" s="22">
        <f>SUM(D13:D15)</f>
        <v>91.292914201073145</v>
      </c>
      <c r="L21" s="22">
        <f>SUM(I21:K21)</f>
        <v>242.05184029404995</v>
      </c>
      <c r="N21" s="147"/>
    </row>
    <row r="22" spans="1:20" s="1" customFormat="1" outlineLevel="1" x14ac:dyDescent="0.2">
      <c r="A22" s="25" t="s">
        <v>95</v>
      </c>
      <c r="B22" s="33">
        <f>Calculations!B62</f>
        <v>279.07326992152787</v>
      </c>
      <c r="C22" s="33">
        <f>SUM(F17:H17)</f>
        <v>267.44238327720012</v>
      </c>
      <c r="D22" s="57">
        <f>1-C22/B22</f>
        <v>4.1676820741729292E-2</v>
      </c>
      <c r="F22" s="101"/>
      <c r="G22" s="190" t="s">
        <v>95</v>
      </c>
      <c r="H22" s="191"/>
      <c r="I22" s="122">
        <f>SUM(F13:F15)</f>
        <v>6.327018778889566</v>
      </c>
      <c r="J22" s="22">
        <f>SUM(G13:G15)</f>
        <v>4.1689015176145885</v>
      </c>
      <c r="K22" s="22">
        <f>SUM(H13:H15)</f>
        <v>1.1349663478236316</v>
      </c>
      <c r="L22" s="22">
        <f t="shared" ref="L22:L23" si="2">SUM(I22:K22)</f>
        <v>11.630886644327786</v>
      </c>
      <c r="N22" s="147"/>
    </row>
    <row r="23" spans="1:20" s="1" customFormat="1" outlineLevel="1" x14ac:dyDescent="0.2">
      <c r="A23" s="25" t="s">
        <v>96</v>
      </c>
      <c r="B23" s="33">
        <f>Calculations!B63</f>
        <v>487.59974598605595</v>
      </c>
      <c r="C23" s="33">
        <f>SUM(J17:L17)</f>
        <v>459.87050128866861</v>
      </c>
      <c r="D23" s="57">
        <f>1-C23/B23</f>
        <v>5.68688661666783E-2</v>
      </c>
      <c r="F23" s="101"/>
      <c r="G23" s="190" t="s">
        <v>96</v>
      </c>
      <c r="H23" s="191"/>
      <c r="I23" s="122">
        <f>SUM(J13:J15)</f>
        <v>6.9197087578302794</v>
      </c>
      <c r="J23" s="22">
        <f>SUM(K13:K15)</f>
        <v>9.9580347844883086</v>
      </c>
      <c r="K23" s="22">
        <f>SUM(L13:L15)</f>
        <v>10.851501155068744</v>
      </c>
      <c r="L23" s="22">
        <f t="shared" si="2"/>
        <v>27.72924469738733</v>
      </c>
      <c r="N23" s="147"/>
    </row>
    <row r="24" spans="1:20" s="1" customFormat="1" outlineLevel="1" x14ac:dyDescent="0.2">
      <c r="F24" s="6"/>
      <c r="G24" s="6"/>
      <c r="H24" s="144"/>
      <c r="I24" s="6"/>
      <c r="N24" s="147"/>
    </row>
    <row r="25" spans="1:20" s="1" customFormat="1" outlineLevel="1" x14ac:dyDescent="0.2">
      <c r="F25" s="6"/>
      <c r="G25" s="6"/>
      <c r="H25" s="6"/>
      <c r="I25" s="6"/>
      <c r="N25" s="147"/>
      <c r="O25" s="6"/>
      <c r="P25" s="6"/>
      <c r="Q25" s="6"/>
      <c r="R25" s="6"/>
      <c r="S25" s="6"/>
      <c r="T25" s="6"/>
    </row>
    <row r="26" spans="1:20" s="1" customFormat="1" outlineLevel="1" x14ac:dyDescent="0.2">
      <c r="F26" s="6"/>
      <c r="G26" s="6"/>
      <c r="H26" s="6"/>
      <c r="I26" s="6"/>
      <c r="N26" s="147"/>
    </row>
    <row r="27" spans="1:20" s="1" customFormat="1" outlineLevel="1" x14ac:dyDescent="0.2">
      <c r="F27" s="6"/>
      <c r="G27" s="6"/>
      <c r="H27" s="6"/>
      <c r="I27" s="6"/>
      <c r="N27" s="147"/>
    </row>
    <row r="28" spans="1:20" s="6" customFormat="1" ht="43.5" customHeight="1" x14ac:dyDescent="0.3">
      <c r="A28" s="189" t="s">
        <v>250</v>
      </c>
      <c r="B28" s="189"/>
      <c r="C28" s="189"/>
      <c r="D28" s="189"/>
      <c r="E28" s="189"/>
      <c r="N28" s="147"/>
      <c r="O28" s="1"/>
      <c r="P28" s="1"/>
      <c r="Q28" s="1"/>
      <c r="R28" s="1"/>
      <c r="S28" s="1"/>
      <c r="T28" s="1"/>
    </row>
    <row r="29" spans="1:20" s="1" customFormat="1" outlineLevel="1" x14ac:dyDescent="0.2">
      <c r="B29" s="186" t="s">
        <v>85</v>
      </c>
      <c r="C29" s="186"/>
      <c r="D29" s="186"/>
      <c r="E29" s="186"/>
      <c r="F29" s="188" t="s">
        <v>95</v>
      </c>
      <c r="G29" s="188"/>
      <c r="H29" s="188"/>
      <c r="I29" s="188"/>
      <c r="J29" s="186" t="s">
        <v>96</v>
      </c>
      <c r="K29" s="186"/>
      <c r="L29" s="186"/>
      <c r="M29" s="186"/>
      <c r="N29" s="147"/>
    </row>
    <row r="30" spans="1:20" s="1" customFormat="1" outlineLevel="1" x14ac:dyDescent="0.2">
      <c r="B30" s="47" t="s">
        <v>40</v>
      </c>
      <c r="C30" s="47" t="s">
        <v>41</v>
      </c>
      <c r="D30" s="47" t="s">
        <v>42</v>
      </c>
      <c r="E30" s="1" t="s">
        <v>36</v>
      </c>
      <c r="F30" s="24" t="s">
        <v>40</v>
      </c>
      <c r="G30" s="24" t="s">
        <v>41</v>
      </c>
      <c r="H30" s="24" t="s">
        <v>42</v>
      </c>
      <c r="I30" s="6" t="s">
        <v>36</v>
      </c>
      <c r="J30" s="47" t="s">
        <v>40</v>
      </c>
      <c r="K30" s="47" t="s">
        <v>41</v>
      </c>
      <c r="L30" s="47" t="s">
        <v>42</v>
      </c>
      <c r="M30" s="1" t="s">
        <v>36</v>
      </c>
      <c r="N30" s="147"/>
    </row>
    <row r="31" spans="1:20" s="1" customFormat="1" outlineLevel="1" x14ac:dyDescent="0.2">
      <c r="A31" s="2" t="s">
        <v>334</v>
      </c>
      <c r="B31" s="22">
        <f>Calculations!R26</f>
        <v>0</v>
      </c>
      <c r="C31" s="22">
        <f>Calculations!S26</f>
        <v>0</v>
      </c>
      <c r="D31" s="22">
        <f>Calculations!T26</f>
        <v>0</v>
      </c>
      <c r="E31" s="22">
        <f>SUM(B31:D31)</f>
        <v>0</v>
      </c>
      <c r="F31" s="27">
        <f>Calculations!R27</f>
        <v>0</v>
      </c>
      <c r="G31" s="27">
        <f>Calculations!S27</f>
        <v>0</v>
      </c>
      <c r="H31" s="27">
        <f>Calculations!T27</f>
        <v>0</v>
      </c>
      <c r="I31" s="27">
        <f>SUM(F31:H31)</f>
        <v>0</v>
      </c>
      <c r="J31" s="22">
        <f>Calculations!R28</f>
        <v>0</v>
      </c>
      <c r="K31" s="22">
        <f>Calculations!S28</f>
        <v>0</v>
      </c>
      <c r="L31" s="22">
        <f>Calculations!T28</f>
        <v>0</v>
      </c>
      <c r="M31" s="22">
        <f>SUM(J31:L31)</f>
        <v>0</v>
      </c>
      <c r="N31" s="147"/>
    </row>
    <row r="32" spans="1:20" s="1" customFormat="1" ht="25.5" outlineLevel="1" x14ac:dyDescent="0.2">
      <c r="A32" s="132" t="s">
        <v>335</v>
      </c>
      <c r="F32" s="6"/>
      <c r="G32" s="6"/>
      <c r="H32" s="6"/>
      <c r="I32" s="6"/>
      <c r="L32" s="6"/>
      <c r="N32" s="147"/>
    </row>
    <row r="33" spans="1:20" s="1" customFormat="1" outlineLevel="1" x14ac:dyDescent="0.2">
      <c r="A33" s="25" t="s">
        <v>57</v>
      </c>
      <c r="B33" s="41">
        <f t="shared" ref="B33:D35" si="3">B8</f>
        <v>7.7579327043054537E-3</v>
      </c>
      <c r="C33" s="41">
        <f t="shared" si="3"/>
        <v>4.5942732233567127E-3</v>
      </c>
      <c r="D33" s="41">
        <f t="shared" si="3"/>
        <v>2.6770548983139485E-2</v>
      </c>
      <c r="E33" s="56" t="e">
        <f>E38/E31</f>
        <v>#DIV/0!</v>
      </c>
      <c r="F33" s="41">
        <f t="shared" ref="F33:H35" si="4">F8</f>
        <v>7.7579327043054537E-3</v>
      </c>
      <c r="G33" s="41">
        <f t="shared" si="4"/>
        <v>4.5942732233567127E-3</v>
      </c>
      <c r="H33" s="41">
        <f t="shared" si="4"/>
        <v>2.6770548983139485E-2</v>
      </c>
      <c r="I33" s="106" t="e">
        <f>I38/I31</f>
        <v>#DIV/0!</v>
      </c>
      <c r="J33" s="41">
        <f t="shared" ref="J33:L35" si="5">J8</f>
        <v>7.7579327043054537E-3</v>
      </c>
      <c r="K33" s="41">
        <f t="shared" si="5"/>
        <v>4.5942732233567127E-3</v>
      </c>
      <c r="L33" s="41">
        <f t="shared" si="5"/>
        <v>2.6770548983139485E-2</v>
      </c>
      <c r="M33" s="56" t="e">
        <f>M38/M31</f>
        <v>#DIV/0!</v>
      </c>
      <c r="N33" s="147"/>
    </row>
    <row r="34" spans="1:20" s="1" customFormat="1" outlineLevel="1" x14ac:dyDescent="0.2">
      <c r="A34" s="25" t="s">
        <v>58</v>
      </c>
      <c r="B34" s="41">
        <f t="shared" si="3"/>
        <v>6.5932430135685911E-3</v>
      </c>
      <c r="C34" s="41">
        <f t="shared" si="3"/>
        <v>3.8408312704963254E-2</v>
      </c>
      <c r="D34" s="41">
        <f t="shared" si="3"/>
        <v>1.6447944530137041E-2</v>
      </c>
      <c r="E34" s="56" t="e">
        <f>E39/(E31-E38)</f>
        <v>#DIV/0!</v>
      </c>
      <c r="F34" s="41">
        <f t="shared" si="4"/>
        <v>6.5932430135685911E-3</v>
      </c>
      <c r="G34" s="41">
        <f t="shared" si="4"/>
        <v>3.8408312704963254E-2</v>
      </c>
      <c r="H34" s="41">
        <f t="shared" si="4"/>
        <v>1.6447944530137041E-2</v>
      </c>
      <c r="I34" s="106" t="e">
        <f>I39/(I31-I38)</f>
        <v>#DIV/0!</v>
      </c>
      <c r="J34" s="41">
        <f t="shared" si="5"/>
        <v>6.5932430135685911E-3</v>
      </c>
      <c r="K34" s="41">
        <f t="shared" si="5"/>
        <v>3.8408312704963254E-2</v>
      </c>
      <c r="L34" s="41">
        <f t="shared" si="5"/>
        <v>1.6447944530137041E-2</v>
      </c>
      <c r="M34" s="56" t="e">
        <f>M39/(M31-M38)</f>
        <v>#DIV/0!</v>
      </c>
      <c r="N34" s="147"/>
    </row>
    <row r="35" spans="1:20" s="1" customFormat="1" outlineLevel="1" x14ac:dyDescent="0.2">
      <c r="A35" s="25" t="s">
        <v>59</v>
      </c>
      <c r="B35" s="41">
        <f t="shared" si="3"/>
        <v>1.5835930272687461E-2</v>
      </c>
      <c r="C35" s="41">
        <f t="shared" si="3"/>
        <v>3.2901570202223264E-2</v>
      </c>
      <c r="D35" s="41">
        <f t="shared" si="3"/>
        <v>4.5043896988525754E-2</v>
      </c>
      <c r="E35" s="56" t="e">
        <f>E40/(E31-E38)</f>
        <v>#DIV/0!</v>
      </c>
      <c r="F35" s="41">
        <f t="shared" si="4"/>
        <v>1.5835930272687461E-2</v>
      </c>
      <c r="G35" s="41">
        <f t="shared" si="4"/>
        <v>3.2901570202223264E-2</v>
      </c>
      <c r="H35" s="41">
        <f t="shared" si="4"/>
        <v>4.5043896988525754E-2</v>
      </c>
      <c r="I35" s="106" t="e">
        <f>I40/(I31-I38)</f>
        <v>#DIV/0!</v>
      </c>
      <c r="J35" s="41">
        <f t="shared" si="5"/>
        <v>1.5835930272687461E-2</v>
      </c>
      <c r="K35" s="41">
        <f t="shared" si="5"/>
        <v>3.2901570202223264E-2</v>
      </c>
      <c r="L35" s="41">
        <f t="shared" si="5"/>
        <v>4.5043896988525754E-2</v>
      </c>
      <c r="M35" s="56" t="e">
        <f>M40/(M31-M38)</f>
        <v>#DIV/0!</v>
      </c>
      <c r="N35" s="147"/>
    </row>
    <row r="36" spans="1:20" s="1" customFormat="1" outlineLevel="1" x14ac:dyDescent="0.2">
      <c r="B36" s="6"/>
      <c r="F36" s="6"/>
      <c r="G36" s="6"/>
      <c r="H36" s="6"/>
      <c r="I36" s="6"/>
      <c r="N36" s="147"/>
    </row>
    <row r="37" spans="1:20" s="1" customFormat="1" outlineLevel="1" x14ac:dyDescent="0.2">
      <c r="A37" s="2" t="s">
        <v>336</v>
      </c>
      <c r="B37" s="6"/>
      <c r="F37" s="6"/>
      <c r="G37" s="6"/>
      <c r="H37" s="6"/>
      <c r="I37" s="6"/>
      <c r="N37" s="147"/>
    </row>
    <row r="38" spans="1:20" s="1" customFormat="1" outlineLevel="1" x14ac:dyDescent="0.2">
      <c r="A38" s="25" t="s">
        <v>57</v>
      </c>
      <c r="B38" s="27">
        <f>B31*B33</f>
        <v>0</v>
      </c>
      <c r="C38" s="27">
        <f>C31*C33</f>
        <v>0</v>
      </c>
      <c r="D38" s="27">
        <f>D31*D33</f>
        <v>0</v>
      </c>
      <c r="E38" s="22">
        <f>SUM(B38:D38)</f>
        <v>0</v>
      </c>
      <c r="F38" s="27">
        <f>F31*F33</f>
        <v>0</v>
      </c>
      <c r="G38" s="27">
        <f>G31*G33</f>
        <v>0</v>
      </c>
      <c r="H38" s="27">
        <f>H31*H33</f>
        <v>0</v>
      </c>
      <c r="I38" s="27">
        <f>SUM(F38:H38)</f>
        <v>0</v>
      </c>
      <c r="J38" s="27">
        <f>J31*J33</f>
        <v>0</v>
      </c>
      <c r="K38" s="27">
        <f>K31*K33</f>
        <v>0</v>
      </c>
      <c r="L38" s="27">
        <f>L31*L33</f>
        <v>0</v>
      </c>
      <c r="M38" s="22">
        <f>SUM(J38:L38)</f>
        <v>0</v>
      </c>
      <c r="N38" s="147"/>
    </row>
    <row r="39" spans="1:20" s="1" customFormat="1" outlineLevel="1" x14ac:dyDescent="0.2">
      <c r="A39" s="25" t="s">
        <v>58</v>
      </c>
      <c r="B39" s="27">
        <f>(B31-B38)*B34</f>
        <v>0</v>
      </c>
      <c r="C39" s="27">
        <f>(C31-C38)*C34</f>
        <v>0</v>
      </c>
      <c r="D39" s="27">
        <f>(D31-D38)*D34</f>
        <v>0</v>
      </c>
      <c r="E39" s="22">
        <f>SUM(B39:D39)</f>
        <v>0</v>
      </c>
      <c r="F39" s="27">
        <f>(F31-F38)*F34</f>
        <v>0</v>
      </c>
      <c r="G39" s="27">
        <f>(G31-G38)*G34</f>
        <v>0</v>
      </c>
      <c r="H39" s="27">
        <f>(H31-H38)*H34</f>
        <v>0</v>
      </c>
      <c r="I39" s="27">
        <f>SUM(F39:H39)</f>
        <v>0</v>
      </c>
      <c r="J39" s="27">
        <f>(J31-J38)*J34</f>
        <v>0</v>
      </c>
      <c r="K39" s="27">
        <f>(K31-K38)*K34</f>
        <v>0</v>
      </c>
      <c r="L39" s="27">
        <f>(L31-L38)*L34</f>
        <v>0</v>
      </c>
      <c r="M39" s="22">
        <f>SUM(J39:L39)</f>
        <v>0</v>
      </c>
      <c r="N39" s="147"/>
    </row>
    <row r="40" spans="1:20" s="1" customFormat="1" outlineLevel="1" x14ac:dyDescent="0.2">
      <c r="A40" s="25" t="s">
        <v>59</v>
      </c>
      <c r="B40" s="27">
        <f>(B31-B38)*B35</f>
        <v>0</v>
      </c>
      <c r="C40" s="27">
        <f>(C31-C38)*C35</f>
        <v>0</v>
      </c>
      <c r="D40" s="27">
        <f>(D31-D38)*D35</f>
        <v>0</v>
      </c>
      <c r="E40" s="22">
        <f>SUM(B40:D40)</f>
        <v>0</v>
      </c>
      <c r="F40" s="27">
        <f>(F31-F38)*F35</f>
        <v>0</v>
      </c>
      <c r="G40" s="27">
        <f>(G31-G38)*G35</f>
        <v>0</v>
      </c>
      <c r="H40" s="27">
        <f>(H31-H38)*H35</f>
        <v>0</v>
      </c>
      <c r="I40" s="27">
        <f>SUM(F40:H40)</f>
        <v>0</v>
      </c>
      <c r="J40" s="27">
        <f>(J31-J38)*J35</f>
        <v>0</v>
      </c>
      <c r="K40" s="27">
        <f>(K31-K38)*K35</f>
        <v>0</v>
      </c>
      <c r="L40" s="27">
        <f>(L31-L38)*L35</f>
        <v>0</v>
      </c>
      <c r="M40" s="22">
        <f>SUM(J40:L40)</f>
        <v>0</v>
      </c>
      <c r="N40" s="147"/>
    </row>
    <row r="41" spans="1:20" s="1" customFormat="1" outlineLevel="1" x14ac:dyDescent="0.2">
      <c r="B41" s="6"/>
      <c r="F41" s="6"/>
      <c r="G41" s="6"/>
      <c r="H41" s="6"/>
      <c r="I41" s="6"/>
      <c r="N41" s="147"/>
    </row>
    <row r="42" spans="1:20" s="1" customFormat="1" ht="25.5" outlineLevel="1" x14ac:dyDescent="0.2">
      <c r="A42" s="132" t="s">
        <v>338</v>
      </c>
      <c r="B42" s="31">
        <f>B31-SUM(B38:B40)</f>
        <v>0</v>
      </c>
      <c r="C42" s="31">
        <f>C31-SUM(C38:C40)</f>
        <v>0</v>
      </c>
      <c r="D42" s="31">
        <f>D31-SUM(D38:D40)</f>
        <v>0</v>
      </c>
      <c r="E42" s="32">
        <f>SUM(B42:D42)</f>
        <v>0</v>
      </c>
      <c r="F42" s="31">
        <f>F31-SUM(F38:F40)</f>
        <v>0</v>
      </c>
      <c r="G42" s="31">
        <f>G31-SUM(G38:G40)</f>
        <v>0</v>
      </c>
      <c r="H42" s="31">
        <f>H31-SUM(H38:H40)</f>
        <v>0</v>
      </c>
      <c r="I42" s="31">
        <f>SUM(F42:H42)</f>
        <v>0</v>
      </c>
      <c r="J42" s="31">
        <f>J31-SUM(J38:J40)</f>
        <v>0</v>
      </c>
      <c r="K42" s="31">
        <f>K31-SUM(K38:K40)</f>
        <v>0</v>
      </c>
      <c r="L42" s="31">
        <f>L31-SUM(L38:L40)</f>
        <v>0</v>
      </c>
      <c r="M42" s="32">
        <f>SUM(J42:L42)</f>
        <v>0</v>
      </c>
      <c r="N42" s="147"/>
    </row>
    <row r="43" spans="1:20" s="1" customFormat="1" outlineLevel="1" x14ac:dyDescent="0.2">
      <c r="A43" s="17"/>
      <c r="B43" s="27"/>
      <c r="C43" s="33"/>
      <c r="F43" s="6"/>
      <c r="G43" s="6"/>
      <c r="H43" s="6"/>
      <c r="I43" s="6"/>
      <c r="N43" s="147"/>
    </row>
    <row r="44" spans="1:20" s="1" customFormat="1" outlineLevel="1" x14ac:dyDescent="0.2">
      <c r="B44" s="187" t="s">
        <v>134</v>
      </c>
      <c r="C44" s="187"/>
      <c r="D44" s="187"/>
      <c r="E44" s="27"/>
      <c r="F44" s="187"/>
      <c r="G44" s="187"/>
      <c r="H44" s="187"/>
      <c r="I44" s="6"/>
      <c r="J44" s="186"/>
      <c r="K44" s="186"/>
      <c r="L44" s="28"/>
      <c r="N44" s="147"/>
    </row>
    <row r="45" spans="1:20" s="1" customFormat="1" outlineLevel="1" x14ac:dyDescent="0.2">
      <c r="A45" s="2" t="s">
        <v>112</v>
      </c>
      <c r="B45" s="7" t="s">
        <v>299</v>
      </c>
      <c r="C45" s="7" t="s">
        <v>303</v>
      </c>
      <c r="D45" s="1" t="s">
        <v>113</v>
      </c>
      <c r="E45" s="27"/>
      <c r="F45" s="6"/>
      <c r="G45" s="6"/>
      <c r="H45" s="6"/>
      <c r="I45" s="6"/>
      <c r="J45" s="6"/>
      <c r="K45" s="6"/>
      <c r="N45" s="147"/>
    </row>
    <row r="46" spans="1:20" s="1" customFormat="1" outlineLevel="1" x14ac:dyDescent="0.2">
      <c r="A46" s="1" t="s">
        <v>85</v>
      </c>
      <c r="B46" s="33">
        <f>Calculations!B26</f>
        <v>0</v>
      </c>
      <c r="C46" s="33">
        <f>SUM(B42:D42)</f>
        <v>0</v>
      </c>
      <c r="D46" s="57" t="e">
        <f>1-C46/B46</f>
        <v>#DIV/0!</v>
      </c>
      <c r="E46" s="27"/>
      <c r="F46" s="101"/>
      <c r="G46" s="101"/>
      <c r="H46" s="104"/>
      <c r="I46" s="6"/>
      <c r="J46" s="30"/>
      <c r="K46" s="30"/>
      <c r="N46" s="147"/>
      <c r="O46"/>
      <c r="P46"/>
      <c r="Q46"/>
      <c r="R46"/>
      <c r="S46"/>
      <c r="T46"/>
    </row>
    <row r="47" spans="1:20" s="1" customFormat="1" outlineLevel="1" x14ac:dyDescent="0.2">
      <c r="A47" s="1" t="s">
        <v>95</v>
      </c>
      <c r="B47" s="33">
        <f>Calculations!B27</f>
        <v>0</v>
      </c>
      <c r="C47" s="33">
        <f>SUM(F42:H42)</f>
        <v>0</v>
      </c>
      <c r="D47" s="57" t="e">
        <f>1-C47/B47</f>
        <v>#DIV/0!</v>
      </c>
      <c r="F47" s="101"/>
      <c r="G47" s="101"/>
      <c r="H47" s="104"/>
      <c r="I47" s="6"/>
      <c r="J47" s="30"/>
      <c r="K47" s="30"/>
      <c r="N47" s="147"/>
      <c r="O47"/>
      <c r="P47"/>
      <c r="Q47"/>
      <c r="R47"/>
      <c r="S47"/>
      <c r="T47"/>
    </row>
    <row r="48" spans="1:20" s="1" customFormat="1" outlineLevel="1" x14ac:dyDescent="0.2">
      <c r="A48" s="1" t="s">
        <v>96</v>
      </c>
      <c r="B48" s="33">
        <f>Calculations!B28</f>
        <v>0</v>
      </c>
      <c r="C48" s="33">
        <f>SUM(J42:L42)</f>
        <v>0</v>
      </c>
      <c r="D48" s="57" t="e">
        <f>1-C48/B48</f>
        <v>#DIV/0!</v>
      </c>
      <c r="F48" s="101"/>
      <c r="G48" s="101"/>
      <c r="H48" s="104"/>
      <c r="I48" s="6"/>
      <c r="J48" s="30"/>
      <c r="K48" s="30"/>
      <c r="N48" s="147"/>
      <c r="O48"/>
      <c r="P48"/>
      <c r="Q48"/>
      <c r="R48"/>
      <c r="S48"/>
      <c r="T48"/>
    </row>
    <row r="49" spans="6:6" outlineLevel="1" x14ac:dyDescent="0.2"/>
    <row r="50" spans="6:6" outlineLevel="1" x14ac:dyDescent="0.2">
      <c r="F50" s="6"/>
    </row>
    <row r="51" spans="6:6" outlineLevel="1" x14ac:dyDescent="0.2">
      <c r="F51" s="6"/>
    </row>
  </sheetData>
  <sheetProtection selectLockedCells="1"/>
  <mergeCells count="23">
    <mergeCell ref="B4:E4"/>
    <mergeCell ref="F4:I4"/>
    <mergeCell ref="J4:M4"/>
    <mergeCell ref="A3:E3"/>
    <mergeCell ref="J29:M29"/>
    <mergeCell ref="G21:H21"/>
    <mergeCell ref="J44:K44"/>
    <mergeCell ref="B44:D44"/>
    <mergeCell ref="F44:H44"/>
    <mergeCell ref="B19:D19"/>
    <mergeCell ref="B29:E29"/>
    <mergeCell ref="F29:I29"/>
    <mergeCell ref="A28:E28"/>
    <mergeCell ref="G22:H22"/>
    <mergeCell ref="G23:H23"/>
    <mergeCell ref="I19:L19"/>
    <mergeCell ref="O11:P11"/>
    <mergeCell ref="O12:P12"/>
    <mergeCell ref="O3:Q3"/>
    <mergeCell ref="O5:P5"/>
    <mergeCell ref="O6:P6"/>
    <mergeCell ref="O7:P7"/>
    <mergeCell ref="O8:P8"/>
  </mergeCells>
  <phoneticPr fontId="10" type="noConversion"/>
  <pageMargins left="0.75" right="0.75" top="1" bottom="1" header="0.5" footer="0.5"/>
  <pageSetup orientation="portrait" r:id="rId1"/>
  <headerFooter alignWithMargins="0"/>
  <ignoredErrors>
    <ignoredError sqref="E33:I42 E13:I15 I8:I10 E17:I17"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outlinePr summaryBelow="0"/>
  </sheetPr>
  <dimension ref="A1:L70"/>
  <sheetViews>
    <sheetView zoomScale="85" workbookViewId="0">
      <selection activeCell="C66" sqref="C66"/>
    </sheetView>
  </sheetViews>
  <sheetFormatPr defaultColWidth="9.140625" defaultRowHeight="12.75" outlineLevelRow="1" x14ac:dyDescent="0.2"/>
  <cols>
    <col min="1" max="1" width="40.28515625" style="1" customWidth="1"/>
    <col min="2" max="2" width="13.5703125" style="1" customWidth="1"/>
    <col min="3" max="4" width="12.7109375" style="1" customWidth="1"/>
    <col min="5" max="5" width="9.42578125" style="1" customWidth="1"/>
    <col min="6" max="6" width="11.42578125" style="1" customWidth="1"/>
    <col min="7" max="7" width="10.28515625" style="1" customWidth="1"/>
    <col min="8" max="9" width="9.140625" style="1"/>
    <col min="10" max="10" width="11.85546875" style="1" customWidth="1"/>
    <col min="11" max="16384" width="9.140625" style="1"/>
  </cols>
  <sheetData>
    <row r="1" spans="1:12" ht="20.25" x14ac:dyDescent="0.3">
      <c r="A1" s="93" t="s">
        <v>201</v>
      </c>
    </row>
    <row r="2" spans="1:12" x14ac:dyDescent="0.2">
      <c r="A2" s="1" t="s">
        <v>202</v>
      </c>
    </row>
    <row r="4" spans="1:12" ht="20.25" x14ac:dyDescent="0.3">
      <c r="A4" s="94" t="s">
        <v>79</v>
      </c>
    </row>
    <row r="5" spans="1:12" outlineLevel="1" x14ac:dyDescent="0.2"/>
    <row r="6" spans="1:12" outlineLevel="1" x14ac:dyDescent="0.2">
      <c r="A6" s="5" t="s">
        <v>100</v>
      </c>
    </row>
    <row r="7" spans="1:12" outlineLevel="1" x14ac:dyDescent="0.2"/>
    <row r="8" spans="1:12" outlineLevel="1" x14ac:dyDescent="0.2">
      <c r="A8" s="35" t="s">
        <v>48</v>
      </c>
      <c r="B8" s="36" t="s">
        <v>40</v>
      </c>
      <c r="C8" s="36" t="s">
        <v>41</v>
      </c>
      <c r="D8" s="36" t="s">
        <v>42</v>
      </c>
      <c r="F8" s="36" t="s">
        <v>101</v>
      </c>
    </row>
    <row r="9" spans="1:12" outlineLevel="1" x14ac:dyDescent="0.2">
      <c r="A9" s="17" t="s">
        <v>50</v>
      </c>
      <c r="B9" s="24">
        <v>-3.62</v>
      </c>
      <c r="C9" s="6">
        <v>-2.68</v>
      </c>
      <c r="D9" s="6">
        <v>-1.87</v>
      </c>
      <c r="E9" s="6"/>
      <c r="F9" s="24"/>
      <c r="G9" s="6"/>
    </row>
    <row r="10" spans="1:12" outlineLevel="1" x14ac:dyDescent="0.2">
      <c r="A10" s="1" t="s">
        <v>114</v>
      </c>
      <c r="B10" s="24"/>
      <c r="C10" s="6"/>
      <c r="D10" s="6">
        <v>0.20799999999999999</v>
      </c>
      <c r="E10" s="6"/>
      <c r="F10" s="24">
        <v>6.7</v>
      </c>
      <c r="G10" s="6"/>
    </row>
    <row r="11" spans="1:12" outlineLevel="1" x14ac:dyDescent="0.2">
      <c r="A11" s="1" t="s">
        <v>115</v>
      </c>
      <c r="B11" s="24"/>
      <c r="C11" s="6">
        <v>0.48599999999999999</v>
      </c>
      <c r="D11" s="6">
        <v>0.46800000000000003</v>
      </c>
      <c r="E11" s="6"/>
      <c r="F11" s="24">
        <v>-1.59</v>
      </c>
      <c r="G11" s="6"/>
    </row>
    <row r="12" spans="1:12" ht="25.5" outlineLevel="1" x14ac:dyDescent="0.2">
      <c r="A12" s="17" t="s">
        <v>116</v>
      </c>
      <c r="B12" s="24">
        <v>0.38900000000000001</v>
      </c>
      <c r="C12" s="6">
        <v>0.39900000000000002</v>
      </c>
      <c r="D12" s="6"/>
      <c r="E12" s="6"/>
      <c r="F12" s="24">
        <v>-1.44</v>
      </c>
      <c r="G12" s="6"/>
    </row>
    <row r="13" spans="1:12" ht="25.5" outlineLevel="1" x14ac:dyDescent="0.2">
      <c r="A13" s="17" t="s">
        <v>117</v>
      </c>
      <c r="B13" s="24"/>
      <c r="C13" s="6">
        <v>0.38500000000000001</v>
      </c>
      <c r="D13" s="6">
        <v>0.63800000000000001</v>
      </c>
      <c r="E13" s="6"/>
      <c r="F13" s="24">
        <v>5.31</v>
      </c>
      <c r="G13" s="6"/>
    </row>
    <row r="14" spans="1:12" outlineLevel="1" x14ac:dyDescent="0.2">
      <c r="A14" s="17" t="s">
        <v>118</v>
      </c>
      <c r="B14" s="24">
        <v>-1.33</v>
      </c>
      <c r="C14" s="6">
        <v>-0.86699999999999999</v>
      </c>
      <c r="D14" s="6">
        <v>-0.23699999999999999</v>
      </c>
      <c r="E14" s="6"/>
      <c r="F14" s="24">
        <v>0.85</v>
      </c>
      <c r="G14" s="75"/>
      <c r="H14" s="75"/>
      <c r="I14" s="75"/>
      <c r="J14" s="75"/>
      <c r="K14" s="75"/>
      <c r="L14" s="75"/>
    </row>
    <row r="15" spans="1:12" outlineLevel="1" x14ac:dyDescent="0.2">
      <c r="A15" s="17" t="s">
        <v>119</v>
      </c>
      <c r="B15" s="24">
        <v>-0.99</v>
      </c>
      <c r="C15" s="6">
        <v>-0.59</v>
      </c>
      <c r="D15" s="6">
        <v>-0.16300000000000001</v>
      </c>
      <c r="E15" s="6"/>
      <c r="F15" s="24">
        <v>-0.28000000000000003</v>
      </c>
      <c r="G15" s="75"/>
      <c r="H15" s="75"/>
      <c r="I15" s="75"/>
      <c r="J15" s="75"/>
      <c r="K15" s="75"/>
      <c r="L15" s="75"/>
    </row>
    <row r="16" spans="1:12" outlineLevel="1" x14ac:dyDescent="0.2">
      <c r="A16" s="2"/>
      <c r="B16" s="6"/>
      <c r="C16" s="6"/>
      <c r="D16" s="6"/>
      <c r="E16" s="6"/>
      <c r="F16" s="6"/>
      <c r="G16" s="6"/>
    </row>
    <row r="17" spans="1:12" outlineLevel="1" x14ac:dyDescent="0.2">
      <c r="B17" s="6"/>
      <c r="C17" s="6"/>
      <c r="D17" s="6"/>
      <c r="E17" s="6"/>
      <c r="F17" s="6"/>
      <c r="G17" s="6"/>
    </row>
    <row r="18" spans="1:12" outlineLevel="1" x14ac:dyDescent="0.2">
      <c r="A18" s="5" t="s">
        <v>106</v>
      </c>
      <c r="B18" s="6"/>
      <c r="C18" s="6"/>
      <c r="D18" s="6"/>
      <c r="E18" s="6"/>
      <c r="F18" s="6"/>
      <c r="G18" s="6"/>
    </row>
    <row r="19" spans="1:12" outlineLevel="1" x14ac:dyDescent="0.2">
      <c r="B19" s="6"/>
      <c r="C19" s="6"/>
      <c r="D19" s="6"/>
      <c r="E19" s="6"/>
      <c r="F19" s="6"/>
      <c r="G19" s="6"/>
    </row>
    <row r="20" spans="1:12" outlineLevel="1" x14ac:dyDescent="0.2">
      <c r="A20" s="35" t="s">
        <v>48</v>
      </c>
      <c r="B20" s="85" t="s">
        <v>40</v>
      </c>
      <c r="C20" s="85" t="s">
        <v>41</v>
      </c>
      <c r="D20" s="85" t="s">
        <v>42</v>
      </c>
      <c r="E20" s="6"/>
      <c r="F20" s="85"/>
      <c r="G20" s="6"/>
    </row>
    <row r="21" spans="1:12" outlineLevel="1" x14ac:dyDescent="0.2">
      <c r="A21" s="17" t="s">
        <v>50</v>
      </c>
      <c r="B21" s="24">
        <v>-3.98</v>
      </c>
      <c r="C21" s="24">
        <v>-3.41</v>
      </c>
      <c r="D21" s="24">
        <v>-3.63</v>
      </c>
      <c r="E21" s="6"/>
      <c r="F21" s="24"/>
      <c r="G21" s="6"/>
    </row>
    <row r="22" spans="1:12" outlineLevel="1" x14ac:dyDescent="0.2">
      <c r="A22" s="1" t="s">
        <v>115</v>
      </c>
      <c r="B22" s="24"/>
      <c r="C22" s="24">
        <v>-0.39100000000000001</v>
      </c>
      <c r="D22" s="24"/>
      <c r="E22" s="6"/>
      <c r="F22" s="24">
        <v>-1.59</v>
      </c>
      <c r="G22" s="6"/>
    </row>
    <row r="23" spans="1:12" ht="25.5" outlineLevel="1" x14ac:dyDescent="0.2">
      <c r="A23" s="17" t="s">
        <v>120</v>
      </c>
      <c r="B23" s="24"/>
      <c r="C23" s="24">
        <v>0.32900000000000001</v>
      </c>
      <c r="D23" s="24">
        <v>0.377</v>
      </c>
      <c r="E23" s="6"/>
      <c r="F23" s="24">
        <v>9.2799999999999994</v>
      </c>
      <c r="G23" s="6"/>
    </row>
    <row r="24" spans="1:12" ht="25.5" outlineLevel="1" x14ac:dyDescent="0.2">
      <c r="A24" s="17" t="s">
        <v>116</v>
      </c>
      <c r="B24" s="24">
        <v>0.22600000000000001</v>
      </c>
      <c r="C24" s="24"/>
      <c r="D24" s="24"/>
      <c r="E24" s="6"/>
      <c r="F24" s="24">
        <v>-1.44</v>
      </c>
      <c r="G24" s="6"/>
    </row>
    <row r="25" spans="1:12" ht="25.5" outlineLevel="1" x14ac:dyDescent="0.2">
      <c r="A25" s="17" t="s">
        <v>121</v>
      </c>
      <c r="B25" s="24"/>
      <c r="C25" s="24">
        <v>0.20499999999999999</v>
      </c>
      <c r="D25" s="24"/>
      <c r="E25" s="6"/>
      <c r="F25" s="24">
        <v>-1.43</v>
      </c>
      <c r="G25" s="6"/>
    </row>
    <row r="26" spans="1:12" ht="25.5" outlineLevel="1" x14ac:dyDescent="0.2">
      <c r="A26" s="17" t="s">
        <v>117</v>
      </c>
      <c r="B26" s="24"/>
      <c r="C26" s="24"/>
      <c r="D26" s="24">
        <v>0.80300000000000005</v>
      </c>
      <c r="E26" s="6"/>
      <c r="F26" s="24">
        <v>5.31</v>
      </c>
      <c r="G26" s="6"/>
    </row>
    <row r="27" spans="1:12" ht="25.5" outlineLevel="1" x14ac:dyDescent="0.2">
      <c r="A27" s="17" t="s">
        <v>122</v>
      </c>
      <c r="B27" s="24">
        <v>0.38500000000000001</v>
      </c>
      <c r="C27" s="24">
        <v>0.44400000000000001</v>
      </c>
      <c r="D27" s="24">
        <v>0.44</v>
      </c>
      <c r="E27" s="6"/>
      <c r="F27" s="24">
        <v>2.44</v>
      </c>
      <c r="G27" s="6"/>
    </row>
    <row r="28" spans="1:12" ht="25.5" customHeight="1" outlineLevel="1" x14ac:dyDescent="0.2">
      <c r="A28" s="17" t="s">
        <v>118</v>
      </c>
      <c r="B28" s="24">
        <v>-1.57</v>
      </c>
      <c r="C28" s="24">
        <v>-0.48699999999999999</v>
      </c>
      <c r="D28" s="24">
        <v>-0.28100000000000003</v>
      </c>
      <c r="E28" s="6"/>
      <c r="F28" s="24">
        <v>0.85</v>
      </c>
      <c r="G28" s="75"/>
      <c r="H28" s="75"/>
      <c r="I28" s="75"/>
      <c r="J28" s="75"/>
      <c r="K28" s="75"/>
      <c r="L28" s="75"/>
    </row>
    <row r="29" spans="1:12" outlineLevel="1" x14ac:dyDescent="0.2">
      <c r="A29" s="17" t="s">
        <v>119</v>
      </c>
      <c r="B29" s="24">
        <v>-1.84</v>
      </c>
      <c r="C29" s="24">
        <v>-0.76700000000000002</v>
      </c>
      <c r="D29" s="24">
        <v>-0.24199999999999999</v>
      </c>
      <c r="E29" s="6"/>
      <c r="F29" s="24">
        <v>-0.28000000000000003</v>
      </c>
      <c r="G29" s="75"/>
      <c r="H29" s="75"/>
      <c r="I29" s="75"/>
      <c r="J29" s="75"/>
      <c r="K29" s="75"/>
      <c r="L29" s="75"/>
    </row>
    <row r="30" spans="1:12" outlineLevel="1" x14ac:dyDescent="0.2">
      <c r="A30" s="2"/>
      <c r="B30" s="6"/>
      <c r="C30" s="6"/>
      <c r="D30" s="6"/>
      <c r="E30" s="6"/>
      <c r="F30" s="6"/>
      <c r="G30" s="6"/>
    </row>
    <row r="31" spans="1:12" outlineLevel="1" x14ac:dyDescent="0.2">
      <c r="B31" s="6"/>
      <c r="C31" s="6"/>
      <c r="D31" s="6"/>
      <c r="E31" s="6"/>
      <c r="F31" s="6"/>
      <c r="G31" s="6"/>
    </row>
    <row r="32" spans="1:12" outlineLevel="1" x14ac:dyDescent="0.2">
      <c r="A32" s="5" t="s">
        <v>107</v>
      </c>
      <c r="B32" s="6"/>
      <c r="C32" s="6"/>
      <c r="D32" s="6"/>
      <c r="E32" s="6"/>
      <c r="F32" s="6"/>
      <c r="G32" s="6"/>
    </row>
    <row r="33" spans="1:12" outlineLevel="1" x14ac:dyDescent="0.2">
      <c r="B33" s="6"/>
      <c r="C33" s="6"/>
      <c r="D33" s="6"/>
      <c r="E33" s="6"/>
      <c r="F33" s="6"/>
      <c r="G33" s="6"/>
    </row>
    <row r="34" spans="1:12" outlineLevel="1" x14ac:dyDescent="0.2">
      <c r="A34" s="35" t="s">
        <v>48</v>
      </c>
      <c r="B34" s="85" t="s">
        <v>40</v>
      </c>
      <c r="C34" s="85" t="s">
        <v>41</v>
      </c>
      <c r="D34" s="85" t="s">
        <v>42</v>
      </c>
      <c r="E34" s="6"/>
      <c r="F34" s="85"/>
      <c r="G34" s="6"/>
    </row>
    <row r="35" spans="1:12" outlineLevel="1" x14ac:dyDescent="0.2">
      <c r="A35" s="17" t="s">
        <v>50</v>
      </c>
      <c r="B35" s="24">
        <v>-4.2300000000000004</v>
      </c>
      <c r="C35" s="24">
        <v>-4.97</v>
      </c>
      <c r="D35" s="24">
        <v>-4.4000000000000004</v>
      </c>
      <c r="E35" s="6"/>
      <c r="F35" s="24"/>
      <c r="G35" s="6"/>
    </row>
    <row r="36" spans="1:12" outlineLevel="1" x14ac:dyDescent="0.2">
      <c r="A36" s="1" t="s">
        <v>114</v>
      </c>
      <c r="B36" s="24">
        <v>0.246</v>
      </c>
      <c r="C36" s="24"/>
      <c r="D36" s="24"/>
      <c r="E36" s="6"/>
      <c r="F36" s="24">
        <v>6.7</v>
      </c>
      <c r="G36" s="6"/>
    </row>
    <row r="37" spans="1:12" ht="25.5" outlineLevel="1" x14ac:dyDescent="0.2">
      <c r="A37" s="17" t="s">
        <v>117</v>
      </c>
      <c r="B37" s="24">
        <v>1.34</v>
      </c>
      <c r="C37" s="24"/>
      <c r="D37" s="24"/>
      <c r="E37" s="6"/>
      <c r="F37" s="24">
        <v>5.31</v>
      </c>
      <c r="G37" s="6"/>
    </row>
    <row r="38" spans="1:12" ht="25.5" outlineLevel="1" x14ac:dyDescent="0.2">
      <c r="A38" s="17" t="s">
        <v>123</v>
      </c>
      <c r="B38" s="24">
        <v>0.16</v>
      </c>
      <c r="C38" s="24">
        <v>0.29399999999999998</v>
      </c>
      <c r="D38" s="24">
        <v>0.249</v>
      </c>
      <c r="E38" s="6"/>
      <c r="F38" s="24">
        <v>8.41</v>
      </c>
      <c r="G38" s="6"/>
    </row>
    <row r="39" spans="1:12" ht="25.5" customHeight="1" outlineLevel="1" x14ac:dyDescent="0.2">
      <c r="A39" s="17" t="s">
        <v>118</v>
      </c>
      <c r="B39" s="24">
        <v>-1.1499999999999999</v>
      </c>
      <c r="C39" s="24">
        <v>-1.04</v>
      </c>
      <c r="D39" s="24"/>
      <c r="E39" s="6"/>
      <c r="F39" s="24">
        <v>0.85</v>
      </c>
      <c r="G39" s="75"/>
      <c r="H39" s="75"/>
      <c r="I39" s="75"/>
      <c r="J39" s="75"/>
      <c r="K39" s="75"/>
      <c r="L39" s="75"/>
    </row>
    <row r="40" spans="1:12" outlineLevel="1" x14ac:dyDescent="0.2">
      <c r="A40" s="17" t="s">
        <v>119</v>
      </c>
      <c r="B40" s="24">
        <v>-1.68</v>
      </c>
      <c r="C40" s="24">
        <v>-1.05</v>
      </c>
      <c r="D40" s="24">
        <v>-0.27600000000000002</v>
      </c>
      <c r="E40" s="6"/>
      <c r="F40" s="24">
        <v>-0.28000000000000003</v>
      </c>
      <c r="G40" s="75"/>
      <c r="H40" s="75"/>
      <c r="I40" s="75"/>
      <c r="J40" s="75"/>
      <c r="K40" s="75"/>
      <c r="L40" s="75"/>
    </row>
    <row r="41" spans="1:12" x14ac:dyDescent="0.2">
      <c r="A41" s="2"/>
      <c r="B41" s="6"/>
      <c r="C41" s="6"/>
      <c r="D41" s="6"/>
      <c r="E41" s="6"/>
      <c r="F41" s="6"/>
      <c r="G41" s="6"/>
    </row>
    <row r="42" spans="1:12" ht="20.25" x14ac:dyDescent="0.3">
      <c r="A42" s="94" t="s">
        <v>63</v>
      </c>
      <c r="B42" s="29"/>
      <c r="C42" s="29"/>
      <c r="D42" s="29"/>
      <c r="E42" s="29"/>
      <c r="F42" s="29"/>
      <c r="G42" s="6"/>
    </row>
    <row r="43" spans="1:12" outlineLevel="1" x14ac:dyDescent="0.2">
      <c r="A43" s="2"/>
      <c r="B43" s="29"/>
      <c r="C43" s="29"/>
      <c r="D43" s="29"/>
      <c r="E43" s="29"/>
      <c r="F43" s="29"/>
      <c r="G43" s="6"/>
    </row>
    <row r="44" spans="1:12" outlineLevel="1" x14ac:dyDescent="0.2">
      <c r="A44" s="1" t="s">
        <v>64</v>
      </c>
      <c r="B44" s="6"/>
      <c r="C44" s="6" t="s">
        <v>65</v>
      </c>
      <c r="D44" s="6"/>
      <c r="E44" s="6"/>
      <c r="F44" s="6"/>
      <c r="G44" s="6"/>
    </row>
    <row r="45" spans="1:12" ht="25.5" outlineLevel="1" x14ac:dyDescent="0.2">
      <c r="A45" s="2" t="s">
        <v>66</v>
      </c>
      <c r="B45" s="86" t="s">
        <v>67</v>
      </c>
      <c r="C45" s="29" t="s">
        <v>40</v>
      </c>
      <c r="D45" s="29" t="s">
        <v>41</v>
      </c>
      <c r="E45" s="29" t="s">
        <v>42</v>
      </c>
      <c r="F45" s="29"/>
      <c r="G45" s="6"/>
    </row>
    <row r="46" spans="1:12" outlineLevel="1" x14ac:dyDescent="0.2">
      <c r="A46" s="10" t="s">
        <v>68</v>
      </c>
      <c r="B46" s="70">
        <v>9.1999999999999993</v>
      </c>
      <c r="C46" s="87">
        <v>0.2</v>
      </c>
      <c r="D46" s="87">
        <v>0.56999999999999995</v>
      </c>
      <c r="E46" s="87">
        <v>0.23</v>
      </c>
      <c r="F46" s="29"/>
      <c r="G46" s="6"/>
    </row>
    <row r="47" spans="1:12" outlineLevel="1" x14ac:dyDescent="0.2">
      <c r="A47" s="10" t="s">
        <v>69</v>
      </c>
      <c r="B47" s="70">
        <v>9</v>
      </c>
      <c r="C47" s="81">
        <v>0.21</v>
      </c>
      <c r="D47" s="81">
        <v>0.56000000000000005</v>
      </c>
      <c r="E47" s="81">
        <v>0.23</v>
      </c>
      <c r="F47" s="29"/>
      <c r="G47" s="6"/>
    </row>
    <row r="48" spans="1:12" outlineLevel="1" x14ac:dyDescent="0.2">
      <c r="A48" s="1" t="s">
        <v>70</v>
      </c>
      <c r="B48" s="88">
        <v>8.6999999999999993</v>
      </c>
      <c r="C48" s="81">
        <v>0.22</v>
      </c>
      <c r="D48" s="81">
        <v>0.56000000000000005</v>
      </c>
      <c r="E48" s="81">
        <v>0.22</v>
      </c>
      <c r="F48" s="6"/>
      <c r="G48" s="6"/>
    </row>
    <row r="49" spans="1:8" outlineLevel="1" x14ac:dyDescent="0.2">
      <c r="A49" s="1" t="s">
        <v>71</v>
      </c>
      <c r="B49" s="88">
        <v>8.5</v>
      </c>
      <c r="C49" s="81">
        <v>0.21</v>
      </c>
      <c r="D49" s="81">
        <v>0.56000000000000005</v>
      </c>
      <c r="E49" s="81">
        <v>0.23</v>
      </c>
      <c r="F49" s="6"/>
      <c r="G49" s="6"/>
    </row>
    <row r="50" spans="1:8" outlineLevel="1" x14ac:dyDescent="0.2">
      <c r="A50" s="76" t="s">
        <v>94</v>
      </c>
      <c r="B50" s="89">
        <v>8.85</v>
      </c>
      <c r="C50" s="90">
        <v>0.21</v>
      </c>
      <c r="D50" s="41">
        <v>0.5625</v>
      </c>
      <c r="E50" s="41">
        <v>0.22750000000000001</v>
      </c>
      <c r="F50" s="6"/>
      <c r="G50" s="6"/>
    </row>
    <row r="51" spans="1:8" outlineLevel="1" x14ac:dyDescent="0.2">
      <c r="A51" s="2"/>
      <c r="B51" s="6"/>
      <c r="C51" s="81"/>
      <c r="D51" s="81"/>
      <c r="E51" s="81"/>
      <c r="F51" s="6"/>
      <c r="G51" s="6"/>
    </row>
    <row r="52" spans="1:8" outlineLevel="1" x14ac:dyDescent="0.2">
      <c r="A52" s="1" t="s">
        <v>72</v>
      </c>
      <c r="B52" s="86"/>
      <c r="C52" s="81" t="s">
        <v>73</v>
      </c>
      <c r="D52" s="81"/>
      <c r="E52" s="81"/>
      <c r="F52" s="6"/>
      <c r="G52" s="6"/>
    </row>
    <row r="53" spans="1:8" outlineLevel="1" x14ac:dyDescent="0.2">
      <c r="A53" s="1" t="s">
        <v>74</v>
      </c>
      <c r="B53" s="6"/>
      <c r="C53" s="89">
        <v>0</v>
      </c>
      <c r="D53" s="89">
        <v>0.9</v>
      </c>
      <c r="E53" s="89">
        <v>0.5</v>
      </c>
      <c r="F53" s="6"/>
      <c r="G53" s="6"/>
    </row>
    <row r="54" spans="1:8" outlineLevel="1" x14ac:dyDescent="0.2">
      <c r="A54" s="1" t="s">
        <v>75</v>
      </c>
      <c r="B54" s="6"/>
      <c r="C54" s="89">
        <v>1.45</v>
      </c>
      <c r="D54" s="89">
        <v>2</v>
      </c>
      <c r="E54" s="89">
        <v>1.4</v>
      </c>
      <c r="F54" s="6"/>
      <c r="G54" s="6"/>
    </row>
    <row r="55" spans="1:8" outlineLevel="1" x14ac:dyDescent="0.2">
      <c r="A55" s="1" t="s">
        <v>76</v>
      </c>
      <c r="B55" s="6"/>
      <c r="C55" s="89">
        <v>1.45</v>
      </c>
      <c r="D55" s="89">
        <v>9</v>
      </c>
      <c r="E55" s="89">
        <v>4.0999999999999996</v>
      </c>
      <c r="F55" s="6"/>
      <c r="G55" s="6"/>
    </row>
    <row r="56" spans="1:8" outlineLevel="1" x14ac:dyDescent="0.2">
      <c r="A56" s="1" t="s">
        <v>77</v>
      </c>
      <c r="B56" s="6"/>
      <c r="C56" s="89">
        <v>1.45</v>
      </c>
      <c r="D56" s="89">
        <v>1.7</v>
      </c>
      <c r="E56" s="89">
        <v>1.2</v>
      </c>
      <c r="F56" s="6"/>
      <c r="G56" s="6"/>
    </row>
    <row r="57" spans="1:8" outlineLevel="1" x14ac:dyDescent="0.2">
      <c r="A57" s="1" t="s">
        <v>78</v>
      </c>
      <c r="B57" s="6"/>
      <c r="C57" s="89">
        <v>1.45</v>
      </c>
      <c r="D57" s="89">
        <v>0.5</v>
      </c>
      <c r="E57" s="89">
        <v>0.5</v>
      </c>
      <c r="F57" s="6"/>
      <c r="G57" s="6"/>
    </row>
    <row r="58" spans="1:8" outlineLevel="1" x14ac:dyDescent="0.2">
      <c r="B58" s="6"/>
      <c r="C58" s="6"/>
      <c r="D58" s="6"/>
      <c r="E58" s="6"/>
      <c r="F58" s="6"/>
      <c r="G58" s="6"/>
    </row>
    <row r="59" spans="1:8" outlineLevel="1" x14ac:dyDescent="0.2">
      <c r="A59" s="2" t="s">
        <v>86</v>
      </c>
      <c r="B59" s="6"/>
      <c r="C59" s="6"/>
      <c r="D59" s="6"/>
      <c r="E59" s="6"/>
      <c r="F59" s="6"/>
      <c r="G59" s="6"/>
    </row>
    <row r="60" spans="1:8" outlineLevel="1" x14ac:dyDescent="0.2">
      <c r="B60" s="6"/>
      <c r="C60" s="6" t="s">
        <v>87</v>
      </c>
      <c r="D60" s="6"/>
      <c r="E60" s="6"/>
      <c r="F60" s="6" t="s">
        <v>88</v>
      </c>
      <c r="G60" s="6"/>
    </row>
    <row r="61" spans="1:8" outlineLevel="1" x14ac:dyDescent="0.2">
      <c r="A61" s="2" t="s">
        <v>66</v>
      </c>
      <c r="B61" s="29"/>
      <c r="C61" s="29" t="s">
        <v>40</v>
      </c>
      <c r="D61" s="29" t="s">
        <v>41</v>
      </c>
      <c r="E61" s="29" t="s">
        <v>42</v>
      </c>
      <c r="F61" s="29" t="s">
        <v>40</v>
      </c>
      <c r="G61" s="29" t="s">
        <v>41</v>
      </c>
      <c r="H61" s="2" t="s">
        <v>42</v>
      </c>
    </row>
    <row r="62" spans="1:8" outlineLevel="1" x14ac:dyDescent="0.2">
      <c r="A62" s="10" t="s">
        <v>68</v>
      </c>
      <c r="B62" s="6"/>
      <c r="C62" s="41">
        <v>0.13569999999999999</v>
      </c>
      <c r="D62" s="41">
        <v>5.5300000000000002E-2</v>
      </c>
      <c r="E62" s="41">
        <v>2.07E-2</v>
      </c>
      <c r="F62" s="41">
        <v>0.1066</v>
      </c>
      <c r="G62" s="41">
        <v>7.3200000000000001E-2</v>
      </c>
      <c r="H62" s="42">
        <v>8.5599999999999996E-2</v>
      </c>
    </row>
    <row r="63" spans="1:8" outlineLevel="1" x14ac:dyDescent="0.2">
      <c r="A63" s="10" t="s">
        <v>69</v>
      </c>
      <c r="B63" s="6"/>
      <c r="C63" s="41">
        <v>0.14460000000000001</v>
      </c>
      <c r="D63" s="41">
        <v>5.28E-2</v>
      </c>
      <c r="E63" s="41">
        <v>1.3299999999999999E-2</v>
      </c>
      <c r="F63" s="41">
        <v>0.12239999999999999</v>
      </c>
      <c r="G63" s="41">
        <v>7.2300000000000003E-2</v>
      </c>
      <c r="H63" s="42">
        <v>9.1999999999999998E-2</v>
      </c>
    </row>
    <row r="64" spans="1:8" outlineLevel="1" x14ac:dyDescent="0.2">
      <c r="A64" s="1" t="s">
        <v>70</v>
      </c>
      <c r="B64" s="6"/>
      <c r="C64" s="41">
        <v>0.15210000000000001</v>
      </c>
      <c r="D64" s="41">
        <v>5.2200000000000003E-2</v>
      </c>
      <c r="E64" s="41">
        <v>1.83E-2</v>
      </c>
      <c r="F64" s="41">
        <v>0.11169999999999999</v>
      </c>
      <c r="G64" s="41">
        <v>7.2099999999999997E-2</v>
      </c>
      <c r="H64" s="42">
        <v>0.1017</v>
      </c>
    </row>
    <row r="65" spans="1:8" outlineLevel="1" x14ac:dyDescent="0.2">
      <c r="A65" s="1" t="s">
        <v>71</v>
      </c>
      <c r="B65" s="6"/>
      <c r="C65" s="41">
        <v>0.1406</v>
      </c>
      <c r="D65" s="41">
        <v>4.7899999999999998E-2</v>
      </c>
      <c r="E65" s="41">
        <v>1.0500000000000001E-2</v>
      </c>
      <c r="F65" s="41">
        <v>0.12039999999999999</v>
      </c>
      <c r="G65" s="41">
        <v>7.3700000000000002E-2</v>
      </c>
      <c r="H65" s="42">
        <v>9.01E-2</v>
      </c>
    </row>
    <row r="66" spans="1:8" outlineLevel="1" x14ac:dyDescent="0.2">
      <c r="A66" s="76" t="s">
        <v>94</v>
      </c>
      <c r="B66" s="6"/>
      <c r="C66" s="41">
        <v>0.14324999999999999</v>
      </c>
      <c r="D66" s="41">
        <v>5.2049999999999999E-2</v>
      </c>
      <c r="E66" s="41">
        <v>1.5699999999999999E-2</v>
      </c>
      <c r="F66" s="41">
        <v>0.115275</v>
      </c>
      <c r="G66" s="41">
        <v>7.2825000000000001E-2</v>
      </c>
      <c r="H66" s="42">
        <v>9.2350000000000002E-2</v>
      </c>
    </row>
    <row r="67" spans="1:8" outlineLevel="1" x14ac:dyDescent="0.2">
      <c r="B67" s="6"/>
      <c r="C67" s="41"/>
      <c r="D67" s="41"/>
      <c r="E67" s="41"/>
      <c r="F67" s="41"/>
      <c r="G67" s="41"/>
      <c r="H67" s="42"/>
    </row>
    <row r="68" spans="1:8" outlineLevel="1" x14ac:dyDescent="0.2">
      <c r="A68" s="1" t="s">
        <v>246</v>
      </c>
      <c r="B68" s="6"/>
      <c r="C68" s="41"/>
      <c r="D68" s="41"/>
      <c r="E68" s="41"/>
      <c r="F68" s="41"/>
      <c r="G68" s="41"/>
      <c r="H68" s="42"/>
    </row>
    <row r="69" spans="1:8" outlineLevel="1" x14ac:dyDescent="0.2">
      <c r="A69" s="1" t="s">
        <v>247</v>
      </c>
      <c r="B69" s="6"/>
      <c r="C69" s="41"/>
      <c r="D69" s="41"/>
      <c r="E69" s="41"/>
      <c r="F69" s="41"/>
      <c r="G69" s="41"/>
      <c r="H69" s="42"/>
    </row>
    <row r="70" spans="1:8" x14ac:dyDescent="0.2">
      <c r="B70" s="6"/>
      <c r="C70" s="6"/>
      <c r="D70" s="6"/>
      <c r="E70" s="6"/>
      <c r="F70" s="6"/>
      <c r="G70" s="6"/>
    </row>
  </sheetData>
  <phoneticPr fontId="1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
  <sheetViews>
    <sheetView topLeftCell="A19" workbookViewId="0">
      <selection activeCell="A44" sqref="A44"/>
    </sheetView>
  </sheetViews>
  <sheetFormatPr defaultRowHeight="12.75" x14ac:dyDescent="0.2"/>
  <cols>
    <col min="1" max="1" width="78.7109375" customWidth="1"/>
  </cols>
  <sheetData>
    <row r="2" spans="1:1" x14ac:dyDescent="0.2">
      <c r="A2" s="141" t="s">
        <v>343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Instructions</vt:lpstr>
      <vt:lpstr>Acronyms</vt:lpstr>
      <vt:lpstr>Input</vt:lpstr>
      <vt:lpstr>Results </vt:lpstr>
      <vt:lpstr>Charts</vt:lpstr>
      <vt:lpstr>Instructions!_ftn1</vt:lpstr>
      <vt:lpstr>Instructions!_ftn2</vt:lpstr>
      <vt:lpstr>Instructions!_ftnref2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Mixed Use Trip Generation Model v 4.0</dc:title>
  <dc:creator>USEPA</dc:creator>
  <cp:lastModifiedBy>Ryan Hund</cp:lastModifiedBy>
  <cp:lastPrinted>2009-09-30T23:43:59Z</cp:lastPrinted>
  <dcterms:created xsi:type="dcterms:W3CDTF">2009-03-03T00:33:54Z</dcterms:created>
  <dcterms:modified xsi:type="dcterms:W3CDTF">2021-03-15T18:49:32Z</dcterms:modified>
</cp:coreProperties>
</file>