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yan\Documents\Arduino\word_clock\"/>
    </mc:Choice>
  </mc:AlternateContent>
  <xr:revisionPtr revIDLastSave="0" documentId="13_ncr:40009_{CDBB6BE5-A1BD-4CAD-B35A-32D9D56941D2}" xr6:coauthVersionLast="40" xr6:coauthVersionMax="40" xr10:uidLastSave="{00000000-0000-0000-0000-000000000000}"/>
  <bookViews>
    <workbookView xWindow="930" yWindow="0" windowWidth="23250" windowHeight="8370"/>
  </bookViews>
  <sheets>
    <sheet name="LED_grid_controllers" sheetId="1" r:id="rId1"/>
  </sheets>
  <calcPr calcId="0"/>
</workbook>
</file>

<file path=xl/calcChain.xml><?xml version="1.0" encoding="utf-8"?>
<calcChain xmlns="http://schemas.openxmlformats.org/spreadsheetml/2006/main">
  <c r="B19" i="1" l="1"/>
  <c r="H17" i="1"/>
  <c r="I17" i="1" s="1"/>
  <c r="J17" i="1"/>
  <c r="K17" i="1" s="1"/>
  <c r="H16" i="1"/>
  <c r="I16" i="1" s="1"/>
  <c r="H15" i="1"/>
  <c r="I15" i="1" s="1"/>
  <c r="J16" i="1"/>
  <c r="J15" i="1"/>
  <c r="J10" i="1"/>
  <c r="H10" i="1" s="1"/>
  <c r="E73" i="1"/>
  <c r="E77" i="1"/>
  <c r="E69" i="1"/>
  <c r="E68" i="1"/>
  <c r="J14" i="1"/>
  <c r="H14" i="1" s="1"/>
  <c r="J13" i="1"/>
  <c r="H13" i="1" s="1"/>
  <c r="I13" i="1" s="1"/>
  <c r="J12" i="1"/>
  <c r="J11" i="1"/>
  <c r="J9" i="1"/>
  <c r="H9" i="1" s="1"/>
  <c r="J8" i="1"/>
  <c r="H8" i="1" s="1"/>
  <c r="I8" i="1" s="1"/>
  <c r="J7" i="1"/>
  <c r="H7" i="1" s="1"/>
  <c r="I7" i="1" s="1"/>
  <c r="J6" i="1"/>
  <c r="H6" i="1" s="1"/>
  <c r="K6" i="1" s="1"/>
  <c r="J5" i="1"/>
  <c r="H5" i="1" s="1"/>
  <c r="I5" i="1" s="1"/>
  <c r="J4" i="1"/>
  <c r="J3" i="1"/>
  <c r="H12" i="1"/>
  <c r="I12" i="1" s="1"/>
  <c r="H11" i="1"/>
  <c r="I11" i="1" s="1"/>
  <c r="H3" i="1"/>
  <c r="I3" i="1" s="1"/>
  <c r="H4" i="1"/>
  <c r="I4" i="1" s="1"/>
  <c r="K11" i="1" l="1"/>
  <c r="K3" i="1"/>
  <c r="B21" i="1"/>
  <c r="K12" i="1"/>
  <c r="K15" i="1"/>
  <c r="K4" i="1"/>
  <c r="K16" i="1"/>
  <c r="I10" i="1"/>
  <c r="I9" i="1"/>
  <c r="K10" i="1"/>
  <c r="K14" i="1"/>
  <c r="I14" i="1"/>
  <c r="K13" i="1"/>
  <c r="K9" i="1"/>
  <c r="K8" i="1"/>
  <c r="K7" i="1"/>
  <c r="I6" i="1"/>
  <c r="K5" i="1"/>
  <c r="F1" i="1" l="1"/>
  <c r="N12" i="1" s="1"/>
  <c r="D1" i="1"/>
  <c r="M9" i="1" s="1"/>
  <c r="C19" i="1"/>
  <c r="C21" i="1"/>
  <c r="M12" i="1" l="1"/>
  <c r="M16" i="1"/>
  <c r="M7" i="1"/>
  <c r="M8" i="1"/>
  <c r="M15" i="1"/>
  <c r="M4" i="1"/>
  <c r="M13" i="1"/>
  <c r="M10" i="1"/>
  <c r="N15" i="1"/>
  <c r="N6" i="1"/>
  <c r="N3" i="1"/>
  <c r="N11" i="1"/>
  <c r="N17" i="1"/>
  <c r="N5" i="1"/>
  <c r="N8" i="1"/>
  <c r="N7" i="1"/>
  <c r="N13" i="1"/>
  <c r="N4" i="1"/>
  <c r="N9" i="1"/>
  <c r="N14" i="1"/>
  <c r="M3" i="1"/>
  <c r="M11" i="1"/>
  <c r="M6" i="1"/>
  <c r="N10" i="1"/>
  <c r="M5" i="1"/>
  <c r="M14" i="1"/>
</calcChain>
</file>

<file path=xl/sharedStrings.xml><?xml version="1.0" encoding="utf-8"?>
<sst xmlns="http://schemas.openxmlformats.org/spreadsheetml/2006/main" count="154" uniqueCount="116">
  <si>
    <t>Ref</t>
  </si>
  <si>
    <t>Value</t>
  </si>
  <si>
    <t>Footprint</t>
  </si>
  <si>
    <t>Description</t>
  </si>
  <si>
    <t>Vendor</t>
  </si>
  <si>
    <t xml:space="preserve">J1, J3, </t>
  </si>
  <si>
    <t>Conn_01x24</t>
  </si>
  <si>
    <t>Connector_PinSocket_2.54mm:PinSocket_1x24_P2.54mm_Vertical</t>
  </si>
  <si>
    <t>Generic connector, single row, 01x24, script generated (kicad-library-utils/schlib/autogen/connector/)</t>
  </si>
  <si>
    <t xml:space="preserve">J2, </t>
  </si>
  <si>
    <t>Conn_01x05</t>
  </si>
  <si>
    <t>Connector_PinHeader_2.54mm:PinHeader_1x05_P2.54mm_Vertical</t>
  </si>
  <si>
    <t>Generic connector, single row, 01x05, script generated (kicad-library-utils/schlib/autogen/connector/)</t>
  </si>
  <si>
    <t xml:space="preserve">Q1, Q2, Q3, Q4, Q5, Q6, Q7, Q8, Q9, Q10, Q11, Q12, Q13, Q14, Q15, Q16, Q17, Q18, Q19, Q20, Q21, Q22, Q23, Q24, Q25, Q26, Q27, Q28, Q29, Q30, Q31, Q32, Q33, Q34, Q35, Q36, Q37, Q38, Q39, Q40, Q41, Q42, Q43, Q44, Q45, Q46, Q47, Q48, </t>
  </si>
  <si>
    <t>2N3904</t>
  </si>
  <si>
    <t>Package_TO_SOT_SMD:SOT-23_Handsoldering</t>
  </si>
  <si>
    <t>0.2A Ic, 40V Vce, Small Signal NPN Transistor, TO-92</t>
  </si>
  <si>
    <t xml:space="preserve">R1, R4, R7, R10, R13, R16, R19, R22, R25, R28, R31, R34, R37, R40, R43, R46, </t>
  </si>
  <si>
    <t>Resistor_THT:R_Axial_DIN0207_L6.3mm_D2.5mm_P10.16mm_Horizontal</t>
  </si>
  <si>
    <t>Resistor US symbol</t>
  </si>
  <si>
    <t xml:space="preserve">R2, R3, R5, R6, R8, R9, R11, R12, R14, R15, R17, R18, R20, R21, R23, R24, R26, R27, R29, R30, R32, R33, R35, R36, R38, R39, R41, R42, R44, R45, R47, R48, </t>
  </si>
  <si>
    <t>R_Pack03_SIP_10k</t>
  </si>
  <si>
    <t>Resistor_THT:R_Array_SIP6</t>
  </si>
  <si>
    <t>3 Resistor network, parallel topology, SIP package</t>
  </si>
  <si>
    <t xml:space="preserve">U1, U2, U3, U4, U5, U6, U7, U8, U9, U10, U11, U12, U13, U14, U15, U16, </t>
  </si>
  <si>
    <t>ATtiny85-20PU</t>
  </si>
  <si>
    <t>Package_DIP:DIP-8_W7.62mm</t>
  </si>
  <si>
    <t>20MHz, 8kB Flash, 512B SRAM, 512B EEPROM, debugWIRE, DIP-8</t>
  </si>
  <si>
    <t>Digikey</t>
  </si>
  <si>
    <t>Individual price</t>
  </si>
  <si>
    <t>Amazon</t>
  </si>
  <si>
    <t>https://www.amazon.com/OdiySurveil-2-54mm-Straight-Single-Header/dp/B00UVPT5RI/ref=sr_1_18</t>
  </si>
  <si>
    <t>URL</t>
  </si>
  <si>
    <t>https://www.amazon.com/Haobase-2-54mm-Straight-Single-Headers/dp/B01DLX6RSQ/ref=pd_sim_23_1</t>
  </si>
  <si>
    <t>2N3904 Quantity</t>
  </si>
  <si>
    <t>Price</t>
  </si>
  <si>
    <t>https://www.digikey.com/product-detail/en/diodes-incorporated/MMBT3904-7-F/MMBT3904-FDICT-ND/815727</t>
  </si>
  <si>
    <t>100 Ohm Qty</t>
  </si>
  <si>
    <t>https://www.digikey.com/product-detail/en/stackpole-electronics-inc/CF14JT100R/CF14JT100RCT-ND/1830327</t>
  </si>
  <si>
    <t>150 Ohm Qty</t>
  </si>
  <si>
    <t>https://www.digikey.com/product-detail/en/stackpole-electronics-inc/CF14JT150R/CF14JT150RCT-ND/1830603</t>
  </si>
  <si>
    <t>RN 3*10K Ohm Qty</t>
  </si>
  <si>
    <t>ATTiny85 Quantity</t>
  </si>
  <si>
    <t>https://www.digikey.com/product-detail/en/bourns-inc/4606X-102-103LF/4606X-2-103LF-ND/1089007</t>
  </si>
  <si>
    <t>https://www.digikey.com/product-detail/en/microchip-technology/ATTINY85-20PU/ATTINY85-20PU-ND/735469</t>
  </si>
  <si>
    <t>Total</t>
  </si>
  <si>
    <t xml:space="preserve">D1, D2, D3, D4, D5, D6, D7, D8, D9, D10, D11, D12, D13, D14, D15, D16, D17, D18, D19, D20, D21, D22, D23, D24, D25, D26, D27, D28, D29, D30, D31, D32, D33, D34, D35, D36, D37, D38, D39, D40, D41, D42, D43, D44, D45, D46, D47, D48, D49, D50, D51, D52, D53, D54, D55, D56, D57, D58, D59, D60, D61, D62, D63, D64, D65, D66, D67, D68, D69, D70, D71, D72, D73, D74, D75, D76, D77, D78, D79, D80, D81, D82, D83, D84, D85, D86, D87, D88, D89, D90, D91, D92, D93, D94, D95, D96, D97, D98, D99, D100, D101, D102, D103, D104, D105, D106, D107, D108, D109, D110, D111, D112, D113, D114, D115, D116, D117, D118, D119, D120, D121, D122, D123, D124, D125, D126, D127, D128, D129, D130, D131, D132, D133, D134, D135, D136, D137, D138, D139, D140, D141, D142, D143, D144, D145, D146, D147, D148, D149, D150, D151, D152, D153, D154, D155, D156, D157, D158, D159, D160, D161, D162, D163, D164, D165, D166, D167, D168, D169, D170, D171, D172, D173, D174, D175, D176, </t>
  </si>
  <si>
    <t>LED_RGB</t>
  </si>
  <si>
    <t>LED_SMD:LED_RGB_5050-6</t>
  </si>
  <si>
    <t>LED RGB 6 pins</t>
  </si>
  <si>
    <t xml:space="preserve">J1, </t>
  </si>
  <si>
    <t>Conn_01x12</t>
  </si>
  <si>
    <t>Connector_PinHeader_2.54mm:PinHeader_1x12_P2.54mm_Vertical</t>
  </si>
  <si>
    <t>Generic connector, single row, 01x12, script generated (kicad-library-utils/schlib/autogen/connector/)</t>
  </si>
  <si>
    <t xml:space="preserve">J3, J2, </t>
  </si>
  <si>
    <t>Connector_PinHeader_2.54mm:PinHeader_1x24_P2.54mm_Vertical</t>
  </si>
  <si>
    <t xml:space="preserve">Q1, Q7, Q2, Q8, Q3, Q9, Q4, Q10, Q5, Q11, Q6, </t>
  </si>
  <si>
    <t>DNBT8105</t>
  </si>
  <si>
    <t>60V 1A NPN Transistor</t>
  </si>
  <si>
    <t>R_Pack04_SIP_10k</t>
  </si>
  <si>
    <t>Resistor_THT:R_Array_SIP8</t>
  </si>
  <si>
    <t>4 Resistor network, parallel topology, SIP package</t>
  </si>
  <si>
    <t>https://www.amazon.com/gp/product/B01CUGABPU/ref=oh_aui_detailpage_o03_s00?ie=UTF8&amp;psc=1</t>
  </si>
  <si>
    <t>DNBT8105 Qty</t>
  </si>
  <si>
    <t>https://www.digikey.com/product-detail/en/diodes-incorporated/DNBT8105-7/DNBT8105DICT-ND/989959</t>
  </si>
  <si>
    <t>RN 4*10K Ohm Qty</t>
  </si>
  <si>
    <t>Subtotal</t>
  </si>
  <si>
    <t>https://www.digikey.com/product-detail/en/bourns-inc/4608X-102-103LF/4608X-2-103LF-ND/1089107</t>
  </si>
  <si>
    <t>RN1, RN2</t>
  </si>
  <si>
    <t>RN1, RN2, RN3, RN4, RN5, RN6, RN7, RN8, RN9, RN10, RN11, RN12, RN13, RN14, RN15, RN16, RN3</t>
  </si>
  <si>
    <t>Qty Total</t>
  </si>
  <si>
    <t>Grids</t>
  </si>
  <si>
    <t>Parts</t>
  </si>
  <si>
    <t>Cost</t>
  </si>
  <si>
    <t>Total per Grid</t>
  </si>
  <si>
    <t>ATTiny25 Quantity</t>
  </si>
  <si>
    <t>Aliexpress RGB LED Qty</t>
  </si>
  <si>
    <t>Amazon RGB LED Qty</t>
  </si>
  <si>
    <t>Aliexpress - Slow</t>
  </si>
  <si>
    <t>100 Ohm Resistor</t>
  </si>
  <si>
    <t>150 Ohm Resistor</t>
  </si>
  <si>
    <t>Aliexpress - Slow RGB LED Qty</t>
  </si>
  <si>
    <t>https://www.aliexpress.com/item/100-pcs-5050-RGB-SMD-LED-RED-BLUE-GREEN-SMT-LED-PLCC-6-3-CHIPS-Light/32598851549.html</t>
  </si>
  <si>
    <t>https://www.aliexpress.com/item/100pcs-Ultra-Bright-Red-Green-Blue-SMT-SMD-LED-RGB-5050-LED-DIODE-Chip-Light-Emitting/32340120687.html</t>
  </si>
  <si>
    <t>Grid PCB</t>
  </si>
  <si>
    <t>Controller PCB</t>
  </si>
  <si>
    <t>Quantity / Grid</t>
  </si>
  <si>
    <t>PCB</t>
  </si>
  <si>
    <t>Printed Circuit Board</t>
  </si>
  <si>
    <t>JLCPCB</t>
  </si>
  <si>
    <t>grid.kicad_pcb</t>
  </si>
  <si>
    <t>controllers.kicad_pcb</t>
  </si>
  <si>
    <t>https://jlcpcb.com</t>
  </si>
  <si>
    <t>Half Controller PCB</t>
  </si>
  <si>
    <t>half_controllers.kicad_pcb</t>
  </si>
  <si>
    <t>Design</t>
  </si>
  <si>
    <t>Half</t>
  </si>
  <si>
    <t>Name</t>
  </si>
  <si>
    <t>24 Pin Header</t>
  </si>
  <si>
    <t>24 Pin Socket</t>
  </si>
  <si>
    <t>12 Pin Header</t>
  </si>
  <si>
    <t>5 Pin Header</t>
  </si>
  <si>
    <t>NPN Low Current</t>
  </si>
  <si>
    <t>3 Resistor Pack</t>
  </si>
  <si>
    <t>ATTinyX5</t>
  </si>
  <si>
    <t>4 Resistor Pack</t>
  </si>
  <si>
    <t>RGB LED</t>
  </si>
  <si>
    <t>NPN Med Current</t>
  </si>
  <si>
    <t>PCB1</t>
  </si>
  <si>
    <t>PCB2</t>
  </si>
  <si>
    <t>PCB3</t>
  </si>
  <si>
    <t>Percent of board price full</t>
  </si>
  <si>
    <t>Percent of board half</t>
  </si>
  <si>
    <t>Cost full Total</t>
  </si>
  <si>
    <t>Cost half Total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</si>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</sst>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8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18" fillId="0" borderId="0" xfId="44"/>
    <xf numFmtId="0" fontId="0" fillId="0" borderId="0" xfId="0" applyBorder="1"/>
    <xf numFmtId="0" fontId="18" fillId="0" borderId="0" xfId="44" applyFill="1"/>
    <xf numFmtId="8" fontId="0" fillId="0" borderId="0" xfId="0" applyNumberFormat="1"/>
    <xf numFmtId="3" fontId="0" fillId="0" borderId="0" xfId="0" applyNumberFormat="1" applyBorder="1"/>
    <xf numFmtId="168" fontId="0" fillId="0" borderId="0" xfId="1" applyNumberFormat="1" applyFont="1"/>
    <xf numFmtId="0" fontId="16" fillId="0" borderId="10" xfId="0" applyFont="1" applyBorder="1"/>
    <xf numFmtId="0" fontId="16" fillId="0" borderId="11" xfId="0" applyFont="1" applyBorder="1"/>
    <xf numFmtId="0" fontId="0" fillId="33" borderId="12" xfId="0" applyFont="1" applyFill="1" applyBorder="1"/>
    <xf numFmtId="0" fontId="0" fillId="33" borderId="13" xfId="0" applyFont="1" applyFill="1" applyBorder="1"/>
    <xf numFmtId="9" fontId="0" fillId="0" borderId="0" xfId="2" applyFon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</a:t>
            </a:r>
            <a:r>
              <a:rPr lang="en-US" baseline="0"/>
              <a:t> Controller Cost Breakdown</a:t>
            </a:r>
            <a:endParaRPr lang="en-US"/>
          </a:p>
        </c:rich>
      </c:tx>
      <c:layout>
        <c:manualLayout>
          <c:xMode val="edge"/>
          <c:yMode val="edge"/>
          <c:x val="0.26065212204205696"/>
          <c:y val="1.8140585250513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LED_grid_controllers!$B$3:$B$16</c:f>
              <c:strCache>
                <c:ptCount val="14"/>
                <c:pt idx="0">
                  <c:v>24 Pin Socket</c:v>
                </c:pt>
                <c:pt idx="1">
                  <c:v>5 Pin Header</c:v>
                </c:pt>
                <c:pt idx="2">
                  <c:v>NPN Low Current</c:v>
                </c:pt>
                <c:pt idx="3">
                  <c:v>100 Ohm Resistor</c:v>
                </c:pt>
                <c:pt idx="4">
                  <c:v>150 Ohm Resistor</c:v>
                </c:pt>
                <c:pt idx="5">
                  <c:v>3 Resistor Pack</c:v>
                </c:pt>
                <c:pt idx="6">
                  <c:v>ATTinyX5</c:v>
                </c:pt>
                <c:pt idx="7">
                  <c:v>RGB LED</c:v>
                </c:pt>
                <c:pt idx="8">
                  <c:v>12 Pin Header</c:v>
                </c:pt>
                <c:pt idx="9">
                  <c:v>24 Pin Header</c:v>
                </c:pt>
                <c:pt idx="10">
                  <c:v>NPN Med Current</c:v>
                </c:pt>
                <c:pt idx="11">
                  <c:v>4 Resistor Pack</c:v>
                </c:pt>
                <c:pt idx="12">
                  <c:v>Grid PCB</c:v>
                </c:pt>
                <c:pt idx="13">
                  <c:v>Controller PCB</c:v>
                </c:pt>
              </c:strCache>
            </c:strRef>
          </c:cat>
          <c:val>
            <c:numRef>
              <c:f>LED_grid_controllers!$M$3:$M$16</c:f>
              <c:numCache>
                <c:formatCode>0%</c:formatCode>
                <c:ptCount val="14"/>
                <c:pt idx="0">
                  <c:v>1.1433943048346386E-2</c:v>
                </c:pt>
                <c:pt idx="1">
                  <c:v>1.1617702847337666E-3</c:v>
                </c:pt>
                <c:pt idx="2">
                  <c:v>9.4869058892565444E-2</c:v>
                </c:pt>
                <c:pt idx="3">
                  <c:v>1.0715238056736043E-2</c:v>
                </c:pt>
                <c:pt idx="4">
                  <c:v>1.5053602733365756E-2</c:v>
                </c:pt>
                <c:pt idx="5">
                  <c:v>9.1079523482256369E-2</c:v>
                </c:pt>
                <c:pt idx="6">
                  <c:v>0.32407061439884616</c:v>
                </c:pt>
                <c:pt idx="7">
                  <c:v>5.2922822109489003E-2</c:v>
                </c:pt>
                <c:pt idx="8">
                  <c:v>2.7882486833610402E-3</c:v>
                </c:pt>
                <c:pt idx="9">
                  <c:v>1.1152994733444161E-2</c:v>
                </c:pt>
                <c:pt idx="10">
                  <c:v>5.55199606018991E-2</c:v>
                </c:pt>
                <c:pt idx="11">
                  <c:v>1.8947677051545441E-2</c:v>
                </c:pt>
                <c:pt idx="12">
                  <c:v>0.16308069627812904</c:v>
                </c:pt>
                <c:pt idx="13">
                  <c:v>0.14720384964528235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DF-4D53-BC93-D6D2FB2F3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</a:t>
            </a:r>
            <a:r>
              <a:rPr lang="en-US" baseline="0"/>
              <a:t> Controller Cost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(LED_grid_controllers!$B$3:$B$15,LED_grid_controllers!$B$17)</c:f>
              <c:strCache>
                <c:ptCount val="14"/>
                <c:pt idx="0">
                  <c:v>24 Pin Socket</c:v>
                </c:pt>
                <c:pt idx="1">
                  <c:v>5 Pin Header</c:v>
                </c:pt>
                <c:pt idx="2">
                  <c:v>NPN Low Current</c:v>
                </c:pt>
                <c:pt idx="3">
                  <c:v>100 Ohm Resistor</c:v>
                </c:pt>
                <c:pt idx="4">
                  <c:v>150 Ohm Resistor</c:v>
                </c:pt>
                <c:pt idx="5">
                  <c:v>3 Resistor Pack</c:v>
                </c:pt>
                <c:pt idx="6">
                  <c:v>ATTinyX5</c:v>
                </c:pt>
                <c:pt idx="7">
                  <c:v>RGB LED</c:v>
                </c:pt>
                <c:pt idx="8">
                  <c:v>12 Pin Header</c:v>
                </c:pt>
                <c:pt idx="9">
                  <c:v>24 Pin Header</c:v>
                </c:pt>
                <c:pt idx="10">
                  <c:v>NPN Med Current</c:v>
                </c:pt>
                <c:pt idx="11">
                  <c:v>4 Resistor Pack</c:v>
                </c:pt>
                <c:pt idx="12">
                  <c:v>Grid PCB</c:v>
                </c:pt>
                <c:pt idx="13">
                  <c:v>Half Controller PCB</c:v>
                </c:pt>
              </c:strCache>
            </c:strRef>
          </c:cat>
          <c:val>
            <c:numRef>
              <c:f>(LED_grid_controllers!$N$3:$N$15,LED_grid_controllers!$N$17)</c:f>
              <c:numCache>
                <c:formatCode>0%</c:formatCode>
                <c:ptCount val="14"/>
                <c:pt idx="0">
                  <c:v>1.3155613523782765E-2</c:v>
                </c:pt>
                <c:pt idx="1">
                  <c:v>1.3367043026843559E-3</c:v>
                </c:pt>
                <c:pt idx="2">
                  <c:v>0.10915400478018615</c:v>
                </c:pt>
                <c:pt idx="3">
                  <c:v>1.2328689245144993E-2</c:v>
                </c:pt>
                <c:pt idx="4">
                  <c:v>1.7320304890740282E-2</c:v>
                </c:pt>
                <c:pt idx="5">
                  <c:v>0.10479385858373244</c:v>
                </c:pt>
                <c:pt idx="6">
                  <c:v>0.3728676747312144</c:v>
                </c:pt>
                <c:pt idx="7">
                  <c:v>6.0891696881508812E-2</c:v>
                </c:pt>
                <c:pt idx="8">
                  <c:v>3.2080903264424545E-3</c:v>
                </c:pt>
                <c:pt idx="9">
                  <c:v>1.2832361305769818E-2</c:v>
                </c:pt>
                <c:pt idx="10">
                  <c:v>6.3879900524768038E-2</c:v>
                </c:pt>
                <c:pt idx="11">
                  <c:v>2.1800730982268583E-2</c:v>
                </c:pt>
                <c:pt idx="12">
                  <c:v>0.18763663631635305</c:v>
                </c:pt>
                <c:pt idx="13">
                  <c:v>1.8793733605403953E-2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A-46EB-9558-62488C02F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17</xdr:row>
      <xdr:rowOff>28574</xdr:rowOff>
    </xdr:from>
    <xdr:to>
      <xdr:col>6</xdr:col>
      <xdr:colOff>28575</xdr:colOff>
      <xdr:row>39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B733B-C8EE-415A-845B-B73696FA1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47624</xdr:colOff>
      <xdr:row>17</xdr:row>
      <xdr:rowOff>9524</xdr:rowOff>
    </xdr:from>
    <xdr:to>
      <xdr:col>11</xdr:col>
      <xdr:colOff>514350</xdr:colOff>
      <xdr:row>39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9F4D12-5E63-4022-B94F-7091267A9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6:B51" totalsRowShown="0" tableBorderDxfId="12">
  <autoFilter ref="A46:B51"/>
  <tableColumns count="2">
    <tableColumn id="1" name="2N3904 Quantity"/>
    <tableColumn id="2" name="Pric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able811" displayName="Table811" ref="D72:E73" totalsRowShown="0" tableBorderDxfId="3">
  <autoFilter ref="D72:E73"/>
  <tableColumns count="2">
    <tableColumn id="1" name="Aliexpress - Slow RGB LED Qty"/>
    <tableColumn id="2" name="Price" dataDxfId="2">
      <calculatedColumnFormula>1.62/100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2:N17" totalsRowShown="0">
  <autoFilter ref="A2:N17"/>
  <tableColumns count="14">
    <tableColumn id="1" name="Ref"/>
    <tableColumn id="2" name="Name"/>
    <tableColumn id="3" name="Quantity / Grid"/>
    <tableColumn id="4" name="Value"/>
    <tableColumn id="5" name="Footprint" dataCellStyle="Hyperlink"/>
    <tableColumn id="6" name="Description"/>
    <tableColumn id="7" name="Vendor"/>
    <tableColumn id="8" name="Individual price"/>
    <tableColumn id="9" name="Subtotal">
      <calculatedColumnFormula>H3*C3</calculatedColumnFormula>
    </tableColumn>
    <tableColumn id="10" name="Qty Total">
      <calculatedColumnFormula>C3*$B$20</calculatedColumnFormula>
    </tableColumn>
    <tableColumn id="11" name="Total"/>
    <tableColumn id="12" name="URL" dataCellStyle="Hyperlink"/>
    <tableColumn id="13" name="Percent of board price full" dataDxfId="1" dataCellStyle="Percent"/>
    <tableColumn id="14" name="Percent of board half" dataDxfId="0" dataCellStyle="Percent">
      <calculatedColumnFormula>(K3/$B$20)/$F$1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8:C21" totalsRowShown="0">
  <autoFilter ref="A18:C21"/>
  <tableColumns count="3">
    <tableColumn id="1" name="Items"/>
    <tableColumn id="2" name="Parts"/>
    <tableColumn id="3" name="Cost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46:E54" totalsRowShown="0" tableBorderDxfId="11">
  <autoFilter ref="D46:E54"/>
  <tableColumns count="2">
    <tableColumn id="1" name="100 Ohm Qty"/>
    <tableColumn id="2" name="Pric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D56:E64" totalsRowShown="0" tableBorderDxfId="10">
  <autoFilter ref="D56:E64"/>
  <tableColumns count="2">
    <tableColumn id="1" name="150 Ohm Qty"/>
    <tableColumn id="2" name="Pric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54:B63" totalsRowShown="0" tableBorderDxfId="9">
  <autoFilter ref="A54:B63"/>
  <tableColumns count="2">
    <tableColumn id="1" name="RN 3*10K Ohm Qty"/>
    <tableColumn id="2" name="Pric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65:B68" totalsRowShown="0" tableBorderDxfId="8">
  <autoFilter ref="A65:B68"/>
  <tableColumns count="2">
    <tableColumn id="1" name="ATTiny85 Quantity"/>
    <tableColumn id="2" name="Pric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G46:H51" totalsRowShown="0" tableBorderDxfId="7">
  <autoFilter ref="G46:H51"/>
  <tableColumns count="2">
    <tableColumn id="1" name="DNBT8105 Qty"/>
    <tableColumn id="2" name="Pric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G54:H63" totalsRowShown="0" tableBorderDxfId="6">
  <autoFilter ref="G54:H63"/>
  <tableColumns count="2">
    <tableColumn id="1" name="RN 4*10K Ohm Qty"/>
    <tableColumn id="2" name="Pric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D67:E69" totalsRowShown="0" tableBorderDxfId="5">
  <autoFilter ref="D67:E69"/>
  <tableColumns count="2">
    <tableColumn id="1" name="Aliexpress RGB LED Qty"/>
    <tableColumn id="2" name="Price">
      <calculatedColumnFormula>2.39/100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Table510" displayName="Table510" ref="A70:B73" totalsRowShown="0" tableBorderDxfId="4">
  <autoFilter ref="A70:B73"/>
  <tableColumns count="2">
    <tableColumn id="1" name="ATTiny25 Quantity"/>
    <tableColumn id="2" name="Pri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1CUGABPU/ref=oh_aui_detailpage_o03_s00?ie=UTF8&amp;psc=1" TargetMode="External"/><Relationship Id="rId13" Type="http://schemas.openxmlformats.org/officeDocument/2006/relationships/hyperlink" Target="https://www.amazon.com/gp/product/B01CUGABPU/ref=oh_aui_detailpage_o03_s00?ie=UTF8&amp;psc=1" TargetMode="External"/><Relationship Id="rId18" Type="http://schemas.openxmlformats.org/officeDocument/2006/relationships/hyperlink" Target="https://jlcpcb.com/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digikey.com/product-detail/en/diodes-incorporated/MMBT3904-7-F/MMBT3904-FDICT-ND/815727" TargetMode="External"/><Relationship Id="rId21" Type="http://schemas.openxmlformats.org/officeDocument/2006/relationships/hyperlink" Target="https://jlcpcb.com/" TargetMode="External"/><Relationship Id="rId34" Type="http://schemas.openxmlformats.org/officeDocument/2006/relationships/table" Target="../tables/table11.xml"/><Relationship Id="rId7" Type="http://schemas.openxmlformats.org/officeDocument/2006/relationships/hyperlink" Target="https://www.digikey.com/product-detail/en/microchip-technology/ATTINY85-20PU/ATTINY85-20PU-ND/735469" TargetMode="External"/><Relationship Id="rId12" Type="http://schemas.openxmlformats.org/officeDocument/2006/relationships/hyperlink" Target="https://www.digikey.com/product-detail/en/bourns-inc/4608X-102-103LF/4608X-2-103LF-ND/1089107" TargetMode="External"/><Relationship Id="rId17" Type="http://schemas.openxmlformats.org/officeDocument/2006/relationships/hyperlink" Target="LED_grid_controllers/LED_grid_controllers.kicad_pcb" TargetMode="External"/><Relationship Id="rId25" Type="http://schemas.openxmlformats.org/officeDocument/2006/relationships/table" Target="../tables/table2.xml"/><Relationship Id="rId33" Type="http://schemas.openxmlformats.org/officeDocument/2006/relationships/table" Target="../tables/table10.xml"/><Relationship Id="rId2" Type="http://schemas.openxmlformats.org/officeDocument/2006/relationships/hyperlink" Target="https://www.amazon.com/Haobase-2-54mm-Straight-Single-Headers/dp/B01DLX6RSQ/ref=pd_sim_23_1" TargetMode="External"/><Relationship Id="rId16" Type="http://schemas.openxmlformats.org/officeDocument/2006/relationships/hyperlink" Target="LED_grid_no_controllers/LED_grid_no_controllers.kicad_pcb" TargetMode="External"/><Relationship Id="rId20" Type="http://schemas.openxmlformats.org/officeDocument/2006/relationships/hyperlink" Target="LED_grid_controllers/LED_grid_half_controllers.kicad_pcb" TargetMode="External"/><Relationship Id="rId29" Type="http://schemas.openxmlformats.org/officeDocument/2006/relationships/table" Target="../tables/table6.xml"/><Relationship Id="rId1" Type="http://schemas.openxmlformats.org/officeDocument/2006/relationships/hyperlink" Target="https://www.amazon.com/OdiySurveil-2-54mm-Straight-Single-Header/dp/B00UVPT5RI/ref=sr_1_18" TargetMode="External"/><Relationship Id="rId6" Type="http://schemas.openxmlformats.org/officeDocument/2006/relationships/hyperlink" Target="https://www.digikey.com/product-detail/en/bourns-inc/4606X-102-103LF/4606X-2-103LF-ND/1089007" TargetMode="External"/><Relationship Id="rId11" Type="http://schemas.openxmlformats.org/officeDocument/2006/relationships/hyperlink" Target="https://www.amazon.com/OdiySurveil-2-54mm-Straight-Single-Header/dp/B00UVPT5RI/ref=sr_1_18" TargetMode="External"/><Relationship Id="rId24" Type="http://schemas.openxmlformats.org/officeDocument/2006/relationships/table" Target="../tables/table1.xml"/><Relationship Id="rId32" Type="http://schemas.openxmlformats.org/officeDocument/2006/relationships/table" Target="../tables/table9.xml"/><Relationship Id="rId5" Type="http://schemas.openxmlformats.org/officeDocument/2006/relationships/hyperlink" Target="https://www.digikey.com/product-detail/en/stackpole-electronics-inc/CF14JT150R/CF14JT150RCT-ND/1830603" TargetMode="External"/><Relationship Id="rId15" Type="http://schemas.openxmlformats.org/officeDocument/2006/relationships/hyperlink" Target="https://www.aliexpress.com/item/100pcs-Ultra-Bright-Red-Green-Blue-SMT-SMD-LED-RGB-5050-LED-DIODE-Chip-Light-Emitting/32340120687.html" TargetMode="External"/><Relationship Id="rId23" Type="http://schemas.openxmlformats.org/officeDocument/2006/relationships/drawing" Target="../drawings/drawing1.xml"/><Relationship Id="rId28" Type="http://schemas.openxmlformats.org/officeDocument/2006/relationships/table" Target="../tables/table5.xml"/><Relationship Id="rId10" Type="http://schemas.openxmlformats.org/officeDocument/2006/relationships/hyperlink" Target="https://www.amazon.com/OdiySurveil-2-54mm-Straight-Single-Header/dp/B00UVPT5RI/ref=sr_1_18" TargetMode="External"/><Relationship Id="rId19" Type="http://schemas.openxmlformats.org/officeDocument/2006/relationships/hyperlink" Target="https://jlcpcb.com/" TargetMode="External"/><Relationship Id="rId31" Type="http://schemas.openxmlformats.org/officeDocument/2006/relationships/table" Target="../tables/table8.xml"/><Relationship Id="rId4" Type="http://schemas.openxmlformats.org/officeDocument/2006/relationships/hyperlink" Target="https://www.digikey.com/product-detail/en/stackpole-electronics-inc/CF14JT100R/CF14JT100RCT-ND/1830327" TargetMode="External"/><Relationship Id="rId9" Type="http://schemas.openxmlformats.org/officeDocument/2006/relationships/hyperlink" Target="https://www.digikey.com/product-detail/en/diodes-incorporated/DNBT8105-7/DNBT8105DICT-ND/989959" TargetMode="External"/><Relationship Id="rId14" Type="http://schemas.openxmlformats.org/officeDocument/2006/relationships/hyperlink" Target="https://www.aliexpress.com/item/100-pcs-5050-RGB-SMD-LED-RED-BLUE-GREEN-SMT-LED-PLCC-6-3-CHIPS-Light/32598851549.html?spm=2114.search0104.3.23.60253d47x6ezif&amp;ws_ab_test=searchweb0_0,searchweb201602_4_10065_10068_10130_10890_10547_319_10546_317_10548_10545_10696_453_10084_454_10083_10618_10307_538_537_536_10059_10884_10887_100031_321_322_10103-10890,searchweb201603_51,ppcSwitch_0&amp;algo_expid=5cbc6a83-22dc-4bec-a47d-bf5c9ff1afe1-3&amp;algo_pvid=5cbc6a83-22dc-4bec-a47d-bf5c9ff1afe1" TargetMode="External"/><Relationship Id="rId22" Type="http://schemas.openxmlformats.org/officeDocument/2006/relationships/printerSettings" Target="../printerSettings/printerSettings1.bin"/><Relationship Id="rId27" Type="http://schemas.openxmlformats.org/officeDocument/2006/relationships/table" Target="../tables/table4.xml"/><Relationship Id="rId30" Type="http://schemas.openxmlformats.org/officeDocument/2006/relationships/table" Target="../tables/table7.xml"/><Relationship Id="rId35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abSelected="1" workbookViewId="0">
      <selection activeCell="D10" sqref="D10"/>
    </sheetView>
  </sheetViews>
  <sheetFormatPr defaultRowHeight="15" x14ac:dyDescent="0.25"/>
  <cols>
    <col min="1" max="1" width="20.28515625" customWidth="1"/>
    <col min="2" max="2" width="16.7109375" customWidth="1"/>
    <col min="3" max="3" width="17" bestFit="1" customWidth="1"/>
    <col min="4" max="4" width="30.7109375" customWidth="1"/>
    <col min="5" max="5" width="25.28515625" customWidth="1"/>
    <col min="6" max="6" width="16.28515625" bestFit="1" customWidth="1"/>
    <col min="7" max="7" width="17" customWidth="1"/>
    <col min="8" max="8" width="16.85546875" customWidth="1"/>
    <col min="9" max="9" width="10.5703125" customWidth="1"/>
    <col min="10" max="10" width="11.140625" customWidth="1"/>
    <col min="12" max="12" width="7" customWidth="1"/>
    <col min="13" max="13" width="9.5703125" customWidth="1"/>
    <col min="14" max="14" width="8.5703125" customWidth="1"/>
  </cols>
  <sheetData>
    <row r="1" spans="1:14" x14ac:dyDescent="0.25">
      <c r="A1" t="s">
        <v>95</v>
      </c>
      <c r="B1" t="s">
        <v>96</v>
      </c>
      <c r="C1" t="s">
        <v>113</v>
      </c>
      <c r="D1" s="6">
        <f>SUM(K3:K16)/B20</f>
        <v>61.221224999999997</v>
      </c>
      <c r="E1" t="s">
        <v>114</v>
      </c>
      <c r="F1" s="6">
        <f>SUM(K3:K15,K17)/B20</f>
        <v>53.209224999999996</v>
      </c>
    </row>
    <row r="2" spans="1:14" x14ac:dyDescent="0.25">
      <c r="A2" t="s">
        <v>0</v>
      </c>
      <c r="B2" t="s">
        <v>97</v>
      </c>
      <c r="C2" t="s">
        <v>86</v>
      </c>
      <c r="D2" t="s">
        <v>1</v>
      </c>
      <c r="E2" t="s">
        <v>2</v>
      </c>
      <c r="F2" t="s">
        <v>3</v>
      </c>
      <c r="G2" t="s">
        <v>4</v>
      </c>
      <c r="H2" t="s">
        <v>29</v>
      </c>
      <c r="I2" t="s">
        <v>66</v>
      </c>
      <c r="J2" t="s">
        <v>70</v>
      </c>
      <c r="K2" t="s">
        <v>45</v>
      </c>
      <c r="L2" t="s">
        <v>32</v>
      </c>
      <c r="M2" t="s">
        <v>111</v>
      </c>
      <c r="N2" t="s">
        <v>112</v>
      </c>
    </row>
    <row r="3" spans="1:14" x14ac:dyDescent="0.25">
      <c r="A3" t="s">
        <v>5</v>
      </c>
      <c r="B3" t="s">
        <v>99</v>
      </c>
      <c r="C3">
        <v>2</v>
      </c>
      <c r="D3" t="s">
        <v>6</v>
      </c>
      <c r="E3" t="s">
        <v>7</v>
      </c>
      <c r="F3" t="s">
        <v>8</v>
      </c>
      <c r="G3" t="s">
        <v>30</v>
      </c>
      <c r="H3">
        <f>5.6/16</f>
        <v>0.35</v>
      </c>
      <c r="I3">
        <f>H3*C3</f>
        <v>0.7</v>
      </c>
      <c r="J3">
        <f>C3*$B$20</f>
        <v>2</v>
      </c>
      <c r="K3">
        <f>H3*J3</f>
        <v>0.7</v>
      </c>
      <c r="L3" s="1" t="s">
        <v>33</v>
      </c>
      <c r="M3" s="11">
        <f>(K3/$B$20)/$D$1</f>
        <v>1.1433943048346386E-2</v>
      </c>
      <c r="N3" s="11">
        <f>(K3/$B$20)/$F$1</f>
        <v>1.3155613523782765E-2</v>
      </c>
    </row>
    <row r="4" spans="1:14" x14ac:dyDescent="0.25">
      <c r="A4" t="s">
        <v>9</v>
      </c>
      <c r="B4" t="s">
        <v>101</v>
      </c>
      <c r="C4">
        <v>1</v>
      </c>
      <c r="D4" t="s">
        <v>10</v>
      </c>
      <c r="E4" t="s">
        <v>11</v>
      </c>
      <c r="F4" t="s">
        <v>12</v>
      </c>
      <c r="G4" t="s">
        <v>30</v>
      </c>
      <c r="H4">
        <f>0.569*5/40</f>
        <v>7.1124999999999994E-2</v>
      </c>
      <c r="I4">
        <f>H4*C4</f>
        <v>7.1124999999999994E-2</v>
      </c>
      <c r="J4">
        <f>C4*$B$20</f>
        <v>1</v>
      </c>
      <c r="K4">
        <f>H4*J4</f>
        <v>7.1124999999999994E-2</v>
      </c>
      <c r="L4" s="1" t="s">
        <v>31</v>
      </c>
      <c r="M4" s="11">
        <f>(K4/$B$20)/$D$1</f>
        <v>1.1617702847337666E-3</v>
      </c>
      <c r="N4" s="11">
        <f>(K4/$B$20)/$F$1</f>
        <v>1.3367043026843559E-3</v>
      </c>
    </row>
    <row r="5" spans="1:14" x14ac:dyDescent="0.25">
      <c r="A5" t="s">
        <v>13</v>
      </c>
      <c r="B5" t="s">
        <v>102</v>
      </c>
      <c r="C5">
        <v>48</v>
      </c>
      <c r="D5" t="s">
        <v>14</v>
      </c>
      <c r="E5" t="s">
        <v>15</v>
      </c>
      <c r="F5" t="s">
        <v>16</v>
      </c>
      <c r="G5" t="s">
        <v>28</v>
      </c>
      <c r="H5">
        <f>_xlfn.IFS(J5&lt;A48, B47, J5&lt;A49, B48, J5&lt;A50, B49, J5&lt;A51, B50, J5&gt;=A51, B51)</f>
        <v>0.121</v>
      </c>
      <c r="I5">
        <f>H5*C5</f>
        <v>5.8079999999999998</v>
      </c>
      <c r="J5">
        <f>C5*$B$20</f>
        <v>48</v>
      </c>
      <c r="K5">
        <f>H5*J5</f>
        <v>5.8079999999999998</v>
      </c>
      <c r="L5" s="3" t="s">
        <v>36</v>
      </c>
      <c r="M5" s="11">
        <f>(K5/$B$20)/$D$1</f>
        <v>9.4869058892565444E-2</v>
      </c>
      <c r="N5" s="11">
        <f>(K5/$B$20)/$F$1</f>
        <v>0.10915400478018615</v>
      </c>
    </row>
    <row r="6" spans="1:14" x14ac:dyDescent="0.25">
      <c r="A6" t="s">
        <v>17</v>
      </c>
      <c r="B6" t="s">
        <v>79</v>
      </c>
      <c r="C6">
        <v>16</v>
      </c>
      <c r="D6" t="s">
        <v>79</v>
      </c>
      <c r="E6" t="s">
        <v>18</v>
      </c>
      <c r="F6" t="s">
        <v>19</v>
      </c>
      <c r="G6" t="s">
        <v>28</v>
      </c>
      <c r="H6">
        <f>_xlfn.IFS(J6&lt;D48, E47, J6&lt;D49, E48, J6&lt;D50, E49, J6&lt;D51, E50, J6&lt;D52, E51, J6&lt;D53, E52, J6&lt;D54, E53, J6&gt;=D54, E54)</f>
        <v>4.1000000000000002E-2</v>
      </c>
      <c r="I6">
        <f>H6*C6</f>
        <v>0.65600000000000003</v>
      </c>
      <c r="J6">
        <f>C6*$B$20</f>
        <v>16</v>
      </c>
      <c r="K6">
        <f>H6*J6</f>
        <v>0.65600000000000003</v>
      </c>
      <c r="L6" s="1" t="s">
        <v>38</v>
      </c>
      <c r="M6" s="11">
        <f>(K6/$B$20)/$D$1</f>
        <v>1.0715238056736043E-2</v>
      </c>
      <c r="N6" s="11">
        <f>(K6/$B$20)/$F$1</f>
        <v>1.2328689245144993E-2</v>
      </c>
    </row>
    <row r="7" spans="1:14" x14ac:dyDescent="0.25">
      <c r="A7" t="s">
        <v>20</v>
      </c>
      <c r="B7" t="s">
        <v>80</v>
      </c>
      <c r="C7">
        <v>32</v>
      </c>
      <c r="D7" t="s">
        <v>80</v>
      </c>
      <c r="E7" t="s">
        <v>18</v>
      </c>
      <c r="F7" t="s">
        <v>19</v>
      </c>
      <c r="G7" t="s">
        <v>28</v>
      </c>
      <c r="H7">
        <f>_xlfn.IFS(J7&lt;D58, E57, J7&lt;D59, E58, J7&lt;D60, E59, J7&lt;D61, E60, J7&lt;D62, E61, J7&lt;D63, E62, J7&lt;D64, E63, J7&gt;=D64, E64)</f>
        <v>2.8799999999999999E-2</v>
      </c>
      <c r="I7">
        <f>H7*C7</f>
        <v>0.92159999999999997</v>
      </c>
      <c r="J7">
        <f>C7*$B$20</f>
        <v>32</v>
      </c>
      <c r="K7">
        <f>H7*J7</f>
        <v>0.92159999999999997</v>
      </c>
      <c r="L7" s="1" t="s">
        <v>40</v>
      </c>
      <c r="M7" s="11">
        <f>(K7/$B$20)/$D$1</f>
        <v>1.5053602733365756E-2</v>
      </c>
      <c r="N7" s="11">
        <f>(K7/$B$20)/$F$1</f>
        <v>1.7320304890740282E-2</v>
      </c>
    </row>
    <row r="8" spans="1:14" x14ac:dyDescent="0.25">
      <c r="A8" t="s">
        <v>69</v>
      </c>
      <c r="B8" t="s">
        <v>103</v>
      </c>
      <c r="C8">
        <v>17</v>
      </c>
      <c r="D8" t="s">
        <v>21</v>
      </c>
      <c r="E8" t="s">
        <v>22</v>
      </c>
      <c r="F8" t="s">
        <v>23</v>
      </c>
      <c r="G8" t="s">
        <v>28</v>
      </c>
      <c r="H8">
        <f>_xlfn.IFS(J8&lt;A56, B55, J8&lt;A57, B56, J8&lt;A58, B57, J8&lt;A59, B58, J8&lt;A60, B59, J8&lt;A61, B60, J8&lt;A62, B61, J8&lt;A63, B62, J8&gt;=A63, B63)</f>
        <v>0.32800000000000001</v>
      </c>
      <c r="I8">
        <f>H8*C8</f>
        <v>5.5760000000000005</v>
      </c>
      <c r="J8">
        <f>C8*$B$20</f>
        <v>17</v>
      </c>
      <c r="K8">
        <f>H8*J8</f>
        <v>5.5760000000000005</v>
      </c>
      <c r="L8" s="1" t="s">
        <v>43</v>
      </c>
      <c r="M8" s="11">
        <f>(K8/$B$20)/$D$1</f>
        <v>9.1079523482256369E-2</v>
      </c>
      <c r="N8" s="11">
        <f>(K8/$B$20)/$F$1</f>
        <v>0.10479385858373244</v>
      </c>
    </row>
    <row r="9" spans="1:14" x14ac:dyDescent="0.25">
      <c r="A9" t="s">
        <v>24</v>
      </c>
      <c r="B9" t="s">
        <v>104</v>
      </c>
      <c r="C9">
        <v>16</v>
      </c>
      <c r="D9" t="s">
        <v>25</v>
      </c>
      <c r="E9" t="s">
        <v>26</v>
      </c>
      <c r="F9" t="s">
        <v>27</v>
      </c>
      <c r="G9" t="s">
        <v>28</v>
      </c>
      <c r="H9">
        <f>_xlfn.IFS(D9="ATtiny25-20PU", _xlfn.IFS(J9&lt;A72, B71, J9&lt;A73, B72, J9&gt;=A73, B73), D9="ATtiny85-20PU", _xlfn.IFS(J9&lt;A67, B66, J9&lt;A68, B67, J9&gt;=A68, B68))</f>
        <v>1.24</v>
      </c>
      <c r="I9">
        <f>H9*C9</f>
        <v>19.84</v>
      </c>
      <c r="J9">
        <f>C9*$B$20</f>
        <v>16</v>
      </c>
      <c r="K9">
        <f>H9*J9</f>
        <v>19.84</v>
      </c>
      <c r="L9" s="1" t="s">
        <v>44</v>
      </c>
      <c r="M9" s="11">
        <f>(K9/$B$20)/$D$1</f>
        <v>0.32407061439884616</v>
      </c>
      <c r="N9" s="11">
        <f>(K9/$B$20)/$F$1</f>
        <v>0.3728676747312144</v>
      </c>
    </row>
    <row r="10" spans="1:14" x14ac:dyDescent="0.25">
      <c r="A10" t="s">
        <v>46</v>
      </c>
      <c r="B10" t="s">
        <v>106</v>
      </c>
      <c r="C10">
        <v>176</v>
      </c>
      <c r="D10" t="s">
        <v>47</v>
      </c>
      <c r="E10" t="s">
        <v>48</v>
      </c>
      <c r="F10" t="s">
        <v>49</v>
      </c>
      <c r="G10" t="s">
        <v>78</v>
      </c>
      <c r="H10">
        <f>_xlfn.IFS(G10="Aliexpress",_xlfn.IFS(J10&lt;D69,E68,J10&gt;=D69,E69),G10="Amazon",E77,G10="Aliexpress - Slow", E73)</f>
        <v>1.6200000000000003E-2</v>
      </c>
      <c r="I10">
        <f>H10*C10</f>
        <v>2.8512000000000004</v>
      </c>
      <c r="J10">
        <f>C10*$B$20+IF(MOD(C10*$B$20,100)&lt;&gt;0,100-MOD(C10*$B$20,100))</f>
        <v>200</v>
      </c>
      <c r="K10">
        <f>H10*J10</f>
        <v>3.2400000000000007</v>
      </c>
      <c r="L10" s="1" t="s">
        <v>62</v>
      </c>
      <c r="M10" s="11">
        <f>(K10/$B$20)/$D$1</f>
        <v>5.2922822109489003E-2</v>
      </c>
      <c r="N10" s="11">
        <f>(K10/$B$20)/$F$1</f>
        <v>6.0891696881508812E-2</v>
      </c>
    </row>
    <row r="11" spans="1:14" x14ac:dyDescent="0.25">
      <c r="A11" t="s">
        <v>50</v>
      </c>
      <c r="B11" t="s">
        <v>100</v>
      </c>
      <c r="C11">
        <v>1</v>
      </c>
      <c r="D11" t="s">
        <v>51</v>
      </c>
      <c r="E11" t="s">
        <v>52</v>
      </c>
      <c r="F11" t="s">
        <v>53</v>
      </c>
      <c r="G11" t="s">
        <v>30</v>
      </c>
      <c r="H11">
        <f>0.569*12/40</f>
        <v>0.17069999999999999</v>
      </c>
      <c r="I11">
        <f>H11*C11</f>
        <v>0.17069999999999999</v>
      </c>
      <c r="J11">
        <f>C11*$B$20</f>
        <v>1</v>
      </c>
      <c r="K11">
        <f>H11*J11</f>
        <v>0.17069999999999999</v>
      </c>
      <c r="L11" s="1" t="s">
        <v>31</v>
      </c>
      <c r="M11" s="11">
        <f>(K11/$B$20)/$D$1</f>
        <v>2.7882486833610402E-3</v>
      </c>
      <c r="N11" s="11">
        <f>(K11/$B$20)/$F$1</f>
        <v>3.2080903264424545E-3</v>
      </c>
    </row>
    <row r="12" spans="1:14" x14ac:dyDescent="0.25">
      <c r="A12" t="s">
        <v>54</v>
      </c>
      <c r="B12" t="s">
        <v>98</v>
      </c>
      <c r="C12">
        <v>2</v>
      </c>
      <c r="D12" t="s">
        <v>6</v>
      </c>
      <c r="E12" t="s">
        <v>55</v>
      </c>
      <c r="F12" t="s">
        <v>8</v>
      </c>
      <c r="G12" t="s">
        <v>30</v>
      </c>
      <c r="H12">
        <f>0.569*24/40</f>
        <v>0.34139999999999998</v>
      </c>
      <c r="I12">
        <f>H12*C12</f>
        <v>0.68279999999999996</v>
      </c>
      <c r="J12">
        <f>C12*$B$20</f>
        <v>2</v>
      </c>
      <c r="K12">
        <f>H12*J12</f>
        <v>0.68279999999999996</v>
      </c>
      <c r="L12" s="1" t="s">
        <v>31</v>
      </c>
      <c r="M12" s="11">
        <f>(K12/$B$20)/$D$1</f>
        <v>1.1152994733444161E-2</v>
      </c>
      <c r="N12" s="11">
        <f>(K12/$B$20)/$F$1</f>
        <v>1.2832361305769818E-2</v>
      </c>
    </row>
    <row r="13" spans="1:14" x14ac:dyDescent="0.25">
      <c r="A13" t="s">
        <v>56</v>
      </c>
      <c r="B13" t="s">
        <v>107</v>
      </c>
      <c r="C13">
        <v>11</v>
      </c>
      <c r="D13" t="s">
        <v>57</v>
      </c>
      <c r="E13" t="s">
        <v>15</v>
      </c>
      <c r="F13" t="s">
        <v>58</v>
      </c>
      <c r="G13" t="s">
        <v>28</v>
      </c>
      <c r="H13">
        <f>_xlfn.IFS(J13&lt;G48, H47, J13&lt;G49, H48, J13&lt;G50, H49, J13&lt;G51, H50, J13&gt;=G51, H51)</f>
        <v>0.309</v>
      </c>
      <c r="I13">
        <f>H13*C13</f>
        <v>3.399</v>
      </c>
      <c r="J13">
        <f>C13*$B$20</f>
        <v>11</v>
      </c>
      <c r="K13">
        <f>H13*J13</f>
        <v>3.399</v>
      </c>
      <c r="L13" s="1" t="s">
        <v>64</v>
      </c>
      <c r="M13" s="11">
        <f>(K13/$B$20)/$D$1</f>
        <v>5.55199606018991E-2</v>
      </c>
      <c r="N13" s="11">
        <f>(K13/$B$20)/$F$1</f>
        <v>6.3879900524768038E-2</v>
      </c>
    </row>
    <row r="14" spans="1:14" x14ac:dyDescent="0.25">
      <c r="A14" t="s">
        <v>68</v>
      </c>
      <c r="B14" t="s">
        <v>105</v>
      </c>
      <c r="C14">
        <v>2</v>
      </c>
      <c r="D14" t="s">
        <v>59</v>
      </c>
      <c r="E14" t="s">
        <v>60</v>
      </c>
      <c r="F14" t="s">
        <v>61</v>
      </c>
      <c r="G14" t="s">
        <v>28</v>
      </c>
      <c r="H14">
        <f>_xlfn.IFS(J14&lt;G56, H55, J14&lt;G57, H56, J14&lt;G58, H57, J14&lt;G59, H58, J14&lt;G60, H59, J14&lt;G61, H60, J14&lt;G62, H61, J14&lt;G63, H62, J14&gt;=G63, H63)</f>
        <v>0.57999999999999996</v>
      </c>
      <c r="I14">
        <f>H14*C14</f>
        <v>1.1599999999999999</v>
      </c>
      <c r="J14">
        <f>C14*$B$20</f>
        <v>2</v>
      </c>
      <c r="K14">
        <f>H14*J14</f>
        <v>1.1599999999999999</v>
      </c>
      <c r="L14" s="1" t="s">
        <v>67</v>
      </c>
      <c r="M14" s="11">
        <f>(K14/$B$20)/$D$1</f>
        <v>1.8947677051545441E-2</v>
      </c>
      <c r="N14" s="11">
        <f>(K14/$B$20)/$F$1</f>
        <v>2.1800730982268583E-2</v>
      </c>
    </row>
    <row r="15" spans="1:14" x14ac:dyDescent="0.25">
      <c r="A15" t="s">
        <v>108</v>
      </c>
      <c r="B15" t="s">
        <v>84</v>
      </c>
      <c r="C15">
        <v>1</v>
      </c>
      <c r="D15" t="s">
        <v>87</v>
      </c>
      <c r="E15" s="1" t="s">
        <v>90</v>
      </c>
      <c r="F15" t="s">
        <v>88</v>
      </c>
      <c r="G15" t="s">
        <v>89</v>
      </c>
      <c r="H15">
        <f>(9.92/5)</f>
        <v>1.984</v>
      </c>
      <c r="I15">
        <f>H15*C15</f>
        <v>1.984</v>
      </c>
      <c r="J15">
        <f>C15*$B$20</f>
        <v>1</v>
      </c>
      <c r="K15">
        <f>8 + H15*J15</f>
        <v>9.984</v>
      </c>
      <c r="L15" s="1" t="s">
        <v>92</v>
      </c>
      <c r="M15" s="11">
        <f>(K15/$B$20)/$D$1</f>
        <v>0.16308069627812904</v>
      </c>
      <c r="N15" s="11">
        <f>(K15/$B$20)/$F$1</f>
        <v>0.18763663631635305</v>
      </c>
    </row>
    <row r="16" spans="1:14" x14ac:dyDescent="0.25">
      <c r="A16" t="s">
        <v>109</v>
      </c>
      <c r="B16" t="s">
        <v>85</v>
      </c>
      <c r="C16">
        <v>1</v>
      </c>
      <c r="D16" t="s">
        <v>87</v>
      </c>
      <c r="E16" s="1" t="s">
        <v>91</v>
      </c>
      <c r="F16" t="s">
        <v>88</v>
      </c>
      <c r="G16" t="s">
        <v>89</v>
      </c>
      <c r="H16">
        <f>5.06/5</f>
        <v>1.012</v>
      </c>
      <c r="I16">
        <f>H16*C16</f>
        <v>1.012</v>
      </c>
      <c r="J16">
        <f>C16*$B$20</f>
        <v>1</v>
      </c>
      <c r="K16">
        <f>8 + H16*J16</f>
        <v>9.0120000000000005</v>
      </c>
      <c r="L16" s="1" t="s">
        <v>92</v>
      </c>
      <c r="M16" s="11">
        <f>(K16/$B$20)/$D$1</f>
        <v>0.14720384964528235</v>
      </c>
      <c r="N16" s="11">
        <v>0</v>
      </c>
    </row>
    <row r="17" spans="1:14" x14ac:dyDescent="0.25">
      <c r="A17" t="s">
        <v>110</v>
      </c>
      <c r="B17" t="s">
        <v>93</v>
      </c>
      <c r="C17">
        <v>2</v>
      </c>
      <c r="D17" t="s">
        <v>87</v>
      </c>
      <c r="E17" s="1" t="s">
        <v>94</v>
      </c>
      <c r="F17" t="s">
        <v>88</v>
      </c>
      <c r="G17" t="s">
        <v>89</v>
      </c>
      <c r="H17">
        <f>5/10</f>
        <v>0.5</v>
      </c>
      <c r="I17">
        <f>H17*C17</f>
        <v>1</v>
      </c>
      <c r="J17">
        <f>C17*$B$20</f>
        <v>2</v>
      </c>
      <c r="K17">
        <f>J17*H17</f>
        <v>1</v>
      </c>
      <c r="L17" s="1" t="s">
        <v>92</v>
      </c>
      <c r="M17" s="11">
        <v>0</v>
      </c>
      <c r="N17" s="11">
        <f>(K17/$B$20)/$F$1</f>
        <v>1.8793733605403953E-2</v>
      </c>
    </row>
    <row r="18" spans="1:14" x14ac:dyDescent="0.25">
      <c r="A18" t="s">
        <v>115</v>
      </c>
      <c r="B18" t="s">
        <v>72</v>
      </c>
      <c r="C18" t="s">
        <v>73</v>
      </c>
      <c r="F18" s="4"/>
    </row>
    <row r="19" spans="1:14" x14ac:dyDescent="0.25">
      <c r="A19" t="s">
        <v>74</v>
      </c>
      <c r="B19">
        <f>IF(B1="Half", SUM(C3:C15,C17), SUM(C3:C16))</f>
        <v>327</v>
      </c>
      <c r="C19" s="6">
        <f>IF(B1="Half", SUM(I3:I15,I17), SUM(I3:I16))</f>
        <v>44.820424999999993</v>
      </c>
      <c r="F19" s="4"/>
    </row>
    <row r="20" spans="1:14" x14ac:dyDescent="0.25">
      <c r="A20" t="s">
        <v>71</v>
      </c>
      <c r="B20">
        <v>1</v>
      </c>
      <c r="F20" s="4"/>
    </row>
    <row r="21" spans="1:14" x14ac:dyDescent="0.25">
      <c r="A21" t="s">
        <v>45</v>
      </c>
      <c r="B21">
        <f>IF(B1="Half", SUM(J3:J15,J17), SUM(J3:J16))</f>
        <v>351</v>
      </c>
      <c r="C21" s="6">
        <f>IF(B1="Half",SUM(K3:K15,K17), SUM(K3:K16))</f>
        <v>53.209224999999996</v>
      </c>
      <c r="F21" s="4"/>
    </row>
    <row r="27" spans="1:14" x14ac:dyDescent="0.25">
      <c r="I27" s="4"/>
    </row>
    <row r="28" spans="1:14" x14ac:dyDescent="0.25">
      <c r="I28" s="4"/>
    </row>
    <row r="29" spans="1:14" x14ac:dyDescent="0.25">
      <c r="I29" s="4"/>
    </row>
    <row r="30" spans="1:14" x14ac:dyDescent="0.25">
      <c r="I30" s="4"/>
    </row>
    <row r="31" spans="1:14" x14ac:dyDescent="0.25">
      <c r="I31" s="4"/>
    </row>
    <row r="35" spans="1:13" x14ac:dyDescent="0.25">
      <c r="I35" s="4"/>
    </row>
    <row r="36" spans="1:13" x14ac:dyDescent="0.25">
      <c r="I36" s="4"/>
    </row>
    <row r="37" spans="1:13" x14ac:dyDescent="0.25">
      <c r="I37" s="4"/>
    </row>
    <row r="38" spans="1:13" x14ac:dyDescent="0.25">
      <c r="I38" s="4"/>
    </row>
    <row r="39" spans="1:13" x14ac:dyDescent="0.25">
      <c r="I39" s="4"/>
      <c r="M39" s="11"/>
    </row>
    <row r="40" spans="1:13" x14ac:dyDescent="0.25">
      <c r="I40" s="4"/>
      <c r="M40" s="11"/>
    </row>
    <row r="41" spans="1:13" x14ac:dyDescent="0.25">
      <c r="I41" s="4"/>
      <c r="M41" s="11"/>
    </row>
    <row r="42" spans="1:13" x14ac:dyDescent="0.25">
      <c r="I42" s="4"/>
      <c r="M42" s="11"/>
    </row>
    <row r="43" spans="1:13" x14ac:dyDescent="0.25">
      <c r="I43" s="4"/>
    </row>
    <row r="45" spans="1:13" x14ac:dyDescent="0.25">
      <c r="F45" s="4"/>
    </row>
    <row r="46" spans="1:13" x14ac:dyDescent="0.25">
      <c r="A46" s="2" t="s">
        <v>34</v>
      </c>
      <c r="B46" s="2" t="s">
        <v>35</v>
      </c>
      <c r="D46" s="2" t="s">
        <v>37</v>
      </c>
      <c r="E46" s="2" t="s">
        <v>35</v>
      </c>
      <c r="F46" s="4"/>
      <c r="G46" s="2" t="s">
        <v>63</v>
      </c>
      <c r="H46" s="2" t="s">
        <v>35</v>
      </c>
    </row>
    <row r="47" spans="1:13" x14ac:dyDescent="0.25">
      <c r="A47" s="2">
        <v>1</v>
      </c>
      <c r="B47" s="2">
        <v>0.13</v>
      </c>
      <c r="D47" s="2">
        <v>1</v>
      </c>
      <c r="E47" s="2">
        <v>0.1</v>
      </c>
      <c r="G47" s="2">
        <v>1</v>
      </c>
      <c r="H47" s="2">
        <v>0.38</v>
      </c>
    </row>
    <row r="48" spans="1:13" x14ac:dyDescent="0.25">
      <c r="A48" s="2">
        <v>10</v>
      </c>
      <c r="B48" s="2">
        <v>0.121</v>
      </c>
      <c r="D48" s="2">
        <v>10</v>
      </c>
      <c r="E48" s="2">
        <v>4.1000000000000002E-2</v>
      </c>
      <c r="G48" s="2">
        <v>10</v>
      </c>
      <c r="H48" s="2">
        <v>0.309</v>
      </c>
    </row>
    <row r="49" spans="1:8" x14ac:dyDescent="0.25">
      <c r="A49" s="2">
        <v>100</v>
      </c>
      <c r="B49" s="2">
        <v>6.6400000000000001E-2</v>
      </c>
      <c r="D49" s="2">
        <v>25</v>
      </c>
      <c r="E49" s="2">
        <v>2.92E-2</v>
      </c>
      <c r="F49" s="4"/>
      <c r="G49" s="2">
        <v>100</v>
      </c>
      <c r="H49" s="2">
        <v>0.16669999999999999</v>
      </c>
    </row>
    <row r="50" spans="1:8" x14ac:dyDescent="0.25">
      <c r="A50" s="2">
        <v>500</v>
      </c>
      <c r="B50" s="2">
        <v>4.1520000000000001E-2</v>
      </c>
      <c r="D50" s="2">
        <v>50</v>
      </c>
      <c r="E50" s="2">
        <v>2.2599999999999999E-2</v>
      </c>
      <c r="F50" s="4"/>
      <c r="G50" s="2">
        <v>500</v>
      </c>
      <c r="H50" s="2">
        <v>0.11138000000000001</v>
      </c>
    </row>
    <row r="51" spans="1:8" x14ac:dyDescent="0.25">
      <c r="A51" s="2">
        <v>1000</v>
      </c>
      <c r="B51" s="2">
        <v>2.8840000000000001E-2</v>
      </c>
      <c r="D51" s="2">
        <v>100</v>
      </c>
      <c r="E51" s="2">
        <v>1.6799999999999999E-2</v>
      </c>
      <c r="F51" s="4"/>
      <c r="G51" s="5">
        <v>1000</v>
      </c>
      <c r="H51" s="2">
        <v>7.7380000000000004E-2</v>
      </c>
    </row>
    <row r="52" spans="1:8" x14ac:dyDescent="0.25">
      <c r="D52" s="2">
        <v>250</v>
      </c>
      <c r="E52" s="2">
        <v>1.2919999999999999E-2</v>
      </c>
      <c r="F52" s="4"/>
    </row>
    <row r="53" spans="1:8" x14ac:dyDescent="0.25">
      <c r="D53" s="2">
        <v>500</v>
      </c>
      <c r="E53" s="2">
        <v>1.0460000000000001E-2</v>
      </c>
      <c r="F53" s="4"/>
    </row>
    <row r="54" spans="1:8" x14ac:dyDescent="0.25">
      <c r="A54" s="2" t="s">
        <v>41</v>
      </c>
      <c r="B54" s="2" t="s">
        <v>35</v>
      </c>
      <c r="D54" s="5">
        <v>1000</v>
      </c>
      <c r="E54" s="2">
        <v>7.8399999999999997E-3</v>
      </c>
      <c r="F54" s="4"/>
      <c r="G54" s="2" t="s">
        <v>65</v>
      </c>
      <c r="H54" s="2" t="s">
        <v>35</v>
      </c>
    </row>
    <row r="55" spans="1:8" x14ac:dyDescent="0.25">
      <c r="A55" s="2">
        <v>1</v>
      </c>
      <c r="B55" s="2">
        <v>0.42</v>
      </c>
      <c r="C55" s="4"/>
      <c r="F55" s="4"/>
      <c r="G55" s="2">
        <v>1</v>
      </c>
      <c r="H55" s="2">
        <v>0.57999999999999996</v>
      </c>
    </row>
    <row r="56" spans="1:8" x14ac:dyDescent="0.25">
      <c r="A56" s="2">
        <v>10</v>
      </c>
      <c r="B56" s="2">
        <v>0.32800000000000001</v>
      </c>
      <c r="C56" s="4"/>
      <c r="D56" s="2" t="s">
        <v>39</v>
      </c>
      <c r="E56" s="2" t="s">
        <v>35</v>
      </c>
      <c r="F56" s="4"/>
      <c r="G56" s="2">
        <v>10</v>
      </c>
      <c r="H56" s="2">
        <v>0.44</v>
      </c>
    </row>
    <row r="57" spans="1:8" x14ac:dyDescent="0.25">
      <c r="A57" s="2">
        <v>25</v>
      </c>
      <c r="B57" s="2">
        <v>0.25040000000000001</v>
      </c>
      <c r="C57" s="4"/>
      <c r="D57" s="2">
        <v>1</v>
      </c>
      <c r="E57" s="2">
        <v>0.1</v>
      </c>
      <c r="G57" s="2">
        <v>25</v>
      </c>
      <c r="H57" s="2">
        <v>0.33600000000000002</v>
      </c>
    </row>
    <row r="58" spans="1:8" x14ac:dyDescent="0.25">
      <c r="A58" s="2">
        <v>50</v>
      </c>
      <c r="B58" s="2">
        <v>0.18720000000000001</v>
      </c>
      <c r="C58" s="4"/>
      <c r="D58" s="2">
        <v>10</v>
      </c>
      <c r="E58" s="2">
        <v>0.04</v>
      </c>
      <c r="G58" s="2">
        <v>50</v>
      </c>
      <c r="H58" s="2">
        <v>0.25080000000000002</v>
      </c>
    </row>
    <row r="59" spans="1:8" x14ac:dyDescent="0.25">
      <c r="A59" s="2">
        <v>100</v>
      </c>
      <c r="B59" s="2">
        <v>0.1401</v>
      </c>
      <c r="C59" s="4"/>
      <c r="D59" s="2">
        <v>25</v>
      </c>
      <c r="E59" s="2">
        <v>2.8799999999999999E-2</v>
      </c>
      <c r="G59" s="2">
        <v>100</v>
      </c>
      <c r="H59" s="2">
        <v>0.18770000000000001</v>
      </c>
    </row>
    <row r="60" spans="1:8" x14ac:dyDescent="0.25">
      <c r="A60" s="2">
        <v>250</v>
      </c>
      <c r="B60" s="2">
        <v>0.11892</v>
      </c>
      <c r="C60" s="4"/>
      <c r="D60" s="2">
        <v>50</v>
      </c>
      <c r="E60" s="2">
        <v>2.1999999999999999E-2</v>
      </c>
      <c r="G60" s="2">
        <v>250</v>
      </c>
      <c r="H60" s="2">
        <v>0.15939999999999999</v>
      </c>
    </row>
    <row r="61" spans="1:8" x14ac:dyDescent="0.25">
      <c r="A61" s="2">
        <v>500</v>
      </c>
      <c r="B61" s="2">
        <v>0.10246</v>
      </c>
      <c r="C61" s="4"/>
      <c r="D61" s="2">
        <v>100</v>
      </c>
      <c r="E61" s="2">
        <v>1.6199999999999999E-2</v>
      </c>
      <c r="G61" s="2">
        <v>500</v>
      </c>
      <c r="H61" s="2">
        <v>0.13733999999999999</v>
      </c>
    </row>
    <row r="62" spans="1:8" x14ac:dyDescent="0.25">
      <c r="A62" s="5">
        <v>1000</v>
      </c>
      <c r="B62" s="2">
        <v>7.8960000000000002E-2</v>
      </c>
      <c r="C62" s="4"/>
      <c r="D62" s="2">
        <v>250</v>
      </c>
      <c r="E62" s="2">
        <v>1.2359999999999999E-2</v>
      </c>
      <c r="G62" s="5">
        <v>1000</v>
      </c>
      <c r="H62" s="2">
        <v>0.10584</v>
      </c>
    </row>
    <row r="63" spans="1:8" x14ac:dyDescent="0.25">
      <c r="A63" s="5">
        <v>5000</v>
      </c>
      <c r="B63" s="2">
        <v>6.7210000000000006E-2</v>
      </c>
      <c r="C63" s="4"/>
      <c r="D63" s="2">
        <v>500</v>
      </c>
      <c r="E63" s="2">
        <v>9.9000000000000008E-3</v>
      </c>
      <c r="G63" s="5">
        <v>5000</v>
      </c>
      <c r="H63" s="2">
        <v>9.0090000000000003E-2</v>
      </c>
    </row>
    <row r="64" spans="1:8" x14ac:dyDescent="0.25">
      <c r="D64" s="5">
        <v>1000</v>
      </c>
      <c r="E64" s="2">
        <v>7.2899999999999996E-3</v>
      </c>
    </row>
    <row r="65" spans="1:5" x14ac:dyDescent="0.25">
      <c r="A65" s="2" t="s">
        <v>42</v>
      </c>
      <c r="B65" s="2" t="s">
        <v>35</v>
      </c>
    </row>
    <row r="66" spans="1:5" x14ac:dyDescent="0.25">
      <c r="A66" s="2">
        <v>1</v>
      </c>
      <c r="B66" s="2">
        <v>1.24</v>
      </c>
      <c r="C66" s="4"/>
      <c r="D66" s="1" t="s">
        <v>83</v>
      </c>
    </row>
    <row r="67" spans="1:5" x14ac:dyDescent="0.25">
      <c r="A67" s="2">
        <v>25</v>
      </c>
      <c r="B67" s="2">
        <v>1.1332</v>
      </c>
      <c r="C67" s="4"/>
      <c r="D67" s="2" t="s">
        <v>76</v>
      </c>
      <c r="E67" s="2" t="s">
        <v>35</v>
      </c>
    </row>
    <row r="68" spans="1:5" x14ac:dyDescent="0.25">
      <c r="A68" s="2">
        <v>100</v>
      </c>
      <c r="B68" s="2">
        <v>1.03</v>
      </c>
      <c r="C68" s="4"/>
      <c r="D68" s="2">
        <v>100</v>
      </c>
      <c r="E68" s="2">
        <f>3.98/100</f>
        <v>3.9800000000000002E-2</v>
      </c>
    </row>
    <row r="69" spans="1:5" x14ac:dyDescent="0.25">
      <c r="D69" s="2">
        <v>1000</v>
      </c>
      <c r="E69" s="2">
        <f>2.39/100</f>
        <v>2.3900000000000001E-2</v>
      </c>
    </row>
    <row r="70" spans="1:5" x14ac:dyDescent="0.25">
      <c r="A70" s="2" t="s">
        <v>75</v>
      </c>
      <c r="B70" s="2" t="s">
        <v>35</v>
      </c>
    </row>
    <row r="71" spans="1:5" x14ac:dyDescent="0.25">
      <c r="A71" s="2">
        <v>1</v>
      </c>
      <c r="B71" s="2">
        <v>1.1100000000000001</v>
      </c>
      <c r="D71" s="1" t="s">
        <v>82</v>
      </c>
    </row>
    <row r="72" spans="1:5" x14ac:dyDescent="0.25">
      <c r="A72" s="2">
        <v>25</v>
      </c>
      <c r="B72" s="2">
        <v>1.0196000000000001</v>
      </c>
      <c r="D72" s="2" t="s">
        <v>81</v>
      </c>
      <c r="E72" s="2" t="s">
        <v>35</v>
      </c>
    </row>
    <row r="73" spans="1:5" x14ac:dyDescent="0.25">
      <c r="A73" s="2">
        <v>100</v>
      </c>
      <c r="B73" s="2">
        <v>0.91669999999999996</v>
      </c>
      <c r="D73" s="2">
        <v>100</v>
      </c>
      <c r="E73" s="2">
        <f t="shared" ref="E73" si="0">1.62/100</f>
        <v>1.6200000000000003E-2</v>
      </c>
    </row>
    <row r="74" spans="1:5" x14ac:dyDescent="0.25">
      <c r="D74" s="2"/>
      <c r="E74" s="2"/>
    </row>
    <row r="75" spans="1:5" x14ac:dyDescent="0.25">
      <c r="D75" s="1" t="s">
        <v>62</v>
      </c>
    </row>
    <row r="76" spans="1:5" x14ac:dyDescent="0.25">
      <c r="D76" s="7" t="s">
        <v>77</v>
      </c>
      <c r="E76" s="8" t="s">
        <v>35</v>
      </c>
    </row>
    <row r="77" spans="1:5" x14ac:dyDescent="0.25">
      <c r="D77" s="9">
        <v>100</v>
      </c>
      <c r="E77" s="10">
        <f>7.38/100</f>
        <v>7.3800000000000004E-2</v>
      </c>
    </row>
  </sheetData>
  <hyperlinks>
    <hyperlink ref="L4" r:id="rId1"/>
    <hyperlink ref="L3" r:id="rId2"/>
    <hyperlink ref="L5" r:id="rId3"/>
    <hyperlink ref="L6" r:id="rId4"/>
    <hyperlink ref="L7" r:id="rId5"/>
    <hyperlink ref="L8" r:id="rId6"/>
    <hyperlink ref="L9" r:id="rId7"/>
    <hyperlink ref="L10" r:id="rId8"/>
    <hyperlink ref="L13" r:id="rId9"/>
    <hyperlink ref="L11" r:id="rId10"/>
    <hyperlink ref="L12" r:id="rId11"/>
    <hyperlink ref="L14" r:id="rId12"/>
    <hyperlink ref="D75" r:id="rId13"/>
    <hyperlink ref="D71" r:id="rId14" display="https://www.aliexpress.com/item/100-pcs-5050-RGB-SMD-LED-RED-BLUE-GREEN-SMT-LED-PLCC-6-3-CHIPS-Light/32598851549.html?spm=2114.search0104.3.23.60253d47x6ezif&amp;ws_ab_test=searchweb0_0,searchweb201602_4_10065_10068_10130_10890_10547_319_10546_317_10548_10545_10696_453_10084_454_10083_10618_10307_538_537_536_10059_10884_10887_100031_321_322_10103-10890,searchweb201603_51,ppcSwitch_0&amp;algo_expid=5cbc6a83-22dc-4bec-a47d-bf5c9ff1afe1-3&amp;algo_pvid=5cbc6a83-22dc-4bec-a47d-bf5c9ff1afe1"/>
    <hyperlink ref="D66" r:id="rId15"/>
    <hyperlink ref="E15" r:id="rId16"/>
    <hyperlink ref="E16" r:id="rId17"/>
    <hyperlink ref="L15" r:id="rId18"/>
    <hyperlink ref="L16" r:id="rId19"/>
    <hyperlink ref="E17" r:id="rId20"/>
    <hyperlink ref="L17" r:id="rId21"/>
  </hyperlinks>
  <pageMargins left="0.7" right="0.7" top="0.75" bottom="0.75" header="0.3" footer="0.3"/>
  <pageSetup orientation="portrait" horizontalDpi="4294967293" verticalDpi="4294967293" r:id="rId22"/>
  <drawing r:id="rId23"/>
  <tableParts count="12"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LED_grid_controllers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Sims</dc:creator>
  <cp:lastModifiedBy>Ryan Sims</cp:lastModifiedBy>
  <dcterms:created xsi:type="dcterms:W3CDTF">2018-12-09T03:47:09Z</dcterms:created>
  <dcterms:modified xsi:type="dcterms:W3CDTF">2018-12-09T03:53:08Z</dcterms:modified>
</cp:coreProperties>
</file>