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4"/>
  <workbookPr hidePivotFieldList="1"/>
  <mc:AlternateContent xmlns:mc="http://schemas.openxmlformats.org/markup-compatibility/2006">
    <mc:Choice Requires="x15">
      <x15ac:absPath xmlns:x15ac="http://schemas.microsoft.com/office/spreadsheetml/2010/11/ac" url="/Users/ryanlattanzi/Desktop/Fall 2018/STAT 435/Project/"/>
    </mc:Choice>
  </mc:AlternateContent>
  <xr:revisionPtr revIDLastSave="0" documentId="13_ncr:1_{1AC0E9CA-9B53-7C4F-BDAE-E08E82C6BF39}" xr6:coauthVersionLast="38" xr6:coauthVersionMax="38" xr10:uidLastSave="{00000000-0000-0000-0000-000000000000}"/>
  <bookViews>
    <workbookView xWindow="0" yWindow="460" windowWidth="25600" windowHeight="15540" firstSheet="2" activeTab="2" xr2:uid="{00000000-000D-0000-FFFF-FFFF00000000}"/>
  </bookViews>
  <sheets>
    <sheet name="READ ME" sheetId="12" r:id="rId1"/>
    <sheet name="Initial Distillation" sheetId="10" r:id="rId2"/>
    <sheet name="Dropdown Data" sheetId="13" r:id="rId3"/>
    <sheet name="17-18 Visits" sheetId="9" r:id="rId4"/>
    <sheet name="17-18 Visits Peak Season" sheetId="11" r:id="rId5"/>
    <sheet name="Mondays 16-17" sheetId="4" r:id="rId6"/>
    <sheet name="Sundays 16-17" sheetId="3" r:id="rId7"/>
    <sheet name="16-17 Season Pivot" sheetId="2" r:id="rId8"/>
    <sheet name="Skier Visits 16-17" sheetId="1" r:id="rId9"/>
    <sheet name="15-16 Pivot" sheetId="6" r:id="rId10"/>
    <sheet name="Skier Visits 15-16" sheetId="5" r:id="rId11"/>
    <sheet name="13-14 Pivot" sheetId="8" r:id="rId12"/>
    <sheet name="Skier Visits 13-14" sheetId="7" r:id="rId13"/>
  </sheets>
  <calcPr calcId="179021" iterateCount="4000" concurrentCalc="0"/>
  <pivotCaches>
    <pivotCache cacheId="0" r:id="rId14"/>
    <pivotCache cacheId="1" r:id="rId15"/>
    <pivotCache cacheId="2" r:id="rId16"/>
    <pivotCache cacheId="3" r:id="rId1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1" i="7" l="1"/>
  <c r="C22" i="7"/>
  <c r="C23" i="7"/>
  <c r="C24" i="7"/>
  <c r="C25" i="7"/>
  <c r="C26" i="7"/>
  <c r="C27" i="7"/>
  <c r="C35" i="7"/>
  <c r="E2" i="10"/>
  <c r="H9" i="10"/>
  <c r="H10" i="10"/>
  <c r="H11" i="10"/>
  <c r="H12" i="10"/>
  <c r="H14" i="10"/>
  <c r="E19" i="10"/>
  <c r="B19" i="10"/>
  <c r="C19" i="10"/>
  <c r="D19" i="10"/>
  <c r="H13" i="10"/>
  <c r="A19" i="10"/>
  <c r="F19" i="10"/>
  <c r="F23" i="10"/>
  <c r="H16" i="10"/>
  <c r="F22" i="10"/>
  <c r="B2" i="7"/>
  <c r="F160" i="9"/>
  <c r="F159" i="9"/>
  <c r="F158" i="9"/>
  <c r="F157" i="9"/>
  <c r="F156" i="9"/>
  <c r="F155" i="9"/>
  <c r="F154" i="9"/>
  <c r="F153" i="9"/>
  <c r="F152" i="9"/>
  <c r="F151" i="9"/>
  <c r="F150" i="9"/>
  <c r="F149" i="9"/>
  <c r="F148" i="9"/>
  <c r="F147" i="9"/>
  <c r="F146" i="9"/>
  <c r="F145" i="9"/>
  <c r="F144" i="9"/>
  <c r="F143" i="9"/>
  <c r="F142" i="9"/>
  <c r="F141" i="9"/>
  <c r="F140" i="9"/>
  <c r="D2" i="10"/>
  <c r="F98" i="11"/>
  <c r="F99" i="11"/>
  <c r="F100" i="11"/>
  <c r="F101" i="11"/>
  <c r="F102" i="11"/>
  <c r="F22" i="11"/>
  <c r="F23" i="11"/>
  <c r="F24" i="11"/>
  <c r="F97" i="11"/>
  <c r="F96" i="11"/>
  <c r="F95" i="11"/>
  <c r="F94" i="11"/>
  <c r="F93" i="11"/>
  <c r="F92" i="11"/>
  <c r="F91" i="11"/>
  <c r="F90" i="11"/>
  <c r="F89" i="11"/>
  <c r="F88" i="11"/>
  <c r="F87" i="11"/>
  <c r="F86" i="11"/>
  <c r="F85" i="11"/>
  <c r="F84" i="11"/>
  <c r="F83" i="11"/>
  <c r="F82" i="11"/>
  <c r="F81" i="11"/>
  <c r="F80" i="11"/>
  <c r="F79" i="11"/>
  <c r="F78" i="11"/>
  <c r="F77" i="11"/>
  <c r="F76" i="11"/>
  <c r="F75" i="11"/>
  <c r="F74" i="11"/>
  <c r="F73" i="11"/>
  <c r="F72" i="11"/>
  <c r="F71" i="11"/>
  <c r="F70" i="11"/>
  <c r="F69" i="11"/>
  <c r="F68" i="11"/>
  <c r="F67" i="11"/>
  <c r="F66" i="11"/>
  <c r="C65" i="11"/>
  <c r="D65" i="11"/>
  <c r="F65" i="11"/>
  <c r="F64" i="11"/>
  <c r="F63" i="11"/>
  <c r="F62" i="11"/>
  <c r="F61" i="11"/>
  <c r="F60" i="11"/>
  <c r="F59" i="11"/>
  <c r="F58" i="11"/>
  <c r="F57" i="11"/>
  <c r="F56" i="11"/>
  <c r="F55" i="11"/>
  <c r="F54" i="11"/>
  <c r="C53" i="11"/>
  <c r="F53" i="11"/>
  <c r="F52" i="11"/>
  <c r="F51" i="11"/>
  <c r="F50" i="11"/>
  <c r="F49" i="11"/>
  <c r="F48" i="11"/>
  <c r="C47" i="11"/>
  <c r="F47" i="11"/>
  <c r="C46" i="11"/>
  <c r="F46" i="11"/>
  <c r="F45" i="11"/>
  <c r="F44" i="11"/>
  <c r="F43" i="11"/>
  <c r="F42" i="11"/>
  <c r="F41" i="11"/>
  <c r="C40" i="11"/>
  <c r="F40" i="11"/>
  <c r="C39" i="11"/>
  <c r="F39" i="11"/>
  <c r="F38" i="11"/>
  <c r="F37" i="11"/>
  <c r="F36" i="11"/>
  <c r="F35" i="11"/>
  <c r="F34" i="11"/>
  <c r="C33" i="11"/>
  <c r="F33" i="11"/>
  <c r="C32" i="11"/>
  <c r="F32" i="11"/>
  <c r="F31" i="11"/>
  <c r="F30" i="11"/>
  <c r="F29" i="11"/>
  <c r="F28" i="11"/>
  <c r="F27" i="11"/>
  <c r="C26" i="11"/>
  <c r="F26" i="11"/>
  <c r="C25" i="11"/>
  <c r="F25" i="11"/>
  <c r="F21" i="11"/>
  <c r="F20" i="11"/>
  <c r="C19" i="11"/>
  <c r="F19" i="11"/>
  <c r="C18" i="11"/>
  <c r="F18" i="11"/>
  <c r="C17" i="11"/>
  <c r="F17" i="11"/>
  <c r="F16" i="11"/>
  <c r="F15" i="11"/>
  <c r="F14" i="11"/>
  <c r="F13" i="11"/>
  <c r="F12" i="11"/>
  <c r="F11" i="11"/>
  <c r="F10" i="11"/>
  <c r="F9" i="11"/>
  <c r="F8" i="11"/>
  <c r="F7" i="11"/>
  <c r="F6" i="11"/>
  <c r="F5" i="11"/>
  <c r="F4" i="11"/>
  <c r="F3" i="11"/>
  <c r="F2" i="11"/>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C107" i="9"/>
  <c r="D107" i="9"/>
  <c r="F107" i="9"/>
  <c r="F106" i="9"/>
  <c r="F105" i="9"/>
  <c r="F104" i="9"/>
  <c r="F103" i="9"/>
  <c r="F102" i="9"/>
  <c r="F101" i="9"/>
  <c r="F100" i="9"/>
  <c r="F99" i="9"/>
  <c r="F98" i="9"/>
  <c r="F97" i="9"/>
  <c r="F96" i="9"/>
  <c r="C95" i="9"/>
  <c r="F95" i="9"/>
  <c r="F94" i="9"/>
  <c r="F93" i="9"/>
  <c r="F92" i="9"/>
  <c r="F91" i="9"/>
  <c r="F90" i="9"/>
  <c r="C89" i="9"/>
  <c r="F89" i="9"/>
  <c r="C88" i="9"/>
  <c r="F88" i="9"/>
  <c r="F87" i="9"/>
  <c r="F86" i="9"/>
  <c r="F85" i="9"/>
  <c r="F84" i="9"/>
  <c r="F83" i="9"/>
  <c r="C82" i="9"/>
  <c r="F82" i="9"/>
  <c r="C81" i="9"/>
  <c r="F81" i="9"/>
  <c r="F80" i="9"/>
  <c r="F79" i="9"/>
  <c r="F78" i="9"/>
  <c r="F77" i="9"/>
  <c r="F76" i="9"/>
  <c r="C75" i="9"/>
  <c r="F75" i="9"/>
  <c r="C74" i="9"/>
  <c r="F74" i="9"/>
  <c r="F73" i="9"/>
  <c r="F72" i="9"/>
  <c r="F71" i="9"/>
  <c r="F70" i="9"/>
  <c r="F69" i="9"/>
  <c r="C68" i="9"/>
  <c r="F68" i="9"/>
  <c r="C67" i="9"/>
  <c r="F67" i="9"/>
  <c r="F66" i="9"/>
  <c r="F65" i="9"/>
  <c r="F64" i="9"/>
  <c r="F63" i="9"/>
  <c r="F62" i="9"/>
  <c r="C61" i="9"/>
  <c r="F61" i="9"/>
  <c r="C60" i="9"/>
  <c r="F60" i="9"/>
  <c r="F59" i="9"/>
  <c r="C58" i="9"/>
  <c r="F58" i="9"/>
  <c r="C57" i="9"/>
  <c r="F57" i="9"/>
  <c r="F56" i="9"/>
  <c r="F55" i="9"/>
  <c r="C54" i="9"/>
  <c r="F54" i="9"/>
  <c r="F53" i="9"/>
  <c r="C52" i="9"/>
  <c r="F52" i="9"/>
  <c r="C51" i="9"/>
  <c r="F51" i="9"/>
  <c r="C50"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B147" i="7"/>
  <c r="B146" i="7"/>
  <c r="A119" i="7"/>
  <c r="A120" i="7"/>
  <c r="A121" i="7"/>
  <c r="B121" i="7"/>
  <c r="A122" i="7"/>
  <c r="B122" i="7"/>
  <c r="A123" i="7"/>
  <c r="B123" i="7"/>
  <c r="A124" i="7"/>
  <c r="B124" i="7"/>
  <c r="B125" i="7"/>
  <c r="A126" i="7"/>
  <c r="B126" i="7"/>
  <c r="A127" i="7"/>
  <c r="B127" i="7"/>
  <c r="A128" i="7"/>
  <c r="B128" i="7"/>
  <c r="A129" i="7"/>
  <c r="B129" i="7"/>
  <c r="A130" i="7"/>
  <c r="B130" i="7"/>
  <c r="A131" i="7"/>
  <c r="B131" i="7"/>
  <c r="B132" i="7"/>
  <c r="A133" i="7"/>
  <c r="B133" i="7"/>
  <c r="A134" i="7"/>
  <c r="B134" i="7"/>
  <c r="A135" i="7"/>
  <c r="B135" i="7"/>
  <c r="A136" i="7"/>
  <c r="B136" i="7"/>
  <c r="A137" i="7"/>
  <c r="B137" i="7"/>
  <c r="A138" i="7"/>
  <c r="B138" i="7"/>
  <c r="B139" i="7"/>
  <c r="A140" i="7"/>
  <c r="B140" i="7"/>
  <c r="A141" i="7"/>
  <c r="B141" i="7"/>
  <c r="A142" i="7"/>
  <c r="B142" i="7"/>
  <c r="A143" i="7"/>
  <c r="B143" i="7"/>
  <c r="A144" i="7"/>
  <c r="B144" i="7"/>
  <c r="A145" i="7"/>
  <c r="B145" i="7"/>
  <c r="A98" i="7"/>
  <c r="A99" i="7"/>
  <c r="A100" i="7"/>
  <c r="A101" i="7"/>
  <c r="A102" i="7"/>
  <c r="A103" i="7"/>
  <c r="B103" i="7"/>
  <c r="B104" i="7"/>
  <c r="A105" i="7"/>
  <c r="B105" i="7"/>
  <c r="A106" i="7"/>
  <c r="B106" i="7"/>
  <c r="A107" i="7"/>
  <c r="B107" i="7"/>
  <c r="A108" i="7"/>
  <c r="B108" i="7"/>
  <c r="A109" i="7"/>
  <c r="B109" i="7"/>
  <c r="A110" i="7"/>
  <c r="B110" i="7"/>
  <c r="B111" i="7"/>
  <c r="A112" i="7"/>
  <c r="B112" i="7"/>
  <c r="A113" i="7"/>
  <c r="B113" i="7"/>
  <c r="A114" i="7"/>
  <c r="B114" i="7"/>
  <c r="A115" i="7"/>
  <c r="B115" i="7"/>
  <c r="A116" i="7"/>
  <c r="B116" i="7"/>
  <c r="A117" i="7"/>
  <c r="B117" i="7"/>
  <c r="B118" i="7"/>
  <c r="B119" i="7"/>
  <c r="B120" i="7"/>
  <c r="A91" i="7"/>
  <c r="A92" i="7"/>
  <c r="A93" i="7"/>
  <c r="A94" i="7"/>
  <c r="A95" i="7"/>
  <c r="B95" i="7"/>
  <c r="A96" i="7"/>
  <c r="B96" i="7"/>
  <c r="B97" i="7"/>
  <c r="B98" i="7"/>
  <c r="B99" i="7"/>
  <c r="B100" i="7"/>
  <c r="B101" i="7"/>
  <c r="B102" i="7"/>
  <c r="A85" i="7"/>
  <c r="B85" i="7"/>
  <c r="A86" i="7"/>
  <c r="B86" i="7"/>
  <c r="A87" i="7"/>
  <c r="B87" i="7"/>
  <c r="A88" i="7"/>
  <c r="B88" i="7"/>
  <c r="A89" i="7"/>
  <c r="B89" i="7"/>
  <c r="B90" i="7"/>
  <c r="B91" i="7"/>
  <c r="B92" i="7"/>
  <c r="B93" i="7"/>
  <c r="B94" i="7"/>
  <c r="B84" i="7"/>
  <c r="A78" i="7"/>
  <c r="A79" i="7"/>
  <c r="A80" i="7"/>
  <c r="A81" i="7"/>
  <c r="B81" i="7"/>
  <c r="A82" i="7"/>
  <c r="B82" i="7"/>
  <c r="A83" i="7"/>
  <c r="B83" i="7"/>
  <c r="A71" i="7"/>
  <c r="A72" i="7"/>
  <c r="A73" i="7"/>
  <c r="A74" i="7"/>
  <c r="A75" i="7"/>
  <c r="A76" i="7"/>
  <c r="B76" i="7"/>
  <c r="B77" i="7"/>
  <c r="B78" i="7"/>
  <c r="B79" i="7"/>
  <c r="B80" i="7"/>
  <c r="A68" i="7"/>
  <c r="A69" i="7"/>
  <c r="B69" i="7"/>
  <c r="B70" i="7"/>
  <c r="B71" i="7"/>
  <c r="B72" i="7"/>
  <c r="B73" i="7"/>
  <c r="B74" i="7"/>
  <c r="B75" i="7"/>
  <c r="B68" i="7"/>
  <c r="A64" i="7"/>
  <c r="B64" i="7"/>
  <c r="A65" i="7"/>
  <c r="B65" i="7"/>
  <c r="B66" i="7"/>
  <c r="B67" i="7"/>
  <c r="B56" i="7"/>
  <c r="A57" i="7"/>
  <c r="B57" i="7"/>
  <c r="A58" i="7"/>
  <c r="B58" i="7"/>
  <c r="A59" i="7"/>
  <c r="B59" i="7"/>
  <c r="A60" i="7"/>
  <c r="B60" i="7"/>
  <c r="A61" i="7"/>
  <c r="B61" i="7"/>
  <c r="A62" i="7"/>
  <c r="B62" i="7"/>
  <c r="B63" i="7"/>
  <c r="B55" i="7"/>
  <c r="B42" i="7"/>
  <c r="B43" i="7"/>
  <c r="B44" i="7"/>
  <c r="B45" i="7"/>
  <c r="B46" i="7"/>
  <c r="B47" i="7"/>
  <c r="B48" i="7"/>
  <c r="B49" i="7"/>
  <c r="B50" i="7"/>
  <c r="B51" i="7"/>
  <c r="B52" i="7"/>
  <c r="B53" i="7"/>
  <c r="B54" i="7"/>
  <c r="B38" i="7"/>
  <c r="B39" i="7"/>
  <c r="B40" i="7"/>
  <c r="B41" i="7"/>
  <c r="B3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7" i="7"/>
  <c r="B3" i="7"/>
  <c r="B4" i="7"/>
  <c r="B5" i="7"/>
  <c r="B6" i="7"/>
  <c r="C76" i="7"/>
  <c r="C75" i="7"/>
  <c r="C74" i="7"/>
  <c r="C73" i="7"/>
  <c r="C72" i="7"/>
  <c r="C71" i="7"/>
  <c r="C70" i="7"/>
  <c r="C65" i="7"/>
  <c r="C64" i="7"/>
  <c r="C63" i="7"/>
  <c r="C59" i="7"/>
  <c r="C58" i="7"/>
  <c r="C57" i="7"/>
  <c r="C56" i="7"/>
  <c r="C47" i="7"/>
  <c r="C46" i="7"/>
  <c r="C45" i="7"/>
  <c r="C44" i="7"/>
  <c r="C43" i="7"/>
  <c r="C42" i="7"/>
  <c r="C41" i="7"/>
  <c r="C40" i="7"/>
  <c r="C39" i="7"/>
  <c r="C38" i="7"/>
  <c r="C37" i="7"/>
  <c r="C36" i="7"/>
  <c r="C15" i="7"/>
  <c r="C13" i="7"/>
  <c r="C12" i="7"/>
  <c r="C11" i="7"/>
  <c r="C10" i="7"/>
  <c r="C9" i="7"/>
  <c r="C8" i="7"/>
  <c r="C7" i="7"/>
  <c r="C3" i="7"/>
  <c r="C2" i="7"/>
  <c r="F2" i="5"/>
  <c r="F3" i="5"/>
  <c r="F4" i="5"/>
  <c r="F5" i="5"/>
  <c r="F6" i="5"/>
  <c r="F7" i="5"/>
  <c r="C8" i="5"/>
  <c r="F8" i="5"/>
  <c r="C9" i="5"/>
  <c r="F9" i="5"/>
  <c r="C10" i="5"/>
  <c r="F10" i="5"/>
  <c r="F11" i="5"/>
  <c r="F12" i="5"/>
  <c r="F13" i="5"/>
  <c r="F14" i="5"/>
  <c r="C15" i="5"/>
  <c r="F15" i="5"/>
  <c r="C16" i="5"/>
  <c r="F16" i="5"/>
  <c r="C17" i="5"/>
  <c r="F17" i="5"/>
  <c r="F18" i="5"/>
  <c r="F19" i="5"/>
  <c r="F20" i="5"/>
  <c r="C21" i="5"/>
  <c r="F21" i="5"/>
  <c r="C22" i="5"/>
  <c r="F22" i="5"/>
  <c r="C23" i="5"/>
  <c r="F23" i="5"/>
  <c r="C24" i="5"/>
  <c r="F24" i="5"/>
  <c r="C25" i="5"/>
  <c r="F25" i="5"/>
  <c r="C26" i="5"/>
  <c r="F26" i="5"/>
  <c r="C27" i="5"/>
  <c r="F27" i="5"/>
  <c r="C28" i="5"/>
  <c r="F28" i="5"/>
  <c r="C29" i="5"/>
  <c r="F29" i="5"/>
  <c r="C30" i="5"/>
  <c r="F30" i="5"/>
  <c r="C31" i="5"/>
  <c r="F31" i="5"/>
  <c r="C32" i="5"/>
  <c r="F32" i="5"/>
  <c r="C33" i="5"/>
  <c r="F33" i="5"/>
  <c r="C34" i="5"/>
  <c r="F34" i="5"/>
  <c r="C35" i="5"/>
  <c r="F35" i="5"/>
  <c r="C36" i="5"/>
  <c r="F36" i="5"/>
  <c r="C37" i="5"/>
  <c r="F37" i="5"/>
  <c r="C38" i="5"/>
  <c r="F38" i="5"/>
  <c r="C39" i="5"/>
  <c r="F39" i="5"/>
  <c r="C40" i="5"/>
  <c r="F40" i="5"/>
  <c r="C41" i="5"/>
  <c r="F41" i="5"/>
  <c r="C42" i="5"/>
  <c r="F42" i="5"/>
  <c r="C43"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C83" i="5"/>
  <c r="F83" i="5"/>
  <c r="C84" i="5"/>
  <c r="F84" i="5"/>
  <c r="C85"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C115"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4" i="5"/>
  <c r="E154" i="5"/>
  <c r="D154" i="5"/>
  <c r="C154" i="5"/>
  <c r="H3" i="1"/>
  <c r="H4" i="1"/>
  <c r="F5" i="1"/>
  <c r="H5" i="1"/>
  <c r="H6" i="1"/>
  <c r="H7" i="1"/>
  <c r="H8" i="1"/>
  <c r="H9" i="1"/>
  <c r="H10" i="1"/>
  <c r="H11" i="1"/>
  <c r="F12" i="1"/>
  <c r="H12" i="1"/>
  <c r="H13" i="1"/>
  <c r="H14" i="1"/>
  <c r="H15" i="1"/>
  <c r="H16" i="1"/>
  <c r="H17" i="1"/>
  <c r="H18" i="1"/>
  <c r="F19" i="1"/>
  <c r="H19" i="1"/>
  <c r="H20" i="1"/>
  <c r="H21" i="1"/>
  <c r="H22" i="1"/>
  <c r="H23" i="1"/>
  <c r="H24" i="1"/>
  <c r="H25" i="1"/>
  <c r="F26" i="1"/>
  <c r="H26" i="1"/>
  <c r="H27" i="1"/>
  <c r="H28" i="1"/>
  <c r="H29" i="1"/>
  <c r="H30" i="1"/>
  <c r="H31" i="1"/>
  <c r="H32" i="1"/>
  <c r="F33" i="1"/>
  <c r="H33" i="1"/>
  <c r="H34" i="1"/>
  <c r="H35" i="1"/>
  <c r="H36" i="1"/>
  <c r="H37" i="1"/>
  <c r="H38" i="1"/>
  <c r="H39" i="1"/>
  <c r="F40" i="1"/>
  <c r="H40" i="1"/>
  <c r="H41" i="1"/>
  <c r="H42" i="1"/>
  <c r="H43" i="1"/>
  <c r="H44" i="1"/>
  <c r="H45" i="1"/>
  <c r="H46" i="1"/>
  <c r="F47" i="1"/>
  <c r="H47" i="1"/>
  <c r="H48" i="1"/>
  <c r="H49" i="1"/>
  <c r="H50" i="1"/>
  <c r="H51" i="1"/>
  <c r="H52" i="1"/>
  <c r="H53" i="1"/>
  <c r="F54" i="1"/>
  <c r="H54" i="1"/>
  <c r="H55" i="1"/>
  <c r="H56" i="1"/>
  <c r="H57" i="1"/>
  <c r="H58" i="1"/>
  <c r="H59" i="1"/>
  <c r="H60" i="1"/>
  <c r="F61" i="1"/>
  <c r="H61" i="1"/>
  <c r="H62" i="1"/>
  <c r="H63" i="1"/>
  <c r="H64" i="1"/>
  <c r="H65" i="1"/>
  <c r="H66" i="1"/>
  <c r="H67" i="1"/>
  <c r="C68" i="1"/>
  <c r="F68" i="1"/>
  <c r="H68" i="1"/>
  <c r="H69" i="1"/>
  <c r="H70" i="1"/>
  <c r="H71" i="1"/>
  <c r="H72" i="1"/>
  <c r="H73" i="1"/>
  <c r="H74" i="1"/>
  <c r="C75" i="1"/>
  <c r="F75" i="1"/>
  <c r="H75" i="1"/>
  <c r="H76" i="1"/>
  <c r="H77" i="1"/>
  <c r="H78" i="1"/>
  <c r="H79" i="1"/>
  <c r="H80" i="1"/>
  <c r="H81" i="1"/>
  <c r="C82" i="1"/>
  <c r="F82" i="1"/>
  <c r="H82" i="1"/>
  <c r="H83" i="1"/>
  <c r="H84" i="1"/>
  <c r="H85" i="1"/>
  <c r="H86" i="1"/>
  <c r="H87" i="1"/>
  <c r="H88" i="1"/>
  <c r="F89" i="1"/>
  <c r="H89" i="1"/>
  <c r="H90" i="1"/>
  <c r="H91" i="1"/>
  <c r="H92" i="1"/>
  <c r="H93" i="1"/>
  <c r="H94" i="1"/>
  <c r="H95" i="1"/>
  <c r="F96" i="1"/>
  <c r="H96" i="1"/>
  <c r="H97" i="1"/>
  <c r="H98" i="1"/>
  <c r="H99" i="1"/>
  <c r="H100" i="1"/>
  <c r="H101" i="1"/>
  <c r="H102" i="1"/>
  <c r="F103" i="1"/>
  <c r="H103" i="1"/>
  <c r="H104" i="1"/>
  <c r="H105" i="1"/>
  <c r="H106" i="1"/>
  <c r="H107" i="1"/>
  <c r="H108" i="1"/>
  <c r="H109" i="1"/>
  <c r="F110" i="1"/>
  <c r="H110" i="1"/>
  <c r="H111" i="1"/>
  <c r="H112" i="1"/>
  <c r="H113" i="1"/>
  <c r="H114" i="1"/>
  <c r="H115" i="1"/>
  <c r="H116" i="1"/>
  <c r="F117" i="1"/>
  <c r="H117" i="1"/>
  <c r="H118" i="1"/>
  <c r="H119" i="1"/>
  <c r="H120" i="1"/>
  <c r="H121" i="1"/>
  <c r="H122" i="1"/>
  <c r="H123" i="1"/>
  <c r="F124" i="1"/>
  <c r="H124" i="1"/>
  <c r="H125" i="1"/>
  <c r="H126" i="1"/>
  <c r="H127" i="1"/>
  <c r="H128" i="1"/>
  <c r="H129" i="1"/>
  <c r="H130" i="1"/>
  <c r="F131" i="1"/>
  <c r="H131" i="1"/>
  <c r="H132" i="1"/>
  <c r="H133" i="1"/>
  <c r="H134" i="1"/>
  <c r="H135" i="1"/>
  <c r="H136" i="1"/>
  <c r="H137" i="1"/>
  <c r="F138" i="1"/>
  <c r="H138" i="1"/>
  <c r="H139" i="1"/>
  <c r="H140" i="1"/>
  <c r="H141" i="1"/>
  <c r="H142" i="1"/>
  <c r="H143" i="1"/>
  <c r="H144" i="1"/>
  <c r="F145" i="1"/>
  <c r="H145" i="1"/>
  <c r="H146" i="1"/>
  <c r="H147" i="1"/>
  <c r="H148" i="1"/>
  <c r="H149" i="1"/>
  <c r="H150" i="1"/>
  <c r="H151" i="1"/>
  <c r="H2" i="1"/>
  <c r="F2" i="1"/>
  <c r="F3" i="1"/>
  <c r="F4" i="1"/>
  <c r="F6" i="1"/>
  <c r="F7" i="1"/>
  <c r="F8" i="1"/>
  <c r="F9" i="1"/>
  <c r="F10" i="1"/>
  <c r="F11" i="1"/>
  <c r="F13" i="1"/>
  <c r="F14" i="1"/>
  <c r="F15" i="1"/>
  <c r="F16" i="1"/>
  <c r="F17" i="1"/>
  <c r="F18" i="1"/>
  <c r="F20" i="1"/>
  <c r="F21" i="1"/>
  <c r="F22" i="1"/>
  <c r="F23" i="1"/>
  <c r="F24" i="1"/>
  <c r="F25" i="1"/>
  <c r="F27" i="1"/>
  <c r="F28" i="1"/>
  <c r="F29" i="1"/>
  <c r="F30" i="1"/>
  <c r="F31" i="1"/>
  <c r="F32" i="1"/>
  <c r="F34" i="1"/>
  <c r="F35" i="1"/>
  <c r="F36" i="1"/>
  <c r="F37" i="1"/>
  <c r="F38" i="1"/>
  <c r="F39" i="1"/>
  <c r="F41" i="1"/>
  <c r="F42" i="1"/>
  <c r="F43" i="1"/>
  <c r="C44" i="1"/>
  <c r="F44" i="1"/>
  <c r="F45" i="1"/>
  <c r="C46" i="1"/>
  <c r="F46" i="1"/>
  <c r="F48" i="1"/>
  <c r="F49" i="1"/>
  <c r="F50" i="1"/>
  <c r="C51" i="1"/>
  <c r="F51" i="1"/>
  <c r="F52" i="1"/>
  <c r="C53" i="1"/>
  <c r="F53" i="1"/>
  <c r="F55" i="1"/>
  <c r="F56" i="1"/>
  <c r="F57" i="1"/>
  <c r="C58" i="1"/>
  <c r="F58" i="1"/>
  <c r="C59" i="1"/>
  <c r="F59" i="1"/>
  <c r="C60" i="1"/>
  <c r="F60" i="1"/>
  <c r="F62" i="1"/>
  <c r="C63" i="1"/>
  <c r="F63" i="1"/>
  <c r="F64" i="1"/>
  <c r="C65" i="1"/>
  <c r="F65" i="1"/>
  <c r="C66" i="1"/>
  <c r="F66" i="1"/>
  <c r="C67" i="1"/>
  <c r="F67" i="1"/>
  <c r="F69" i="1"/>
  <c r="C70" i="1"/>
  <c r="F70" i="1"/>
  <c r="C71" i="1"/>
  <c r="F71" i="1"/>
  <c r="C72" i="1"/>
  <c r="F72" i="1"/>
  <c r="C73" i="1"/>
  <c r="F73" i="1"/>
  <c r="C74" i="1"/>
  <c r="F74" i="1"/>
  <c r="F76" i="1"/>
  <c r="C77" i="1"/>
  <c r="F77" i="1"/>
  <c r="C78" i="1"/>
  <c r="F78" i="1"/>
  <c r="C79" i="1"/>
  <c r="F79" i="1"/>
  <c r="C80" i="1"/>
  <c r="F80" i="1"/>
  <c r="C81" i="1"/>
  <c r="F81" i="1"/>
  <c r="F83" i="1"/>
  <c r="F84" i="1"/>
  <c r="F85" i="1"/>
  <c r="C86" i="1"/>
  <c r="F86" i="1"/>
  <c r="F87" i="1"/>
  <c r="F88" i="1"/>
  <c r="F90" i="1"/>
  <c r="F91" i="1"/>
  <c r="F92" i="1"/>
  <c r="C93" i="1"/>
  <c r="F93" i="1"/>
  <c r="C94" i="1"/>
  <c r="F94" i="1"/>
  <c r="F95" i="1"/>
  <c r="F97" i="1"/>
  <c r="C98" i="1"/>
  <c r="F98" i="1"/>
  <c r="F99" i="1"/>
  <c r="F100" i="1"/>
  <c r="C101" i="1"/>
  <c r="F101" i="1"/>
  <c r="F102" i="1"/>
  <c r="C104" i="1"/>
  <c r="F104" i="1"/>
  <c r="F105" i="1"/>
  <c r="F106" i="1"/>
  <c r="F107" i="1"/>
  <c r="F108" i="1"/>
  <c r="F109" i="1"/>
  <c r="F111" i="1"/>
  <c r="F112" i="1"/>
  <c r="F113" i="1"/>
  <c r="F114" i="1"/>
  <c r="F115" i="1"/>
  <c r="F116" i="1"/>
  <c r="F118" i="1"/>
  <c r="F119" i="1"/>
  <c r="F120" i="1"/>
  <c r="F121" i="1"/>
  <c r="F122" i="1"/>
  <c r="F123" i="1"/>
  <c r="F125" i="1"/>
  <c r="F126" i="1"/>
  <c r="F127" i="1"/>
  <c r="F128" i="1"/>
  <c r="F129" i="1"/>
  <c r="F130" i="1"/>
  <c r="F132" i="1"/>
  <c r="F133" i="1"/>
  <c r="F134" i="1"/>
  <c r="F135" i="1"/>
  <c r="F136" i="1"/>
  <c r="F137" i="1"/>
  <c r="F139" i="1"/>
  <c r="F140" i="1"/>
  <c r="F141" i="1"/>
  <c r="F142" i="1"/>
  <c r="F143" i="1"/>
  <c r="F144" i="1"/>
  <c r="F146" i="1"/>
  <c r="F147" i="1"/>
  <c r="F148" i="1"/>
  <c r="F149" i="1"/>
  <c r="F150" i="1"/>
  <c r="F151" i="1"/>
  <c r="F152" i="1"/>
  <c r="E152" i="1"/>
  <c r="D152" i="1"/>
  <c r="C15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Plichta, Steve</author>
  </authors>
  <commentList>
    <comment ref="E2" authorId="0" shapeId="0" xr:uid="{00000000-0006-0000-0100-000001000000}">
      <text>
        <r>
          <rPr>
            <b/>
            <sz val="9"/>
            <color indexed="81"/>
            <rFont val="Tahoma"/>
            <family val="2"/>
          </rPr>
          <t>Plichta, Steve:</t>
        </r>
        <r>
          <rPr>
            <sz val="9"/>
            <color indexed="81"/>
            <rFont val="Tahoma"/>
            <family val="2"/>
          </rPr>
          <t xml:space="preserve">
This cell is set to change color when a 6 (Friday) is indicated but the day of the week is not Friday.  This is done because one of the elements of this sheet is that it estimates weekdays near the holidays behave like Fridays.  So, if this cell changes color its because the sheet will be estimating the visits as a Friday.</t>
        </r>
      </text>
    </comment>
    <comment ref="A3" authorId="0" shapeId="0" xr:uid="{00000000-0006-0000-0100-000002000000}">
      <text>
        <r>
          <rPr>
            <b/>
            <sz val="9"/>
            <color indexed="81"/>
            <rFont val="Tahoma"/>
            <family val="2"/>
          </rPr>
          <t>Plichta, Steve:</t>
        </r>
        <r>
          <rPr>
            <sz val="9"/>
            <color indexed="81"/>
            <rFont val="Tahoma"/>
            <family val="2"/>
          </rPr>
          <t xml:space="preserve">
Weather (1 worst - 5 ideal) - This tends to be the most potent effect.  While a little subjective due to the many variables with weather, rely on experience and simplify.  The guidelines are:
*Use 48 hour snow, if it is greater than 16" score high
*Consider Clouds or Sun, sunny weather score high(er) clouds do nothing or lower
*Temps. should adjust the previous two, cold means score higher
*Rain = Score 2 or lower
*Wind that will impact lift operations, score at 1 especially with rain.
So an example 5 score would be 18" over three days that fell below 29 F and sunny weather.  To score this same scenario as a 4 take away the sunny weather.  Or score a 4 for snowing with clouds not impacting visibility.  Rain will always be a lower score and if winds are predicted as well this would be a 1.  A weather score of 3 should be applied to any day where nothing drastic is going on, for instance - it hasn't snowed much in several days and it's cloudy.  Score a 3 for a day when the freezing level will rise late day.  A sunny day well after a storm (where temps have remained cold) might as well be a 4, but not a 5. </t>
        </r>
      </text>
    </comment>
    <comment ref="A4" authorId="0" shapeId="0" xr:uid="{00000000-0006-0000-0100-000003000000}">
      <text>
        <r>
          <rPr>
            <b/>
            <sz val="9"/>
            <color indexed="81"/>
            <rFont val="Tahoma"/>
            <family val="2"/>
          </rPr>
          <t>Plichta, Steve:</t>
        </r>
        <r>
          <rPr>
            <sz val="9"/>
            <color indexed="81"/>
            <rFont val="Tahoma"/>
            <family val="2"/>
          </rPr>
          <t xml:space="preserve">
Acknowleges that we have planned closures of venues, chairs, and territory.  This element enhances several of the other scores.  Time of Year effect for instance, operating only the Gondola and Green Valley chair with Discovery open on man-made snow (opening weekend) would be a good example of a 2.  A score of 3 could substitute for the operational score of 2 described above (Green Valley/Disco), but with the ability to ski to the base.  Or, operational scheme can enhance a poor weather score like when we know conditions will force closure of upper mountain, score this as a 1.  On the contrary all chairs, venues, and terrain is a 5.  A good example of a  4 would be everything but Northway/Quicksilver/Gold Hills.  A 3 would be like a Monday/Tuesday in late Season wherein Summit House/Northway/Quicksilver/Cafe/Fireside/RDL and others are closed but a lot of terrain is available.  
</t>
        </r>
      </text>
    </comment>
    <comment ref="A5" authorId="0" shapeId="0" xr:uid="{00000000-0006-0000-0100-000004000000}">
      <text>
        <r>
          <rPr>
            <b/>
            <sz val="9"/>
            <color indexed="81"/>
            <rFont val="Tahoma"/>
            <family val="2"/>
          </rPr>
          <t>Plichta, Steve:</t>
        </r>
        <r>
          <rPr>
            <sz val="9"/>
            <color indexed="81"/>
            <rFont val="Tahoma"/>
            <family val="2"/>
          </rPr>
          <t xml:space="preserve">
Groups/Events/Busses (1-4) - Aknowledges the impact of these because there are occasions when these are layered on top of each other and occasions where there are none or only one.  Multi-weeks would be a consideration here as well.  
To score 4 consider a day like Saturday Dec. 30th 2018 where all 4 would be present (busses, multiweeks, Snowshoe Tour, and Music on the Sun Deck).   A score of 1 would make sense in April of 2018 when the Mike Brooks Bobble Heads and Brews was held on a Saturday but there were no busses, groups, or multi-week lessons.  Similary, on the day of the Freeride World Qualifiers, Demo day was also going on along with another event that evening, and an MTR bus was scheduled so this would be a 4.  Density of the events is how this should be scored, to get a 3 imagine a weekend day with busses and multi-weeks but no Snowshoe tours, parties in the Bullwheel, or corporate groups.
</t>
        </r>
      </text>
    </comment>
    <comment ref="A6" authorId="0" shapeId="0" xr:uid="{00000000-0006-0000-0100-000005000000}">
      <text>
        <r>
          <rPr>
            <b/>
            <sz val="9"/>
            <color indexed="81"/>
            <rFont val="Tahoma"/>
            <family val="2"/>
          </rPr>
          <t>Plichta, Steve:</t>
        </r>
        <r>
          <rPr>
            <sz val="9"/>
            <color indexed="81"/>
            <rFont val="Tahoma"/>
            <family val="2"/>
          </rPr>
          <t xml:space="preserve">
Is essentially an aknowlegement of the classic Early (1), Peak (2), Mid (3), and Late (4) designations often used over a winter.  Apply Peak score (2) to the typical holiday weeks/weekends MLK Day, Presidents Day, a few days on each side of Christmas to New Years etc.  Midseason mostly lives after New Years and until approximately April.  </t>
        </r>
      </text>
    </comment>
  </commentList>
</comments>
</file>

<file path=xl/sharedStrings.xml><?xml version="1.0" encoding="utf-8"?>
<sst xmlns="http://schemas.openxmlformats.org/spreadsheetml/2006/main" count="782" uniqueCount="152">
  <si>
    <t>Date</t>
  </si>
  <si>
    <t>Lift Tickets</t>
  </si>
  <si>
    <t>Scenic Rides</t>
  </si>
  <si>
    <t>Season Passes</t>
  </si>
  <si>
    <t>Friday</t>
  </si>
  <si>
    <t>Saturday</t>
  </si>
  <si>
    <t>Sunday</t>
  </si>
  <si>
    <t>Monday</t>
  </si>
  <si>
    <t>Tuesday</t>
  </si>
  <si>
    <t>Wednesday</t>
  </si>
  <si>
    <t>Thursday</t>
  </si>
  <si>
    <t xml:space="preserve">Friday </t>
  </si>
  <si>
    <t xml:space="preserve">Total Revenue Visits </t>
  </si>
  <si>
    <t>Day of Week</t>
  </si>
  <si>
    <t>Row Labels</t>
  </si>
  <si>
    <t>Grand Total</t>
  </si>
  <si>
    <t xml:space="preserve">Sum of Total Revenue Visits </t>
  </si>
  <si>
    <t>Total Revenue Visits</t>
  </si>
  <si>
    <t>16/17 Sundays</t>
  </si>
  <si>
    <t>Mondays</t>
  </si>
  <si>
    <t>3day Precip</t>
  </si>
  <si>
    <t>3day Temp</t>
  </si>
  <si>
    <t xml:space="preserve">Average of Total Revenue Visits </t>
  </si>
  <si>
    <t>YTD by Category</t>
  </si>
  <si>
    <t>Visits</t>
  </si>
  <si>
    <t>Average of Visits</t>
  </si>
  <si>
    <t>17-18</t>
  </si>
  <si>
    <t>16-17</t>
  </si>
  <si>
    <t>15-16</t>
  </si>
  <si>
    <t>13-14</t>
  </si>
  <si>
    <t>x2</t>
  </si>
  <si>
    <t>Season Base</t>
  </si>
  <si>
    <t>Date to Predict</t>
  </si>
  <si>
    <t>Prediction</t>
  </si>
  <si>
    <t>-x</t>
  </si>
  <si>
    <t>+ last term</t>
  </si>
  <si>
    <t>Average</t>
  </si>
  <si>
    <t>St. Dev.</t>
  </si>
  <si>
    <t>Weather Score</t>
  </si>
  <si>
    <t>Operational Scheme Score</t>
  </si>
  <si>
    <t>Test Data</t>
  </si>
  <si>
    <t>Dec 21 2017</t>
  </si>
  <si>
    <t>Operational Scheme = Full</t>
  </si>
  <si>
    <t>Actual Temps Noon base/summit = 29/24</t>
  </si>
  <si>
    <t>Snowfall = 17+16 prev 48 hours</t>
  </si>
  <si>
    <t>Day Number</t>
  </si>
  <si>
    <t>Snowfall = 10 + 1 previous 48 hours</t>
  </si>
  <si>
    <t>Actual Temps Noon base/summit = 26/40</t>
  </si>
  <si>
    <t>Group/Bus/Event(s) Score</t>
  </si>
  <si>
    <t>Weather</t>
  </si>
  <si>
    <t>Ops</t>
  </si>
  <si>
    <t>Gr./Ev./Bus</t>
  </si>
  <si>
    <t>Time Of Year Score</t>
  </si>
  <si>
    <t>T.O.Y.</t>
  </si>
  <si>
    <t>x4</t>
  </si>
  <si>
    <t>-x3</t>
  </si>
  <si>
    <t>Snowfall = 3 + 2 prev. 48 hours</t>
  </si>
  <si>
    <t>Actual Temps Noon base/summit 17/12</t>
  </si>
  <si>
    <t>Avg. Pred.</t>
  </si>
  <si>
    <t>CARS</t>
  </si>
  <si>
    <t>Cars Pred.</t>
  </si>
  <si>
    <t>Adj. Pred.</t>
  </si>
  <si>
    <t>Sunny</t>
  </si>
  <si>
    <t>Clouds</t>
  </si>
  <si>
    <t>Rain</t>
  </si>
  <si>
    <t>Snow</t>
  </si>
  <si>
    <t>Clouds or Sun</t>
  </si>
  <si>
    <t>Fog</t>
  </si>
  <si>
    <t>48 Hour Snow</t>
  </si>
  <si>
    <t>Trace</t>
  </si>
  <si>
    <t>Less than 6"</t>
  </si>
  <si>
    <t>More than 6"</t>
  </si>
  <si>
    <t>More than 10"</t>
  </si>
  <si>
    <t>Precipitation Type</t>
  </si>
  <si>
    <t>Snain</t>
  </si>
  <si>
    <t>Freezing Level</t>
  </si>
  <si>
    <t>Deep Stuff</t>
  </si>
  <si>
    <t>None</t>
  </si>
  <si>
    <t>Mid-Mountain</t>
  </si>
  <si>
    <t>Base Area</t>
  </si>
  <si>
    <t>Greenwater</t>
  </si>
  <si>
    <t>Summit</t>
  </si>
  <si>
    <t xml:space="preserve">WEATHER Scoring </t>
  </si>
  <si>
    <t>Band</t>
  </si>
  <si>
    <t>Busses</t>
  </si>
  <si>
    <t>One</t>
  </si>
  <si>
    <t>Two</t>
  </si>
  <si>
    <t>Three</t>
  </si>
  <si>
    <t>Four</t>
  </si>
  <si>
    <t>Five and Up</t>
  </si>
  <si>
    <t>Events</t>
  </si>
  <si>
    <t>Competition</t>
  </si>
  <si>
    <t>Group Less than 30</t>
  </si>
  <si>
    <t>Group More than 30</t>
  </si>
  <si>
    <t>Snowshoe Tour</t>
  </si>
  <si>
    <t>Group</t>
  </si>
  <si>
    <t>2 of the Above</t>
  </si>
  <si>
    <t>All of the Above</t>
  </si>
  <si>
    <t>Multi-weeks</t>
  </si>
  <si>
    <t>More than Four</t>
  </si>
  <si>
    <t>Groups/Events/Busses Scoring</t>
  </si>
  <si>
    <t>Sponsored Event</t>
  </si>
  <si>
    <t>Time of Year</t>
  </si>
  <si>
    <t>Early/before Dec. 22</t>
  </si>
  <si>
    <t>Peak/Holiday</t>
  </si>
  <si>
    <t>Mid Season</t>
  </si>
  <si>
    <t>Late Season</t>
  </si>
  <si>
    <t>Are the Seahawks Playing</t>
  </si>
  <si>
    <t>Yes</t>
  </si>
  <si>
    <t>No</t>
  </si>
  <si>
    <t>Playoff Game Away</t>
  </si>
  <si>
    <t>Playoff Game Home</t>
  </si>
  <si>
    <t>Wind Affecting Upper Mountain</t>
  </si>
  <si>
    <t>Venue Closure</t>
  </si>
  <si>
    <t>Summit House</t>
  </si>
  <si>
    <t>Campbell</t>
  </si>
  <si>
    <t>Fireside</t>
  </si>
  <si>
    <t>Back County Closure</t>
  </si>
  <si>
    <t>South Closed</t>
  </si>
  <si>
    <t>Both Closed</t>
  </si>
  <si>
    <t>Partial Closure</t>
  </si>
  <si>
    <t>Operational Scheme Scoring</t>
  </si>
  <si>
    <t>North Closed</t>
  </si>
  <si>
    <t>Chair Closure</t>
  </si>
  <si>
    <t>All Upper</t>
  </si>
  <si>
    <t>Gondola</t>
  </si>
  <si>
    <t>Gondola and Six</t>
  </si>
  <si>
    <t>Northway/Gold Hills</t>
  </si>
  <si>
    <t>Northway/Gold Hills/Quicksilver</t>
  </si>
  <si>
    <t>Full Operations</t>
  </si>
  <si>
    <t>Mostly</t>
  </si>
  <si>
    <t>Time of Year Score</t>
  </si>
  <si>
    <t>Cars 17-18 Correlation</t>
  </si>
  <si>
    <t>No precip day of.</t>
  </si>
  <si>
    <t>Operational Scheme = No Northway, Gold Hills, Quicksilver, Summit House, Campbell</t>
  </si>
  <si>
    <t>Clouds clearing to Partly Sunny</t>
  </si>
  <si>
    <t>Weather scored at 4 due to new snow and temps, Ops Scheme scored at 3, Goups/Events/Busses scored at 1 (none), Time of Year Scored at 4 (late season)</t>
  </si>
  <si>
    <t>Visits 1089, cars 558</t>
  </si>
  <si>
    <t xml:space="preserve">Model predicted 1034 visits and  ~542 cars. </t>
  </si>
  <si>
    <t>Light Precip day of</t>
  </si>
  <si>
    <t xml:space="preserve">Cloudy </t>
  </si>
  <si>
    <t>Visits per record = 2859, cars 1180</t>
  </si>
  <si>
    <t>Cars 17-18 Model (unadjusted)</t>
  </si>
  <si>
    <t>Light Precip. mid-day of</t>
  </si>
  <si>
    <t>Cloudy day of</t>
  </si>
  <si>
    <t>Daily transportation partners 2 small busses.</t>
  </si>
  <si>
    <t>Visits 3601, cars 1423</t>
  </si>
  <si>
    <t>Weather scored at 4 due to significant snow and cold temps with clouds, Time of year scored at 2 due to proximity to Christmas, Ops = 5, Groups/Busses/Events = 1 (none scheduled)</t>
  </si>
  <si>
    <t>Model predicted 2623 visits and 1181 cars</t>
  </si>
  <si>
    <t>Weather scored at 3 (cold, poor visbility at summit, less than 6" over 48 hours), Ops scheme scored at 5, Groups/Events/Busses scored at 3 (a comp, an event, and one bus), Time of Year scored at 3</t>
  </si>
  <si>
    <t>Ski 4 MS &amp; IFSA Junior Regional Freeride Competition, 1 coach bus = Blueline/SoundEarth: About 50 guests</t>
  </si>
  <si>
    <t>Model predicted 3368 visits and 1477 cars (via correlation)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</si>
</sst>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dddd"/>
  </numFmts>
  <fonts count="15" x14ac:knownFonts="1">
    <font>
      <sz val="11"/>
      <color theme="1"/>
      <name val="Calibri"/>
      <family val="2"/>
      <scheme val="minor"/>
    </font>
    <font>
      <sz val="11"/>
      <color theme="1"/>
      <name val="Calibri"/>
      <family val="2"/>
      <scheme val="minor"/>
    </font>
    <font>
      <sz val="11"/>
      <color rgb="FF006100"/>
      <name val="Calibri"/>
      <family val="2"/>
      <scheme val="minor"/>
    </font>
    <font>
      <b/>
      <i/>
      <sz val="12"/>
      <color theme="1"/>
      <name val="Cambria"/>
      <family val="1"/>
    </font>
    <font>
      <sz val="11"/>
      <color rgb="FF006100"/>
      <name val="Cambria"/>
      <family val="1"/>
    </font>
    <font>
      <sz val="11"/>
      <color theme="1"/>
      <name val="Cambria"/>
      <family val="1"/>
    </font>
    <font>
      <b/>
      <sz val="11"/>
      <color theme="1"/>
      <name val="Calibri"/>
      <family val="2"/>
      <scheme val="minor"/>
    </font>
    <font>
      <sz val="11"/>
      <name val="Calibri"/>
      <family val="2"/>
      <scheme val="minor"/>
    </font>
    <font>
      <sz val="11"/>
      <color rgb="FF1F497D"/>
      <name val="Calibri"/>
      <family val="2"/>
      <scheme val="minor"/>
    </font>
    <font>
      <sz val="11"/>
      <color rgb="FF9C6500"/>
      <name val="Calibri"/>
      <family val="2"/>
      <scheme val="minor"/>
    </font>
    <font>
      <sz val="11"/>
      <color rgb="FF9C6500"/>
      <name val="Cambria"/>
      <family val="1"/>
    </font>
    <font>
      <sz val="9"/>
      <color indexed="81"/>
      <name val="Tahoma"/>
      <family val="2"/>
    </font>
    <font>
      <b/>
      <sz val="9"/>
      <color indexed="81"/>
      <name val="Tahoma"/>
      <family val="2"/>
    </font>
    <font>
      <b/>
      <sz val="11"/>
      <color theme="0"/>
      <name val="Calibri"/>
      <family val="2"/>
      <scheme val="minor"/>
    </font>
    <font>
      <sz val="12"/>
      <color rgb="FF000000"/>
      <name val="Calibri"/>
      <family val="2"/>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theme="4" tint="0.79998168889431442"/>
        <bgColor theme="4" tint="0.79998168889431442"/>
      </patternFill>
    </fill>
    <fill>
      <patternFill patternType="solid">
        <fgColor theme="4"/>
        <bgColor theme="4"/>
      </patternFill>
    </fill>
  </fills>
  <borders count="12">
    <border>
      <left/>
      <right/>
      <top/>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style="double">
        <color indexed="64"/>
      </bottom>
      <diagonal/>
    </border>
    <border>
      <left/>
      <right/>
      <top/>
      <bottom style="thin">
        <color theme="4" tint="0.39997558519241921"/>
      </bottom>
      <diagonal/>
    </border>
    <border>
      <left/>
      <right/>
      <top style="thin">
        <color theme="4" tint="0.39997558519241921"/>
      </top>
      <bottom/>
      <diagonal/>
    </border>
    <border>
      <left/>
      <right/>
      <top style="thin">
        <color theme="4" tint="0.39997558519241921"/>
      </top>
      <bottom style="thin">
        <color theme="4" tint="0.39997558519241921"/>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top style="thin">
        <color indexed="64"/>
      </top>
      <bottom style="medium">
        <color indexed="64"/>
      </bottom>
      <diagonal/>
    </border>
  </borders>
  <cellStyleXfs count="4">
    <xf numFmtId="0" fontId="0" fillId="0" borderId="0"/>
    <xf numFmtId="43" fontId="1" fillId="0" borderId="0" applyFont="0" applyFill="0" applyBorder="0" applyAlignment="0" applyProtection="0"/>
    <xf numFmtId="0" fontId="2" fillId="2" borderId="0" applyNumberFormat="0" applyBorder="0" applyAlignment="0" applyProtection="0"/>
    <xf numFmtId="0" fontId="9" fillId="3" borderId="0" applyNumberFormat="0" applyBorder="0" applyAlignment="0" applyProtection="0"/>
  </cellStyleXfs>
  <cellXfs count="56">
    <xf numFmtId="0" fontId="0" fillId="0" borderId="0" xfId="0"/>
    <xf numFmtId="0" fontId="3" fillId="0" borderId="0" xfId="0" applyFont="1" applyAlignment="1">
      <alignment wrapText="1"/>
    </xf>
    <xf numFmtId="0" fontId="4" fillId="2" borderId="0" xfId="2" applyFont="1" applyAlignment="1">
      <alignment horizontal="right" wrapText="1"/>
    </xf>
    <xf numFmtId="14" fontId="5" fillId="0" borderId="0" xfId="0" applyNumberFormat="1" applyFont="1"/>
    <xf numFmtId="0" fontId="4" fillId="2" borderId="0" xfId="2" applyFont="1"/>
    <xf numFmtId="164" fontId="0" fillId="0" borderId="1" xfId="1" applyNumberFormat="1" applyFont="1" applyBorder="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14" fontId="0" fillId="0" borderId="0" xfId="0" applyNumberFormat="1" applyAlignment="1">
      <alignment horizontal="left" wrapText="1"/>
    </xf>
    <xf numFmtId="0" fontId="0" fillId="0" borderId="0" xfId="0" applyNumberFormat="1" applyAlignment="1">
      <alignment wrapText="1"/>
    </xf>
    <xf numFmtId="0" fontId="5" fillId="0" borderId="0" xfId="0" applyFont="1"/>
    <xf numFmtId="0" fontId="5" fillId="0" borderId="0" xfId="0" applyFont="1" applyAlignment="1">
      <alignment horizontal="right"/>
    </xf>
    <xf numFmtId="3" fontId="5" fillId="0" borderId="1" xfId="0" applyNumberFormat="1" applyFont="1" applyBorder="1"/>
    <xf numFmtId="14" fontId="7" fillId="0" borderId="0" xfId="1" applyNumberFormat="1" applyFont="1" applyBorder="1"/>
    <xf numFmtId="165" fontId="7" fillId="0" borderId="0" xfId="1" applyNumberFormat="1" applyFont="1" applyBorder="1"/>
    <xf numFmtId="165" fontId="0" fillId="0" borderId="0" xfId="0" applyNumberFormat="1"/>
    <xf numFmtId="0" fontId="0" fillId="0" borderId="0" xfId="0" applyAlignment="1">
      <alignment horizontal="center"/>
    </xf>
    <xf numFmtId="1" fontId="0" fillId="0" borderId="0" xfId="0" applyNumberFormat="1"/>
    <xf numFmtId="0" fontId="0" fillId="0" borderId="0" xfId="0" applyAlignment="1">
      <alignment wrapText="1"/>
    </xf>
    <xf numFmtId="0" fontId="6" fillId="0" borderId="0" xfId="0" applyFont="1"/>
    <xf numFmtId="14" fontId="6" fillId="0" borderId="0" xfId="0" applyNumberFormat="1" applyFont="1" applyAlignment="1">
      <alignment horizontal="left"/>
    </xf>
    <xf numFmtId="0" fontId="0" fillId="0" borderId="2" xfId="0" applyBorder="1"/>
    <xf numFmtId="0" fontId="6" fillId="0" borderId="2" xfId="0" applyFont="1" applyBorder="1"/>
    <xf numFmtId="1" fontId="0" fillId="0" borderId="0" xfId="0" applyNumberFormat="1" applyAlignment="1">
      <alignment horizontal="center"/>
    </xf>
    <xf numFmtId="0" fontId="0" fillId="0" borderId="0" xfId="0" applyFill="1"/>
    <xf numFmtId="0" fontId="10" fillId="0" borderId="0" xfId="3" applyFont="1" applyFill="1"/>
    <xf numFmtId="0" fontId="4" fillId="0" borderId="0" xfId="2" applyFont="1" applyFill="1"/>
    <xf numFmtId="1" fontId="8" fillId="0" borderId="0" xfId="0" applyNumberFormat="1" applyFont="1" applyAlignment="1">
      <alignment horizontal="center" vertical="center"/>
    </xf>
    <xf numFmtId="0" fontId="0" fillId="0" borderId="3" xfId="0" applyBorder="1" applyAlignment="1">
      <alignment horizontal="center"/>
    </xf>
    <xf numFmtId="1" fontId="0" fillId="0" borderId="4" xfId="0" applyNumberFormat="1" applyBorder="1" applyAlignment="1">
      <alignment horizontal="center"/>
    </xf>
    <xf numFmtId="0" fontId="6" fillId="0" borderId="5" xfId="0" applyFont="1" applyBorder="1"/>
    <xf numFmtId="0" fontId="0" fillId="0" borderId="5" xfId="0" applyBorder="1"/>
    <xf numFmtId="0" fontId="0" fillId="0" borderId="5" xfId="0" applyBorder="1" applyAlignment="1">
      <alignment horizontal="center"/>
    </xf>
    <xf numFmtId="14" fontId="0" fillId="0" borderId="5" xfId="0" applyNumberFormat="1" applyBorder="1" applyAlignment="1">
      <alignment horizontal="center"/>
    </xf>
    <xf numFmtId="0" fontId="0" fillId="4" borderId="8" xfId="0" applyFont="1" applyFill="1" applyBorder="1"/>
    <xf numFmtId="0" fontId="0" fillId="0" borderId="8" xfId="0" applyFont="1" applyBorder="1"/>
    <xf numFmtId="0" fontId="13" fillId="5" borderId="6" xfId="0" applyFont="1" applyFill="1" applyBorder="1"/>
    <xf numFmtId="0" fontId="0" fillId="0" borderId="7" xfId="0" applyFont="1" applyBorder="1"/>
    <xf numFmtId="0" fontId="0" fillId="0" borderId="0" xfId="0" applyAlignment="1">
      <alignment horizontal="center"/>
    </xf>
    <xf numFmtId="1" fontId="0" fillId="0" borderId="9" xfId="0" applyNumberFormat="1" applyBorder="1" applyAlignment="1">
      <alignment horizontal="center"/>
    </xf>
    <xf numFmtId="0" fontId="0" fillId="0" borderId="0" xfId="0" applyBorder="1"/>
    <xf numFmtId="0" fontId="0" fillId="0" borderId="0" xfId="0" applyAlignment="1">
      <alignment horizontal="right"/>
    </xf>
    <xf numFmtId="0" fontId="0" fillId="0" borderId="5" xfId="0" quotePrefix="1" applyBorder="1" applyAlignment="1">
      <alignment horizontal="center"/>
    </xf>
    <xf numFmtId="0" fontId="0" fillId="0" borderId="10" xfId="0" applyBorder="1"/>
    <xf numFmtId="0" fontId="0" fillId="0" borderId="10" xfId="0" applyBorder="1" applyAlignment="1">
      <alignment horizontal="center"/>
    </xf>
    <xf numFmtId="1" fontId="0" fillId="0" borderId="10" xfId="0" applyNumberFormat="1" applyBorder="1"/>
    <xf numFmtId="0" fontId="0" fillId="0" borderId="11" xfId="0" applyBorder="1"/>
    <xf numFmtId="0" fontId="0" fillId="0" borderId="11" xfId="0" applyBorder="1" applyAlignment="1">
      <alignment horizontal="center"/>
    </xf>
    <xf numFmtId="1" fontId="0" fillId="0" borderId="11" xfId="0" applyNumberFormat="1" applyBorder="1"/>
    <xf numFmtId="0" fontId="14" fillId="0" borderId="0" xfId="0" applyFont="1" applyAlignment="1">
      <alignment vertical="center"/>
    </xf>
    <xf numFmtId="0" fontId="0" fillId="0" borderId="0" xfId="0" applyAlignment="1">
      <alignment horizontal="center"/>
    </xf>
    <xf numFmtId="0" fontId="0" fillId="0" borderId="0" xfId="0" applyAlignment="1"/>
    <xf numFmtId="2" fontId="7" fillId="0" borderId="0" xfId="1" applyNumberFormat="1" applyFont="1" applyBorder="1"/>
    <xf numFmtId="2" fontId="7" fillId="0" borderId="0" xfId="1" applyNumberFormat="1" applyFont="1"/>
  </cellXfs>
  <cellStyles count="4">
    <cellStyle name="Comma" xfId="1" builtinId="3"/>
    <cellStyle name="Good" xfId="2" builtinId="26"/>
    <cellStyle name="Neutral" xfId="3" builtinId="28"/>
    <cellStyle name="Normal" xfId="0" builtinId="0"/>
  </cellStyles>
  <dxfs count="13">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outline="0">
        <top style="thin">
          <color theme="4" tint="0.39997558519241921"/>
        </top>
      </border>
    </dxf>
    <dxf>
      <border outline="0">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[SchvenDex Secondary.xlsx]17-18 Visits!PivotTable3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'17-18 Visits'!$I$7</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poly"/>
            <c:order val="4"/>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'17-18 Visits'!$H$8:$H$15</c:f>
              <c:strCache>
                <c:ptCount val="7"/>
                <c:pt idx="0">
                  <c:v>Sunday</c:v>
                </c:pt>
                <c:pt idx="1">
                  <c:v>Monday</c:v>
                </c:pt>
                <c:pt idx="2">
                  <c:v>Tuesday</c:v>
                </c:pt>
                <c:pt idx="3">
                  <c:v>Wednesday</c:v>
                </c:pt>
                <c:pt idx="4">
                  <c:v>Thursday</c:v>
                </c:pt>
                <c:pt idx="5">
                  <c:v>Friday</c:v>
                </c:pt>
                <c:pt idx="6">
                  <c:v>Saturday</c:v>
                </c:pt>
              </c:strCache>
            </c:strRef>
          </c:cat>
          <c:val>
            <c:numRef>
              <c:f>'17-18 Visits'!$I$8:$I$15</c:f>
              <c:numCache>
                <c:formatCode>General</c:formatCode>
                <c:ptCount val="7"/>
                <c:pt idx="0">
                  <c:v>3713.1304347826085</c:v>
                </c:pt>
                <c:pt idx="1">
                  <c:v>1413.3181818181818</c:v>
                </c:pt>
                <c:pt idx="2">
                  <c:v>936.68181818181813</c:v>
                </c:pt>
                <c:pt idx="3">
                  <c:v>1176.9565217391305</c:v>
                </c:pt>
                <c:pt idx="4">
                  <c:v>1222.4782608695652</c:v>
                </c:pt>
                <c:pt idx="5">
                  <c:v>1997.8695652173913</c:v>
                </c:pt>
                <c:pt idx="6">
                  <c:v>4551.739130434783</c:v>
                </c:pt>
              </c:numCache>
            </c:numRef>
          </c:val>
          <c:extLst>
            <c:ext xmlns:c16="http://schemas.microsoft.com/office/drawing/2014/chart" uri="{C3380CC4-5D6E-409C-BE32-E72D297353CC}">
              <c16:uniqueId val="{00000001-4F4B-8B4E-A8B1-1885E6E138C7}"/>
            </c:ext>
          </c:extLst>
        </c:ser>
        <c:dLbls>
          <c:showLegendKey val="0"/>
          <c:showVal val="0"/>
          <c:showCatName val="0"/>
          <c:showSerName val="0"/>
          <c:showPercent val="0"/>
          <c:showBubbleSize val="0"/>
        </c:dLbls>
        <c:gapWidth val="219"/>
        <c:overlap val="-27"/>
        <c:axId val="357722688"/>
        <c:axId val="357723248"/>
      </c:barChart>
      <c:catAx>
        <c:axId val="35772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723248"/>
        <c:crosses val="autoZero"/>
        <c:auto val="1"/>
        <c:lblAlgn val="ctr"/>
        <c:lblOffset val="100"/>
        <c:noMultiLvlLbl val="0"/>
      </c:catAx>
      <c:valAx>
        <c:axId val="35772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72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Mondays 16-17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7.279384919158266E-2"/>
                  <c:y val="-0.5702504151266806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'Mondays 16-17'!$A$3:$A$23</c:f>
              <c:numCache>
                <c:formatCode>m/d/yy</c:formatCode>
                <c:ptCount val="21"/>
                <c:pt idx="0">
                  <c:v>42702</c:v>
                </c:pt>
                <c:pt idx="1">
                  <c:v>42709</c:v>
                </c:pt>
                <c:pt idx="2">
                  <c:v>42716</c:v>
                </c:pt>
                <c:pt idx="3">
                  <c:v>42723</c:v>
                </c:pt>
                <c:pt idx="4">
                  <c:v>42730</c:v>
                </c:pt>
                <c:pt idx="5">
                  <c:v>42737</c:v>
                </c:pt>
                <c:pt idx="6">
                  <c:v>42744</c:v>
                </c:pt>
                <c:pt idx="7">
                  <c:v>42751</c:v>
                </c:pt>
                <c:pt idx="8">
                  <c:v>42758</c:v>
                </c:pt>
                <c:pt idx="9">
                  <c:v>42765</c:v>
                </c:pt>
                <c:pt idx="10">
                  <c:v>42772</c:v>
                </c:pt>
                <c:pt idx="11">
                  <c:v>42779</c:v>
                </c:pt>
                <c:pt idx="12">
                  <c:v>42786</c:v>
                </c:pt>
                <c:pt idx="13">
                  <c:v>42793</c:v>
                </c:pt>
                <c:pt idx="14">
                  <c:v>42800</c:v>
                </c:pt>
                <c:pt idx="15">
                  <c:v>42807</c:v>
                </c:pt>
                <c:pt idx="16">
                  <c:v>42814</c:v>
                </c:pt>
                <c:pt idx="17">
                  <c:v>42821</c:v>
                </c:pt>
                <c:pt idx="18">
                  <c:v>42828</c:v>
                </c:pt>
                <c:pt idx="19">
                  <c:v>42835</c:v>
                </c:pt>
                <c:pt idx="20">
                  <c:v>42842</c:v>
                </c:pt>
              </c:numCache>
            </c:numRef>
          </c:xVal>
          <c:yVal>
            <c:numRef>
              <c:f>'Mondays 16-17'!$B$3:$B$23</c:f>
              <c:numCache>
                <c:formatCode>General</c:formatCode>
                <c:ptCount val="21"/>
                <c:pt idx="0">
                  <c:v>650</c:v>
                </c:pt>
                <c:pt idx="1">
                  <c:v>1313</c:v>
                </c:pt>
                <c:pt idx="2">
                  <c:v>831</c:v>
                </c:pt>
                <c:pt idx="3">
                  <c:v>2031</c:v>
                </c:pt>
                <c:pt idx="4">
                  <c:v>5608</c:v>
                </c:pt>
                <c:pt idx="5">
                  <c:v>4523</c:v>
                </c:pt>
                <c:pt idx="6">
                  <c:v>1031</c:v>
                </c:pt>
                <c:pt idx="7">
                  <c:v>4251</c:v>
                </c:pt>
                <c:pt idx="8">
                  <c:v>1139</c:v>
                </c:pt>
                <c:pt idx="9">
                  <c:v>1186</c:v>
                </c:pt>
                <c:pt idx="10">
                  <c:v>2387</c:v>
                </c:pt>
                <c:pt idx="11">
                  <c:v>1076</c:v>
                </c:pt>
                <c:pt idx="12">
                  <c:v>3993</c:v>
                </c:pt>
                <c:pt idx="13">
                  <c:v>925</c:v>
                </c:pt>
                <c:pt idx="14">
                  <c:v>1142</c:v>
                </c:pt>
                <c:pt idx="15">
                  <c:v>240</c:v>
                </c:pt>
                <c:pt idx="16">
                  <c:v>751</c:v>
                </c:pt>
                <c:pt idx="17">
                  <c:v>696</c:v>
                </c:pt>
                <c:pt idx="18">
                  <c:v>941</c:v>
                </c:pt>
                <c:pt idx="19">
                  <c:v>624</c:v>
                </c:pt>
                <c:pt idx="20">
                  <c:v>343</c:v>
                </c:pt>
              </c:numCache>
            </c:numRef>
          </c:yVal>
          <c:smooth val="0"/>
          <c:extLst>
            <c:ext xmlns:c16="http://schemas.microsoft.com/office/drawing/2014/chart" uri="{C3380CC4-5D6E-409C-BE32-E72D297353CC}">
              <c16:uniqueId val="{00000001-3DE0-3649-BEE2-D16D42B1DE9C}"/>
            </c:ext>
          </c:extLst>
        </c:ser>
        <c:dLbls>
          <c:showLegendKey val="0"/>
          <c:showVal val="0"/>
          <c:showCatName val="0"/>
          <c:showSerName val="0"/>
          <c:showPercent val="0"/>
          <c:showBubbleSize val="0"/>
        </c:dLbls>
        <c:axId val="357725488"/>
        <c:axId val="357726048"/>
      </c:scatterChart>
      <c:valAx>
        <c:axId val="357725488"/>
        <c:scaling>
          <c:orientation val="minMax"/>
        </c:scaling>
        <c:delete val="0"/>
        <c:axPos val="b"/>
        <c:majorGridlines>
          <c:spPr>
            <a:ln w="9525" cap="flat" cmpd="sng" algn="ctr">
              <a:solidFill>
                <a:schemeClr val="tx1">
                  <a:lumMod val="15000"/>
                  <a:lumOff val="85000"/>
                </a:schemeClr>
              </a:solidFill>
              <a:round/>
            </a:ln>
            <a:effectLst/>
          </c:spPr>
        </c:majorGridlines>
        <c:numFmt formatCode="m/d/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726048"/>
        <c:crosses val="autoZero"/>
        <c:crossBetween val="midCat"/>
      </c:valAx>
      <c:valAx>
        <c:axId val="35772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7254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Sunday Visits Over</a:t>
            </a:r>
            <a:r>
              <a:rPr lang="en-US" baseline="0"/>
              <a:t> 16-17 Season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forward val="1"/>
            <c:backward val="3"/>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'Sundays 16-17'!$A$2:$A$23</c:f>
              <c:numCache>
                <c:formatCode>m/d/yy</c:formatCode>
                <c:ptCount val="22"/>
                <c:pt idx="0">
                  <c:v>42701</c:v>
                </c:pt>
                <c:pt idx="1">
                  <c:v>42708</c:v>
                </c:pt>
                <c:pt idx="2">
                  <c:v>42715</c:v>
                </c:pt>
                <c:pt idx="3">
                  <c:v>42722</c:v>
                </c:pt>
                <c:pt idx="4">
                  <c:v>42729</c:v>
                </c:pt>
                <c:pt idx="5">
                  <c:v>42736</c:v>
                </c:pt>
                <c:pt idx="6">
                  <c:v>42743</c:v>
                </c:pt>
                <c:pt idx="7">
                  <c:v>42750</c:v>
                </c:pt>
                <c:pt idx="8">
                  <c:v>42757</c:v>
                </c:pt>
                <c:pt idx="9">
                  <c:v>42764</c:v>
                </c:pt>
                <c:pt idx="10">
                  <c:v>42771</c:v>
                </c:pt>
                <c:pt idx="11">
                  <c:v>42778</c:v>
                </c:pt>
                <c:pt idx="12">
                  <c:v>42785</c:v>
                </c:pt>
                <c:pt idx="13">
                  <c:v>42792</c:v>
                </c:pt>
                <c:pt idx="14">
                  <c:v>42799</c:v>
                </c:pt>
                <c:pt idx="15">
                  <c:v>42806</c:v>
                </c:pt>
                <c:pt idx="16">
                  <c:v>42813</c:v>
                </c:pt>
                <c:pt idx="17">
                  <c:v>42820</c:v>
                </c:pt>
                <c:pt idx="18">
                  <c:v>42827</c:v>
                </c:pt>
                <c:pt idx="19">
                  <c:v>42834</c:v>
                </c:pt>
                <c:pt idx="20">
                  <c:v>42841</c:v>
                </c:pt>
                <c:pt idx="21">
                  <c:v>42848</c:v>
                </c:pt>
              </c:numCache>
            </c:numRef>
          </c:xVal>
          <c:yVal>
            <c:numRef>
              <c:f>'Sundays 16-17'!$B$2:$B$23</c:f>
              <c:numCache>
                <c:formatCode>General</c:formatCode>
                <c:ptCount val="22"/>
                <c:pt idx="0">
                  <c:v>1845</c:v>
                </c:pt>
                <c:pt idx="1">
                  <c:v>4574</c:v>
                </c:pt>
                <c:pt idx="2">
                  <c:v>4599</c:v>
                </c:pt>
                <c:pt idx="3">
                  <c:v>4016</c:v>
                </c:pt>
                <c:pt idx="4">
                  <c:v>3293</c:v>
                </c:pt>
                <c:pt idx="5">
                  <c:v>4195</c:v>
                </c:pt>
                <c:pt idx="6">
                  <c:v>4572</c:v>
                </c:pt>
                <c:pt idx="7">
                  <c:v>7197</c:v>
                </c:pt>
                <c:pt idx="8">
                  <c:v>4422</c:v>
                </c:pt>
                <c:pt idx="9">
                  <c:v>4525</c:v>
                </c:pt>
                <c:pt idx="10">
                  <c:v>6190</c:v>
                </c:pt>
                <c:pt idx="11">
                  <c:v>5441</c:v>
                </c:pt>
                <c:pt idx="12">
                  <c:v>5042</c:v>
                </c:pt>
                <c:pt idx="13">
                  <c:v>3901</c:v>
                </c:pt>
                <c:pt idx="14">
                  <c:v>5205</c:v>
                </c:pt>
                <c:pt idx="15">
                  <c:v>3038</c:v>
                </c:pt>
                <c:pt idx="16">
                  <c:v>3949</c:v>
                </c:pt>
                <c:pt idx="17">
                  <c:v>2161</c:v>
                </c:pt>
                <c:pt idx="18">
                  <c:v>2154</c:v>
                </c:pt>
                <c:pt idx="19">
                  <c:v>3248</c:v>
                </c:pt>
                <c:pt idx="20">
                  <c:v>1949</c:v>
                </c:pt>
                <c:pt idx="21">
                  <c:v>1625</c:v>
                </c:pt>
              </c:numCache>
            </c:numRef>
          </c:yVal>
          <c:smooth val="0"/>
          <c:extLst>
            <c:ext xmlns:c16="http://schemas.microsoft.com/office/drawing/2014/chart" uri="{C3380CC4-5D6E-409C-BE32-E72D297353CC}">
              <c16:uniqueId val="{00000001-4081-AE4B-BBED-26482FBC1FDC}"/>
            </c:ext>
          </c:extLst>
        </c:ser>
        <c:dLbls>
          <c:showLegendKey val="0"/>
          <c:showVal val="0"/>
          <c:showCatName val="0"/>
          <c:showSerName val="0"/>
          <c:showPercent val="0"/>
          <c:showBubbleSize val="0"/>
        </c:dLbls>
        <c:axId val="350089152"/>
        <c:axId val="350089712"/>
      </c:scatterChart>
      <c:valAx>
        <c:axId val="350089152"/>
        <c:scaling>
          <c:orientation val="minMax"/>
        </c:scaling>
        <c:delete val="0"/>
        <c:axPos val="b"/>
        <c:majorGridlines>
          <c:spPr>
            <a:ln w="9525" cap="flat" cmpd="sng" algn="ctr">
              <a:solidFill>
                <a:schemeClr val="tx1">
                  <a:lumMod val="15000"/>
                  <a:lumOff val="85000"/>
                </a:schemeClr>
              </a:solidFill>
              <a:round/>
            </a:ln>
            <a:effectLst/>
          </c:spPr>
        </c:majorGridlines>
        <c:numFmt formatCode="m/d/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089712"/>
        <c:crosses val="autoZero"/>
        <c:crossBetween val="midCat"/>
      </c:valAx>
      <c:valAx>
        <c:axId val="350089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089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[SchvenDex Secondary.xlsx]16-17 Season Pivot!PivotTable1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'16-17 Season Pivot'!$B$1</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poly"/>
            <c:order val="4"/>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'16-17 Season Pivot'!$A$2:$A$9</c:f>
              <c:strCache>
                <c:ptCount val="7"/>
                <c:pt idx="0">
                  <c:v>Sunday</c:v>
                </c:pt>
                <c:pt idx="1">
                  <c:v>Monday</c:v>
                </c:pt>
                <c:pt idx="2">
                  <c:v>Tuesday</c:v>
                </c:pt>
                <c:pt idx="3">
                  <c:v>Wednesday</c:v>
                </c:pt>
                <c:pt idx="4">
                  <c:v>Thursday</c:v>
                </c:pt>
                <c:pt idx="5">
                  <c:v>Friday</c:v>
                </c:pt>
                <c:pt idx="6">
                  <c:v>Saturday</c:v>
                </c:pt>
              </c:strCache>
            </c:strRef>
          </c:cat>
          <c:val>
            <c:numRef>
              <c:f>'16-17 Season Pivot'!$B$2:$B$9</c:f>
              <c:numCache>
                <c:formatCode>General</c:formatCode>
                <c:ptCount val="7"/>
                <c:pt idx="0">
                  <c:v>3960.9545454545455</c:v>
                </c:pt>
                <c:pt idx="1">
                  <c:v>1699.0952380952381</c:v>
                </c:pt>
                <c:pt idx="2">
                  <c:v>1163.5714285714287</c:v>
                </c:pt>
                <c:pt idx="3">
                  <c:v>1279.7142857142858</c:v>
                </c:pt>
                <c:pt idx="4">
                  <c:v>1189</c:v>
                </c:pt>
                <c:pt idx="5">
                  <c:v>2109.6363636363635</c:v>
                </c:pt>
                <c:pt idx="6">
                  <c:v>3992.909090909091</c:v>
                </c:pt>
              </c:numCache>
            </c:numRef>
          </c:val>
          <c:extLst>
            <c:ext xmlns:c16="http://schemas.microsoft.com/office/drawing/2014/chart" uri="{C3380CC4-5D6E-409C-BE32-E72D297353CC}">
              <c16:uniqueId val="{00000001-012E-3246-B392-839400EACF43}"/>
            </c:ext>
          </c:extLst>
        </c:ser>
        <c:dLbls>
          <c:showLegendKey val="0"/>
          <c:showVal val="0"/>
          <c:showCatName val="0"/>
          <c:showSerName val="0"/>
          <c:showPercent val="0"/>
          <c:showBubbleSize val="0"/>
        </c:dLbls>
        <c:gapWidth val="219"/>
        <c:overlap val="-27"/>
        <c:axId val="350091392"/>
        <c:axId val="4973568"/>
      </c:barChart>
      <c:catAx>
        <c:axId val="35009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3568"/>
        <c:crosses val="autoZero"/>
        <c:auto val="1"/>
        <c:lblAlgn val="ctr"/>
        <c:lblOffset val="100"/>
        <c:noMultiLvlLbl val="0"/>
      </c:catAx>
      <c:valAx>
        <c:axId val="497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09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[SchvenDex Secondary.xlsx]15-16 Pivot!PivotTable1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'15-16 Pivot'!$B$3</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poly"/>
            <c:order val="4"/>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'15-16 Pivot'!$A$4:$A$11</c:f>
              <c:strCache>
                <c:ptCount val="7"/>
                <c:pt idx="0">
                  <c:v>Sunday</c:v>
                </c:pt>
                <c:pt idx="1">
                  <c:v>Monday</c:v>
                </c:pt>
                <c:pt idx="2">
                  <c:v>Tuesday</c:v>
                </c:pt>
                <c:pt idx="3">
                  <c:v>Wednesday</c:v>
                </c:pt>
                <c:pt idx="4">
                  <c:v>Thursday</c:v>
                </c:pt>
                <c:pt idx="5">
                  <c:v>Friday</c:v>
                </c:pt>
                <c:pt idx="6">
                  <c:v>Saturday</c:v>
                </c:pt>
              </c:strCache>
            </c:strRef>
          </c:cat>
          <c:val>
            <c:numRef>
              <c:f>'15-16 Pivot'!$B$4:$B$11</c:f>
              <c:numCache>
                <c:formatCode>General</c:formatCode>
                <c:ptCount val="7"/>
                <c:pt idx="0">
                  <c:v>3311.1363636363635</c:v>
                </c:pt>
                <c:pt idx="1">
                  <c:v>1408.0952380952381</c:v>
                </c:pt>
                <c:pt idx="2">
                  <c:v>1159.8571428571429</c:v>
                </c:pt>
                <c:pt idx="3">
                  <c:v>1236.1428571428571</c:v>
                </c:pt>
                <c:pt idx="4">
                  <c:v>1299.047619047619</c:v>
                </c:pt>
                <c:pt idx="5">
                  <c:v>1950.1904761904761</c:v>
                </c:pt>
                <c:pt idx="6">
                  <c:v>4371.772727272727</c:v>
                </c:pt>
              </c:numCache>
            </c:numRef>
          </c:val>
          <c:extLst>
            <c:ext xmlns:c16="http://schemas.microsoft.com/office/drawing/2014/chart" uri="{C3380CC4-5D6E-409C-BE32-E72D297353CC}">
              <c16:uniqueId val="{00000001-9C27-7A41-B3AD-483A0941CDFA}"/>
            </c:ext>
          </c:extLst>
        </c:ser>
        <c:dLbls>
          <c:showLegendKey val="0"/>
          <c:showVal val="0"/>
          <c:showCatName val="0"/>
          <c:showSerName val="0"/>
          <c:showPercent val="0"/>
          <c:showBubbleSize val="0"/>
        </c:dLbls>
        <c:gapWidth val="219"/>
        <c:overlap val="-27"/>
        <c:axId val="350034688"/>
        <c:axId val="350035248"/>
      </c:barChart>
      <c:catAx>
        <c:axId val="35003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035248"/>
        <c:crosses val="autoZero"/>
        <c:auto val="1"/>
        <c:lblAlgn val="ctr"/>
        <c:lblOffset val="100"/>
        <c:noMultiLvlLbl val="0"/>
      </c:catAx>
      <c:valAx>
        <c:axId val="35003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03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[SchvenDex Secondary.xlsx]13-14 Pivot!PivotTable2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'13-14 Pivot'!$B$3</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poly"/>
            <c:order val="4"/>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'13-14 Pivot'!$A$4:$A$11</c:f>
              <c:strCache>
                <c:ptCount val="7"/>
                <c:pt idx="0">
                  <c:v>Sunday</c:v>
                </c:pt>
                <c:pt idx="1">
                  <c:v>Monday</c:v>
                </c:pt>
                <c:pt idx="2">
                  <c:v>Tuesday</c:v>
                </c:pt>
                <c:pt idx="3">
                  <c:v>Wednesday</c:v>
                </c:pt>
                <c:pt idx="4">
                  <c:v>Thursday</c:v>
                </c:pt>
                <c:pt idx="5">
                  <c:v>Friday</c:v>
                </c:pt>
                <c:pt idx="6">
                  <c:v>Saturday</c:v>
                </c:pt>
              </c:strCache>
            </c:strRef>
          </c:cat>
          <c:val>
            <c:numRef>
              <c:f>'13-14 Pivot'!$B$4:$B$11</c:f>
              <c:numCache>
                <c:formatCode>General</c:formatCode>
                <c:ptCount val="7"/>
                <c:pt idx="0">
                  <c:v>2800.2272727272725</c:v>
                </c:pt>
                <c:pt idx="1">
                  <c:v>894.2</c:v>
                </c:pt>
                <c:pt idx="2">
                  <c:v>939.9</c:v>
                </c:pt>
                <c:pt idx="3">
                  <c:v>1141.8571428571429</c:v>
                </c:pt>
                <c:pt idx="4">
                  <c:v>1123.6190476190477</c:v>
                </c:pt>
                <c:pt idx="5">
                  <c:v>1706.05</c:v>
                </c:pt>
                <c:pt idx="6">
                  <c:v>3182.8636363636365</c:v>
                </c:pt>
              </c:numCache>
            </c:numRef>
          </c:val>
          <c:extLst>
            <c:ext xmlns:c16="http://schemas.microsoft.com/office/drawing/2014/chart" uri="{C3380CC4-5D6E-409C-BE32-E72D297353CC}">
              <c16:uniqueId val="{00000001-8DAC-4F42-B369-B6287F6920FF}"/>
            </c:ext>
          </c:extLst>
        </c:ser>
        <c:dLbls>
          <c:showLegendKey val="0"/>
          <c:showVal val="0"/>
          <c:showCatName val="0"/>
          <c:showSerName val="0"/>
          <c:showPercent val="0"/>
          <c:showBubbleSize val="0"/>
        </c:dLbls>
        <c:gapWidth val="219"/>
        <c:overlap val="-27"/>
        <c:axId val="354642448"/>
        <c:axId val="354643008"/>
      </c:barChart>
      <c:catAx>
        <c:axId val="35464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643008"/>
        <c:crosses val="autoZero"/>
        <c:auto val="1"/>
        <c:lblAlgn val="ctr"/>
        <c:lblOffset val="100"/>
        <c:noMultiLvlLbl val="0"/>
      </c:catAx>
      <c:valAx>
        <c:axId val="35464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64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254000</xdr:colOff>
          <xdr:row>0</xdr:row>
          <xdr:rowOff>0</xdr:rowOff>
        </xdr:from>
        <xdr:to>
          <xdr:col>11</xdr:col>
          <xdr:colOff>38100</xdr:colOff>
          <xdr:row>57</xdr:row>
          <xdr:rowOff>12700</xdr:rowOff>
        </xdr:to>
        <xdr:sp macro="" textlink="">
          <xdr:nvSpPr>
            <xdr:cNvPr id="12289" name="Object 1" descr="If the Document is not visible double clicking will open the Wordpad." hidden="1">
              <a:extLst>
                <a:ext uri="{63B3BB69-23CF-44E3-9099-C40C66FF867C}">
                  <a14:compatExt spid="_x0000_s12289"/>
                </a:ext>
                <a:ext uri="{FF2B5EF4-FFF2-40B4-BE49-F238E27FC236}">
                  <a16:creationId xmlns:a16="http://schemas.microsoft.com/office/drawing/2014/main" id="{00000000-0008-0000-0000-00000130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7</xdr:col>
      <xdr:colOff>57150</xdr:colOff>
      <xdr:row>18</xdr:row>
      <xdr:rowOff>114300</xdr:rowOff>
    </xdr:from>
    <xdr:to>
      <xdr:col>14</xdr:col>
      <xdr:colOff>361950</xdr:colOff>
      <xdr:row>33</xdr:row>
      <xdr:rowOff>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61911</xdr:colOff>
      <xdr:row>2</xdr:row>
      <xdr:rowOff>28575</xdr:rowOff>
    </xdr:from>
    <xdr:to>
      <xdr:col>12</xdr:col>
      <xdr:colOff>600074</xdr:colOff>
      <xdr:row>21</xdr:row>
      <xdr:rowOff>142875</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104774</xdr:colOff>
      <xdr:row>0</xdr:row>
      <xdr:rowOff>300036</xdr:rowOff>
    </xdr:from>
    <xdr:to>
      <xdr:col>13</xdr:col>
      <xdr:colOff>171449</xdr:colOff>
      <xdr:row>20</xdr:row>
      <xdr:rowOff>19049</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571500</xdr:colOff>
      <xdr:row>0</xdr:row>
      <xdr:rowOff>95250</xdr:rowOff>
    </xdr:from>
    <xdr:to>
      <xdr:col>15</xdr:col>
      <xdr:colOff>238125</xdr:colOff>
      <xdr:row>14</xdr:row>
      <xdr:rowOff>171450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257175</xdr:colOff>
      <xdr:row>7</xdr:row>
      <xdr:rowOff>123825</xdr:rowOff>
    </xdr:from>
    <xdr:to>
      <xdr:col>9</xdr:col>
      <xdr:colOff>561975</xdr:colOff>
      <xdr:row>22</xdr:row>
      <xdr:rowOff>9525</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438150</xdr:colOff>
      <xdr:row>0</xdr:row>
      <xdr:rowOff>152400</xdr:rowOff>
    </xdr:from>
    <xdr:to>
      <xdr:col>10</xdr:col>
      <xdr:colOff>133350</xdr:colOff>
      <xdr:row>15</xdr:row>
      <xdr:rowOff>38100</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lichta, Steve" refreshedDate="43192.628670833335" createdVersion="5" refreshedVersion="5" minRefreshableVersion="3" recordCount="151" xr:uid="{00000000-000A-0000-FFFF-FFFF02000000}">
  <cacheSource type="worksheet">
    <worksheetSource ref="A1:F152" sheet="Skier Visits 16-17"/>
  </cacheSource>
  <cacheFields count="6">
    <cacheField name="Date" numFmtId="0">
      <sharedItems containsNonDate="0" containsDate="1" containsString="0" containsBlank="1" minDate="2016-11-25T00:00:00" maxDate="2017-04-24T00:00:00" count="151">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m/>
      </sharedItems>
    </cacheField>
    <cacheField name="Day of Week" numFmtId="0">
      <sharedItems containsBlank="1" count="8">
        <s v="Friday"/>
        <s v="Saturday"/>
        <s v="Sunday"/>
        <s v="Monday"/>
        <s v="Tuesday"/>
        <s v="Wednesday"/>
        <s v="Thursday"/>
        <m/>
      </sharedItems>
    </cacheField>
    <cacheField name="Lift Tickets" numFmtId="0">
      <sharedItems containsSemiMixedTypes="0" containsString="0" containsNumber="1" containsInteger="1" minValue="148" maxValue="244307"/>
    </cacheField>
    <cacheField name="Scenic Rides" numFmtId="0">
      <sharedItems containsSemiMixedTypes="0" containsString="0" containsNumber="1" containsInteger="1" minValue="0" maxValue="12428"/>
    </cacheField>
    <cacheField name="Season Passes" numFmtId="0">
      <sharedItems containsSemiMixedTypes="0" containsString="0" containsNumber="1" containsInteger="1" minValue="2" maxValue="76621"/>
    </cacheField>
    <cacheField name="Total Revenue Visits " numFmtId="0">
      <sharedItems containsSemiMixedTypes="0" containsString="0" containsNumber="1" containsInteger="1" minValue="154" maxValue="33335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lichta, Steve" refreshedDate="43193.458137384259" createdVersion="5" refreshedVersion="5" minRefreshableVersion="3" recordCount="149" xr:uid="{00000000-000A-0000-FFFF-FFFF03000000}">
  <cacheSource type="worksheet">
    <worksheetSource ref="A1:F150" sheet="Skier Visits 15-16"/>
  </cacheSource>
  <cacheFields count="6">
    <cacheField name="Date" numFmtId="14">
      <sharedItems containsSemiMixedTypes="0" containsNonDate="0" containsDate="1" containsString="0" minDate="2015-11-21T00:00:00" maxDate="2016-04-18T00:00:00"/>
    </cacheField>
    <cacheField name="Day of Week" numFmtId="14">
      <sharedItems count="7">
        <s v="Saturday"/>
        <s v="Sunday"/>
        <s v="Monday"/>
        <s v="Tuesday"/>
        <s v="Wednesday"/>
        <s v="Thursday"/>
        <s v="Friday"/>
      </sharedItems>
    </cacheField>
    <cacheField name="Lift Tickets" numFmtId="0">
      <sharedItems containsSemiMixedTypes="0" containsString="0" containsNumber="1" containsInteger="1" minValue="0" maxValue="5699"/>
    </cacheField>
    <cacheField name="Scenic Rides" numFmtId="0">
      <sharedItems containsSemiMixedTypes="0" containsString="0" containsNumber="1" containsInteger="1" minValue="0" maxValue="1105"/>
    </cacheField>
    <cacheField name="Season Passes" numFmtId="0">
      <sharedItems containsSemiMixedTypes="0" containsString="0" containsNumber="1" containsInteger="1" minValue="0" maxValue="1880"/>
    </cacheField>
    <cacheField name="Total Revenue Visits " numFmtId="0">
      <sharedItems containsSemiMixedTypes="0" containsString="0" containsNumber="1" containsInteger="1" minValue="0" maxValue="7332"/>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lichta, Steve" refreshedDate="43193.494972685185" createdVersion="5" refreshedVersion="5" minRefreshableVersion="3" recordCount="147" xr:uid="{00000000-000A-0000-FFFF-FFFF04000000}">
  <cacheSource type="worksheet">
    <worksheetSource ref="A1:C1048576" sheet="Skier Visits 13-14"/>
  </cacheSource>
  <cacheFields count="3">
    <cacheField name="Date" numFmtId="0">
      <sharedItems containsNonDate="0" containsDate="1" containsString="0" containsBlank="1" minDate="2013-11-20T00:00:00" maxDate="2014-04-28T00:00:00"/>
    </cacheField>
    <cacheField name="Day of Week" numFmtId="165">
      <sharedItems containsDate="1" containsBlank="1" containsMixedTypes="1" minDate="1899-12-31T00:00:00" maxDate="1900-01-07T00:00:00" count="15">
        <s v="Wednesday"/>
        <s v="Thursday"/>
        <s v="Friday"/>
        <s v="Saturday"/>
        <s v="Sunday"/>
        <s v="Monday"/>
        <s v="Tuesday"/>
        <m/>
        <d v="1899-12-31T00:00:00" u="1"/>
        <d v="1900-01-05T00:00:00" u="1"/>
        <d v="1900-01-03T00:00:00" u="1"/>
        <d v="1900-01-01T00:00:00" u="1"/>
        <d v="1900-01-06T00:00:00" u="1"/>
        <d v="1900-01-04T00:00:00" u="1"/>
        <d v="1900-01-02T00:00:00" u="1"/>
      </sharedItems>
    </cacheField>
    <cacheField name="Visits" numFmtId="0">
      <sharedItems containsString="0" containsBlank="1" containsNumber="1" containsInteger="1" minValue="190" maxValue="6663"/>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lichta, Steve" refreshedDate="43220.475797222221" createdVersion="5" refreshedVersion="5" minRefreshableVersion="3" recordCount="160" xr:uid="{00000000-000A-0000-FFFF-FFFF05000000}">
  <cacheSource type="worksheet">
    <worksheetSource ref="A1:F1048576" sheet="17-18 Visits"/>
  </cacheSource>
  <cacheFields count="6">
    <cacheField name="Date" numFmtId="0">
      <sharedItems containsNonDate="0" containsDate="1" containsString="0" containsBlank="1" minDate="2017-11-15T00:00:00" maxDate="2018-04-23T00:00:00"/>
    </cacheField>
    <cacheField name="Day of Week" numFmtId="0">
      <sharedItems containsBlank="1" count="8">
        <s v="Wednesday"/>
        <s v="Thursday"/>
        <s v="Friday"/>
        <s v="Saturday"/>
        <s v="Sunday"/>
        <s v="Monday"/>
        <s v="Tuesday"/>
        <m/>
      </sharedItems>
    </cacheField>
    <cacheField name="Lift Tickets" numFmtId="0">
      <sharedItems containsString="0" containsBlank="1" containsNumber="1" containsInteger="1" minValue="60" maxValue="5684"/>
    </cacheField>
    <cacheField name="Scenic Rides" numFmtId="0">
      <sharedItems containsString="0" containsBlank="1" containsNumber="1" containsInteger="1" minValue="0" maxValue="621"/>
    </cacheField>
    <cacheField name="Season Passes" numFmtId="0">
      <sharedItems containsString="0" containsBlank="1" containsNumber="1" containsInteger="1" minValue="6" maxValue="2136"/>
    </cacheField>
    <cacheField name="Total Revenue Visits " numFmtId="0">
      <sharedItems containsString="0" containsBlank="1" containsNumber="1" containsInteger="1" minValue="89" maxValue="790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1">
  <r>
    <x v="0"/>
    <x v="0"/>
    <n v="1673"/>
    <n v="221"/>
    <n v="569"/>
    <n v="2463"/>
  </r>
  <r>
    <x v="1"/>
    <x v="1"/>
    <n v="1851"/>
    <n v="336"/>
    <n v="608"/>
    <n v="2795"/>
  </r>
  <r>
    <x v="2"/>
    <x v="2"/>
    <n v="1242"/>
    <n v="119"/>
    <n v="484"/>
    <n v="1845"/>
  </r>
  <r>
    <x v="3"/>
    <x v="3"/>
    <n v="337"/>
    <n v="28"/>
    <n v="285"/>
    <n v="650"/>
  </r>
  <r>
    <x v="4"/>
    <x v="4"/>
    <n v="221"/>
    <n v="36"/>
    <n v="204"/>
    <n v="461"/>
  </r>
  <r>
    <x v="5"/>
    <x v="5"/>
    <n v="247"/>
    <n v="18"/>
    <n v="189"/>
    <n v="454"/>
  </r>
  <r>
    <x v="6"/>
    <x v="6"/>
    <n v="328"/>
    <n v="22"/>
    <n v="276"/>
    <n v="626"/>
  </r>
  <r>
    <x v="7"/>
    <x v="0"/>
    <n v="455"/>
    <n v="14"/>
    <n v="228"/>
    <n v="697"/>
  </r>
  <r>
    <x v="8"/>
    <x v="1"/>
    <n v="2635"/>
    <n v="115"/>
    <n v="868"/>
    <n v="3618"/>
  </r>
  <r>
    <x v="9"/>
    <x v="2"/>
    <n v="3274"/>
    <n v="104"/>
    <n v="1196"/>
    <n v="4574"/>
  </r>
  <r>
    <x v="10"/>
    <x v="3"/>
    <n v="922"/>
    <n v="12"/>
    <n v="379"/>
    <n v="1313"/>
  </r>
  <r>
    <x v="11"/>
    <x v="4"/>
    <n v="555"/>
    <n v="47"/>
    <n v="349"/>
    <n v="951"/>
  </r>
  <r>
    <x v="12"/>
    <x v="5"/>
    <n v="411"/>
    <n v="34"/>
    <n v="267"/>
    <n v="712"/>
  </r>
  <r>
    <x v="13"/>
    <x v="6"/>
    <n v="271"/>
    <n v="0"/>
    <n v="145"/>
    <n v="416"/>
  </r>
  <r>
    <x v="14"/>
    <x v="0"/>
    <n v="1357"/>
    <n v="10"/>
    <n v="615"/>
    <n v="1982"/>
  </r>
  <r>
    <x v="15"/>
    <x v="1"/>
    <n v="4272"/>
    <n v="102"/>
    <n v="1371"/>
    <n v="5745"/>
  </r>
  <r>
    <x v="16"/>
    <x v="2"/>
    <n v="3344"/>
    <n v="98"/>
    <n v="1157"/>
    <n v="4599"/>
  </r>
  <r>
    <x v="17"/>
    <x v="3"/>
    <n v="713"/>
    <n v="30"/>
    <n v="88"/>
    <n v="831"/>
  </r>
  <r>
    <x v="18"/>
    <x v="4"/>
    <n v="640"/>
    <n v="43"/>
    <n v="355"/>
    <n v="1038"/>
  </r>
  <r>
    <x v="19"/>
    <x v="5"/>
    <n v="669"/>
    <n v="11"/>
    <n v="285"/>
    <n v="965"/>
  </r>
  <r>
    <x v="20"/>
    <x v="6"/>
    <n v="550"/>
    <n v="33"/>
    <n v="276"/>
    <n v="859"/>
  </r>
  <r>
    <x v="21"/>
    <x v="0"/>
    <n v="920"/>
    <n v="55"/>
    <n v="308"/>
    <n v="1283"/>
  </r>
  <r>
    <x v="22"/>
    <x v="1"/>
    <n v="2640"/>
    <n v="190"/>
    <n v="867"/>
    <n v="3697"/>
  </r>
  <r>
    <x v="23"/>
    <x v="2"/>
    <n v="2819"/>
    <n v="236"/>
    <n v="961"/>
    <n v="4016"/>
  </r>
  <r>
    <x v="24"/>
    <x v="3"/>
    <n v="1492"/>
    <n v="54"/>
    <n v="485"/>
    <n v="2031"/>
  </r>
  <r>
    <x v="25"/>
    <x v="4"/>
    <n v="1756"/>
    <n v="0"/>
    <n v="629"/>
    <n v="2385"/>
  </r>
  <r>
    <x v="26"/>
    <x v="5"/>
    <n v="3189"/>
    <n v="201"/>
    <n v="854"/>
    <n v="4244"/>
  </r>
  <r>
    <x v="27"/>
    <x v="6"/>
    <n v="2207"/>
    <n v="99"/>
    <n v="605"/>
    <n v="2911"/>
  </r>
  <r>
    <x v="28"/>
    <x v="0"/>
    <n v="3664"/>
    <n v="37"/>
    <n v="815"/>
    <n v="4516"/>
  </r>
  <r>
    <x v="29"/>
    <x v="1"/>
    <n v="1731"/>
    <n v="149"/>
    <n v="609"/>
    <n v="2489"/>
  </r>
  <r>
    <x v="30"/>
    <x v="2"/>
    <n v="2262"/>
    <n v="574"/>
    <n v="457"/>
    <n v="3293"/>
  </r>
  <r>
    <x v="31"/>
    <x v="3"/>
    <n v="4403"/>
    <n v="457"/>
    <n v="748"/>
    <n v="5608"/>
  </r>
  <r>
    <x v="32"/>
    <x v="4"/>
    <n v="3549"/>
    <n v="136"/>
    <n v="1115"/>
    <n v="4800"/>
  </r>
  <r>
    <x v="33"/>
    <x v="5"/>
    <n v="5421"/>
    <n v="265"/>
    <n v="1297"/>
    <n v="6983"/>
  </r>
  <r>
    <x v="34"/>
    <x v="6"/>
    <n v="4002"/>
    <n v="195"/>
    <n v="1021"/>
    <n v="5218"/>
  </r>
  <r>
    <x v="35"/>
    <x v="0"/>
    <n v="5296"/>
    <n v="344"/>
    <n v="1340"/>
    <n v="6980"/>
  </r>
  <r>
    <x v="36"/>
    <x v="1"/>
    <n v="2825"/>
    <n v="265"/>
    <n v="1145"/>
    <n v="4235"/>
  </r>
  <r>
    <x v="37"/>
    <x v="2"/>
    <n v="2857"/>
    <n v="203"/>
    <n v="1135"/>
    <n v="4195"/>
  </r>
  <r>
    <x v="38"/>
    <x v="3"/>
    <n v="3909"/>
    <n v="0"/>
    <n v="614"/>
    <n v="4523"/>
  </r>
  <r>
    <x v="39"/>
    <x v="4"/>
    <n v="750"/>
    <n v="112"/>
    <n v="189"/>
    <n v="1051"/>
  </r>
  <r>
    <x v="40"/>
    <x v="5"/>
    <n v="619"/>
    <n v="0"/>
    <n v="104"/>
    <n v="723"/>
  </r>
  <r>
    <x v="41"/>
    <x v="6"/>
    <n v="742"/>
    <n v="39"/>
    <n v="285"/>
    <n v="1066"/>
  </r>
  <r>
    <x v="42"/>
    <x v="0"/>
    <n v="1081"/>
    <n v="90"/>
    <n v="230"/>
    <n v="1401"/>
  </r>
  <r>
    <x v="43"/>
    <x v="1"/>
    <n v="2583"/>
    <n v="125"/>
    <n v="944"/>
    <n v="3652"/>
  </r>
  <r>
    <x v="44"/>
    <x v="2"/>
    <n v="3474"/>
    <n v="0"/>
    <n v="1098"/>
    <n v="4572"/>
  </r>
  <r>
    <x v="45"/>
    <x v="3"/>
    <n v="650"/>
    <n v="1"/>
    <n v="380"/>
    <n v="1031"/>
  </r>
  <r>
    <x v="46"/>
    <x v="4"/>
    <n v="612"/>
    <n v="13"/>
    <n v="307"/>
    <n v="932"/>
  </r>
  <r>
    <x v="47"/>
    <x v="5"/>
    <n v="1193"/>
    <n v="22"/>
    <n v="327"/>
    <n v="1542"/>
  </r>
  <r>
    <x v="48"/>
    <x v="6"/>
    <n v="995"/>
    <n v="60"/>
    <n v="328"/>
    <n v="1383"/>
  </r>
  <r>
    <x v="49"/>
    <x v="0"/>
    <n v="1989"/>
    <n v="79"/>
    <n v="295"/>
    <n v="2363"/>
  </r>
  <r>
    <x v="50"/>
    <x v="1"/>
    <n v="3625"/>
    <n v="226"/>
    <n v="1310"/>
    <n v="5161"/>
  </r>
  <r>
    <x v="51"/>
    <x v="2"/>
    <n v="5399"/>
    <n v="354"/>
    <n v="1444"/>
    <n v="7197"/>
  </r>
  <r>
    <x v="52"/>
    <x v="3"/>
    <n v="3264"/>
    <n v="202"/>
    <n v="785"/>
    <n v="4251"/>
  </r>
  <r>
    <x v="53"/>
    <x v="4"/>
    <n v="148"/>
    <n v="0"/>
    <n v="16"/>
    <n v="164"/>
  </r>
  <r>
    <x v="54"/>
    <x v="5"/>
    <n v="148"/>
    <n v="0"/>
    <n v="12"/>
    <n v="160"/>
  </r>
  <r>
    <x v="55"/>
    <x v="6"/>
    <n v="462"/>
    <n v="43"/>
    <n v="209"/>
    <n v="714"/>
  </r>
  <r>
    <x v="56"/>
    <x v="0"/>
    <n v="1522"/>
    <n v="51"/>
    <n v="238"/>
    <n v="1811"/>
  </r>
  <r>
    <x v="57"/>
    <x v="1"/>
    <n v="3829"/>
    <n v="156"/>
    <n v="1141"/>
    <n v="5126"/>
  </r>
  <r>
    <x v="58"/>
    <x v="2"/>
    <n v="3219"/>
    <n v="94"/>
    <n v="1109"/>
    <n v="4422"/>
  </r>
  <r>
    <x v="59"/>
    <x v="3"/>
    <n v="753"/>
    <n v="61"/>
    <n v="325"/>
    <n v="1139"/>
  </r>
  <r>
    <x v="60"/>
    <x v="4"/>
    <n v="620"/>
    <n v="74"/>
    <n v="302"/>
    <n v="996"/>
  </r>
  <r>
    <x v="61"/>
    <x v="5"/>
    <n v="722"/>
    <n v="14"/>
    <n v="255"/>
    <n v="991"/>
  </r>
  <r>
    <x v="62"/>
    <x v="6"/>
    <n v="778"/>
    <n v="59"/>
    <n v="258"/>
    <n v="1095"/>
  </r>
  <r>
    <x v="63"/>
    <x v="0"/>
    <n v="2109"/>
    <n v="58"/>
    <n v="379"/>
    <n v="2546"/>
  </r>
  <r>
    <x v="64"/>
    <x v="1"/>
    <n v="4575"/>
    <n v="272"/>
    <n v="1413"/>
    <n v="6260"/>
  </r>
  <r>
    <x v="65"/>
    <x v="2"/>
    <n v="3196"/>
    <n v="225"/>
    <n v="1104"/>
    <n v="4525"/>
  </r>
  <r>
    <x v="66"/>
    <x v="3"/>
    <n v="897"/>
    <n v="83"/>
    <n v="206"/>
    <n v="1186"/>
  </r>
  <r>
    <x v="67"/>
    <x v="4"/>
    <n v="476"/>
    <n v="39"/>
    <n v="195"/>
    <n v="710"/>
  </r>
  <r>
    <x v="68"/>
    <x v="5"/>
    <n v="1016"/>
    <n v="0"/>
    <n v="245"/>
    <n v="1261"/>
  </r>
  <r>
    <x v="69"/>
    <x v="6"/>
    <n v="531"/>
    <n v="0"/>
    <n v="143"/>
    <n v="674"/>
  </r>
  <r>
    <x v="70"/>
    <x v="0"/>
    <n v="1678"/>
    <n v="22"/>
    <n v="320"/>
    <n v="2020"/>
  </r>
  <r>
    <x v="71"/>
    <x v="1"/>
    <n v="4959"/>
    <n v="62"/>
    <n v="1416"/>
    <n v="6437"/>
  </r>
  <r>
    <x v="72"/>
    <x v="2"/>
    <n v="4653"/>
    <n v="26"/>
    <n v="1511"/>
    <n v="6190"/>
  </r>
  <r>
    <x v="73"/>
    <x v="3"/>
    <n v="1822"/>
    <n v="5"/>
    <n v="560"/>
    <n v="2387"/>
  </r>
  <r>
    <x v="74"/>
    <x v="4"/>
    <n v="1380"/>
    <n v="33"/>
    <n v="527"/>
    <n v="1940"/>
  </r>
  <r>
    <x v="75"/>
    <x v="5"/>
    <n v="980"/>
    <n v="0"/>
    <n v="307"/>
    <n v="1287"/>
  </r>
  <r>
    <x v="76"/>
    <x v="6"/>
    <n v="486"/>
    <n v="0"/>
    <n v="10"/>
    <n v="496"/>
  </r>
  <r>
    <x v="77"/>
    <x v="0"/>
    <n v="1176"/>
    <n v="0"/>
    <n v="129"/>
    <n v="1305"/>
  </r>
  <r>
    <x v="78"/>
    <x v="1"/>
    <n v="3694"/>
    <n v="123"/>
    <n v="1131"/>
    <n v="4948"/>
  </r>
  <r>
    <x v="79"/>
    <x v="2"/>
    <n v="4008"/>
    <n v="179"/>
    <n v="1254"/>
    <n v="5441"/>
  </r>
  <r>
    <x v="80"/>
    <x v="3"/>
    <n v="792"/>
    <n v="1"/>
    <n v="283"/>
    <n v="1076"/>
  </r>
  <r>
    <x v="81"/>
    <x v="4"/>
    <n v="653"/>
    <n v="48"/>
    <n v="255"/>
    <n v="956"/>
  </r>
  <r>
    <x v="82"/>
    <x v="5"/>
    <n v="155"/>
    <n v="0"/>
    <n v="13"/>
    <n v="168"/>
  </r>
  <r>
    <x v="83"/>
    <x v="6"/>
    <n v="635"/>
    <n v="50"/>
    <n v="118"/>
    <n v="803"/>
  </r>
  <r>
    <x v="84"/>
    <x v="0"/>
    <n v="1915"/>
    <n v="76"/>
    <n v="369"/>
    <n v="2360"/>
  </r>
  <r>
    <x v="85"/>
    <x v="1"/>
    <n v="3495"/>
    <n v="130"/>
    <n v="911"/>
    <n v="4536"/>
  </r>
  <r>
    <x v="86"/>
    <x v="2"/>
    <n v="4041"/>
    <n v="9"/>
    <n v="992"/>
    <n v="5042"/>
  </r>
  <r>
    <x v="87"/>
    <x v="3"/>
    <n v="3218"/>
    <n v="36"/>
    <n v="739"/>
    <n v="3993"/>
  </r>
  <r>
    <x v="88"/>
    <x v="4"/>
    <n v="1803"/>
    <n v="43"/>
    <n v="605"/>
    <n v="2451"/>
  </r>
  <r>
    <x v="89"/>
    <x v="5"/>
    <n v="1645"/>
    <n v="53"/>
    <n v="534"/>
    <n v="2232"/>
  </r>
  <r>
    <x v="90"/>
    <x v="6"/>
    <n v="1794"/>
    <n v="55"/>
    <n v="451"/>
    <n v="2300"/>
  </r>
  <r>
    <x v="91"/>
    <x v="0"/>
    <n v="2363"/>
    <n v="74"/>
    <n v="405"/>
    <n v="2842"/>
  </r>
  <r>
    <x v="92"/>
    <x v="1"/>
    <n v="4382"/>
    <n v="161"/>
    <n v="1132"/>
    <n v="5675"/>
  </r>
  <r>
    <x v="93"/>
    <x v="2"/>
    <n v="2829"/>
    <n v="61"/>
    <n v="1011"/>
    <n v="3901"/>
  </r>
  <r>
    <x v="94"/>
    <x v="3"/>
    <n v="645"/>
    <n v="27"/>
    <n v="253"/>
    <n v="925"/>
  </r>
  <r>
    <x v="95"/>
    <x v="4"/>
    <n v="718"/>
    <n v="27"/>
    <n v="342"/>
    <n v="1087"/>
  </r>
  <r>
    <x v="96"/>
    <x v="5"/>
    <n v="948"/>
    <n v="13"/>
    <n v="368"/>
    <n v="1329"/>
  </r>
  <r>
    <x v="97"/>
    <x v="6"/>
    <n v="905"/>
    <n v="16"/>
    <n v="312"/>
    <n v="1233"/>
  </r>
  <r>
    <x v="98"/>
    <x v="0"/>
    <n v="1447"/>
    <n v="46"/>
    <n v="319"/>
    <n v="1812"/>
  </r>
  <r>
    <x v="99"/>
    <x v="1"/>
    <n v="5525"/>
    <n v="153"/>
    <n v="1368"/>
    <n v="7046"/>
  </r>
  <r>
    <x v="100"/>
    <x v="2"/>
    <n v="3836"/>
    <n v="73"/>
    <n v="1296"/>
    <n v="5205"/>
  </r>
  <r>
    <x v="101"/>
    <x v="3"/>
    <n v="783"/>
    <n v="28"/>
    <n v="331"/>
    <n v="1142"/>
  </r>
  <r>
    <x v="102"/>
    <x v="4"/>
    <n v="682"/>
    <n v="10"/>
    <n v="304"/>
    <n v="996"/>
  </r>
  <r>
    <x v="103"/>
    <x v="5"/>
    <n v="1080"/>
    <n v="30"/>
    <n v="516"/>
    <n v="1626"/>
  </r>
  <r>
    <x v="104"/>
    <x v="6"/>
    <n v="790"/>
    <n v="10"/>
    <n v="366"/>
    <n v="1166"/>
  </r>
  <r>
    <x v="105"/>
    <x v="0"/>
    <n v="2151"/>
    <n v="93"/>
    <n v="258"/>
    <n v="2502"/>
  </r>
  <r>
    <x v="106"/>
    <x v="1"/>
    <n v="2548"/>
    <n v="3"/>
    <n v="679"/>
    <n v="3230"/>
  </r>
  <r>
    <x v="107"/>
    <x v="2"/>
    <n v="2261"/>
    <n v="49"/>
    <n v="728"/>
    <n v="3038"/>
  </r>
  <r>
    <x v="108"/>
    <x v="3"/>
    <n v="195"/>
    <n v="27"/>
    <n v="18"/>
    <n v="240"/>
  </r>
  <r>
    <x v="109"/>
    <x v="4"/>
    <n v="152"/>
    <n v="0"/>
    <n v="2"/>
    <n v="154"/>
  </r>
  <r>
    <x v="110"/>
    <x v="5"/>
    <n v="376"/>
    <n v="4"/>
    <n v="29"/>
    <n v="409"/>
  </r>
  <r>
    <x v="111"/>
    <x v="6"/>
    <n v="630"/>
    <n v="71"/>
    <n v="184"/>
    <n v="885"/>
  </r>
  <r>
    <x v="112"/>
    <x v="0"/>
    <n v="849"/>
    <n v="42"/>
    <n v="196"/>
    <n v="1087"/>
  </r>
  <r>
    <x v="113"/>
    <x v="1"/>
    <n v="1297"/>
    <n v="70"/>
    <n v="248"/>
    <n v="1615"/>
  </r>
  <r>
    <x v="114"/>
    <x v="2"/>
    <n v="3098"/>
    <n v="438"/>
    <n v="413"/>
    <n v="3949"/>
  </r>
  <r>
    <x v="115"/>
    <x v="3"/>
    <n v="554"/>
    <n v="36"/>
    <n v="161"/>
    <n v="751"/>
  </r>
  <r>
    <x v="116"/>
    <x v="4"/>
    <n v="281"/>
    <n v="21"/>
    <n v="89"/>
    <n v="391"/>
  </r>
  <r>
    <x v="117"/>
    <x v="5"/>
    <n v="421"/>
    <n v="0"/>
    <n v="35"/>
    <n v="456"/>
  </r>
  <r>
    <x v="118"/>
    <x v="6"/>
    <n v="613"/>
    <n v="35"/>
    <n v="213"/>
    <n v="861"/>
  </r>
  <r>
    <x v="119"/>
    <x v="0"/>
    <n v="1009"/>
    <n v="47"/>
    <n v="354"/>
    <n v="1410"/>
  </r>
  <r>
    <x v="120"/>
    <x v="1"/>
    <n v="2875"/>
    <n v="146"/>
    <n v="868"/>
    <n v="3889"/>
  </r>
  <r>
    <x v="121"/>
    <x v="2"/>
    <n v="1867"/>
    <n v="42"/>
    <n v="252"/>
    <n v="2161"/>
  </r>
  <r>
    <x v="122"/>
    <x v="3"/>
    <n v="553"/>
    <n v="28"/>
    <n v="115"/>
    <n v="696"/>
  </r>
  <r>
    <x v="123"/>
    <x v="4"/>
    <n v="455"/>
    <n v="13"/>
    <n v="139"/>
    <n v="607"/>
  </r>
  <r>
    <x v="124"/>
    <x v="5"/>
    <n v="239"/>
    <n v="21"/>
    <n v="50"/>
    <n v="310"/>
  </r>
  <r>
    <x v="125"/>
    <x v="6"/>
    <n v="444"/>
    <n v="25"/>
    <n v="200"/>
    <n v="669"/>
  </r>
  <r>
    <x v="126"/>
    <x v="0"/>
    <n v="1017"/>
    <n v="87"/>
    <n v="612"/>
    <n v="1716"/>
  </r>
  <r>
    <x v="127"/>
    <x v="1"/>
    <n v="766"/>
    <n v="64"/>
    <n v="298"/>
    <n v="1128"/>
  </r>
  <r>
    <x v="128"/>
    <x v="2"/>
    <n v="1314"/>
    <n v="133"/>
    <n v="707"/>
    <n v="2154"/>
  </r>
  <r>
    <x v="129"/>
    <x v="3"/>
    <n v="506"/>
    <n v="146"/>
    <n v="289"/>
    <n v="941"/>
  </r>
  <r>
    <x v="130"/>
    <x v="4"/>
    <n v="445"/>
    <n v="98"/>
    <n v="205"/>
    <n v="748"/>
  </r>
  <r>
    <x v="131"/>
    <x v="5"/>
    <n v="184"/>
    <n v="0"/>
    <n v="50"/>
    <n v="234"/>
  </r>
  <r>
    <x v="132"/>
    <x v="6"/>
    <n v="245"/>
    <n v="45"/>
    <n v="127"/>
    <n v="417"/>
  </r>
  <r>
    <x v="133"/>
    <x v="0"/>
    <n v="170"/>
    <n v="0"/>
    <n v="68"/>
    <n v="238"/>
  </r>
  <r>
    <x v="134"/>
    <x v="1"/>
    <n v="1319"/>
    <n v="96"/>
    <n v="871"/>
    <n v="2286"/>
  </r>
  <r>
    <x v="135"/>
    <x v="2"/>
    <n v="1965"/>
    <n v="228"/>
    <n v="1055"/>
    <n v="3248"/>
  </r>
  <r>
    <x v="136"/>
    <x v="3"/>
    <n v="407"/>
    <n v="30"/>
    <n v="187"/>
    <n v="624"/>
  </r>
  <r>
    <x v="137"/>
    <x v="4"/>
    <n v="764"/>
    <n v="127"/>
    <n v="383"/>
    <n v="1274"/>
  </r>
  <r>
    <x v="138"/>
    <x v="5"/>
    <n v="297"/>
    <n v="26"/>
    <n v="152"/>
    <n v="475"/>
  </r>
  <r>
    <x v="139"/>
    <x v="6"/>
    <n v="488"/>
    <n v="63"/>
    <n v="283"/>
    <n v="834"/>
  </r>
  <r>
    <x v="140"/>
    <x v="0"/>
    <n v="794"/>
    <n v="60"/>
    <n v="401"/>
    <n v="1255"/>
  </r>
  <r>
    <x v="141"/>
    <x v="1"/>
    <n v="1408"/>
    <n v="248"/>
    <n v="961"/>
    <n v="2617"/>
  </r>
  <r>
    <x v="142"/>
    <x v="2"/>
    <n v="1118"/>
    <n v="78"/>
    <n v="753"/>
    <n v="1949"/>
  </r>
  <r>
    <x v="143"/>
    <x v="3"/>
    <n v="192"/>
    <n v="30"/>
    <n v="121"/>
    <n v="343"/>
  </r>
  <r>
    <x v="144"/>
    <x v="4"/>
    <n v="169"/>
    <n v="40"/>
    <n v="134"/>
    <n v="343"/>
  </r>
  <r>
    <x v="145"/>
    <x v="5"/>
    <n v="172"/>
    <n v="16"/>
    <n v="125"/>
    <n v="313"/>
  </r>
  <r>
    <x v="146"/>
    <x v="6"/>
    <n v="168"/>
    <n v="24"/>
    <n v="151"/>
    <n v="343"/>
  </r>
  <r>
    <x v="147"/>
    <x v="0"/>
    <n v="1027"/>
    <n v="159"/>
    <n v="637"/>
    <n v="1823"/>
  </r>
  <r>
    <x v="148"/>
    <x v="1"/>
    <n v="840"/>
    <n v="172"/>
    <n v="647"/>
    <n v="1659"/>
  </r>
  <r>
    <x v="149"/>
    <x v="2"/>
    <n v="863"/>
    <n v="122"/>
    <n v="640"/>
    <n v="1625"/>
  </r>
  <r>
    <x v="150"/>
    <x v="7"/>
    <n v="244307"/>
    <n v="12428"/>
    <n v="76621"/>
    <n v="333356"/>
  </r>
</pivotCacheRecords>
</file>

<file path=xl/pivotCache/pivotCacheRecords2.xml><?xml version="1.0" encoding="utf-8"?>
<pivotCacheRecords xmlns="http://schemas.openxmlformats.org/spreadsheetml/2006/main" xmlns:r="http://schemas.openxmlformats.org/officeDocument/2006/relationships" count="149">
  <r>
    <d v="2015-11-21T00:00:00"/>
    <x v="0"/>
    <n v="693"/>
    <n v="320"/>
    <n v="272"/>
    <n v="1285"/>
  </r>
  <r>
    <d v="2015-11-22T00:00:00"/>
    <x v="1"/>
    <n v="516"/>
    <n v="218"/>
    <n v="210"/>
    <n v="944"/>
  </r>
  <r>
    <d v="2015-11-23T00:00:00"/>
    <x v="2"/>
    <n v="90"/>
    <n v="41"/>
    <n v="51"/>
    <n v="182"/>
  </r>
  <r>
    <d v="2015-11-24T00:00:00"/>
    <x v="3"/>
    <n v="132"/>
    <n v="29"/>
    <n v="108"/>
    <n v="269"/>
  </r>
  <r>
    <d v="2015-11-25T00:00:00"/>
    <x v="4"/>
    <n v="442"/>
    <n v="146"/>
    <n v="155"/>
    <n v="743"/>
  </r>
  <r>
    <d v="2015-11-26T00:00:00"/>
    <x v="5"/>
    <n v="458"/>
    <n v="264"/>
    <n v="161"/>
    <n v="883"/>
  </r>
  <r>
    <d v="2015-11-27T00:00:00"/>
    <x v="6"/>
    <n v="1135"/>
    <n v="780"/>
    <n v="258"/>
    <n v="2173"/>
  </r>
  <r>
    <d v="2015-11-28T00:00:00"/>
    <x v="0"/>
    <n v="1491"/>
    <n v="635"/>
    <n v="268"/>
    <n v="2394"/>
  </r>
  <r>
    <d v="2015-11-29T00:00:00"/>
    <x v="1"/>
    <n v="664"/>
    <n v="315"/>
    <n v="151"/>
    <n v="1130"/>
  </r>
  <r>
    <d v="2015-11-30T00:00:00"/>
    <x v="2"/>
    <n v="80"/>
    <n v="53"/>
    <n v="39"/>
    <n v="172"/>
  </r>
  <r>
    <d v="2015-12-01T00:00:00"/>
    <x v="3"/>
    <n v="47"/>
    <n v="21"/>
    <n v="20"/>
    <n v="88"/>
  </r>
  <r>
    <d v="2015-12-02T00:00:00"/>
    <x v="4"/>
    <n v="118"/>
    <n v="2"/>
    <n v="74"/>
    <n v="194"/>
  </r>
  <r>
    <d v="2015-12-03T00:00:00"/>
    <x v="5"/>
    <n v="0"/>
    <n v="0"/>
    <n v="0"/>
    <n v="0"/>
  </r>
  <r>
    <d v="2015-12-04T00:00:00"/>
    <x v="6"/>
    <n v="345"/>
    <n v="24"/>
    <n v="198"/>
    <n v="567"/>
  </r>
  <r>
    <d v="2015-12-05T00:00:00"/>
    <x v="0"/>
    <n v="1354"/>
    <n v="0"/>
    <n v="415"/>
    <n v="1769"/>
  </r>
  <r>
    <d v="2015-12-06T00:00:00"/>
    <x v="1"/>
    <n v="2586"/>
    <n v="126"/>
    <n v="499"/>
    <n v="3211"/>
  </r>
  <r>
    <d v="2015-12-07T00:00:00"/>
    <x v="2"/>
    <n v="163"/>
    <n v="0"/>
    <n v="30"/>
    <n v="193"/>
  </r>
  <r>
    <d v="2015-12-08T00:00:00"/>
    <x v="3"/>
    <n v="55"/>
    <n v="0"/>
    <n v="11"/>
    <n v="66"/>
  </r>
  <r>
    <d v="2015-12-09T00:00:00"/>
    <x v="4"/>
    <n v="92"/>
    <n v="0"/>
    <n v="9"/>
    <n v="101"/>
  </r>
  <r>
    <d v="2015-12-10T00:00:00"/>
    <x v="5"/>
    <n v="275"/>
    <n v="0"/>
    <n v="44"/>
    <n v="319"/>
  </r>
  <r>
    <d v="2015-12-11T00:00:00"/>
    <x v="6"/>
    <n v="958"/>
    <n v="41"/>
    <n v="413"/>
    <n v="1412"/>
  </r>
  <r>
    <d v="2015-12-12T00:00:00"/>
    <x v="0"/>
    <n v="2785"/>
    <n v="21"/>
    <n v="830"/>
    <n v="3636"/>
  </r>
  <r>
    <d v="2015-12-13T00:00:00"/>
    <x v="1"/>
    <n v="4249"/>
    <n v="67"/>
    <n v="1067"/>
    <n v="5383"/>
  </r>
  <r>
    <d v="2015-12-14T00:00:00"/>
    <x v="2"/>
    <n v="1010"/>
    <n v="32"/>
    <n v="289"/>
    <n v="1331"/>
  </r>
  <r>
    <d v="2015-12-15T00:00:00"/>
    <x v="3"/>
    <n v="717"/>
    <n v="9"/>
    <n v="205"/>
    <n v="931"/>
  </r>
  <r>
    <d v="2015-12-16T00:00:00"/>
    <x v="4"/>
    <n v="689"/>
    <n v="35"/>
    <n v="156"/>
    <n v="880"/>
  </r>
  <r>
    <d v="2015-12-17T00:00:00"/>
    <x v="5"/>
    <n v="1014"/>
    <n v="32"/>
    <n v="289"/>
    <n v="1335"/>
  </r>
  <r>
    <d v="2015-12-18T00:00:00"/>
    <x v="6"/>
    <n v="2391"/>
    <n v="35"/>
    <n v="593"/>
    <n v="3019"/>
  </r>
  <r>
    <d v="2015-12-19T00:00:00"/>
    <x v="0"/>
    <n v="4239"/>
    <n v="184"/>
    <n v="972"/>
    <n v="5395"/>
  </r>
  <r>
    <d v="2015-12-20T00:00:00"/>
    <x v="1"/>
    <n v="3405"/>
    <n v="118"/>
    <n v="996"/>
    <n v="4519"/>
  </r>
  <r>
    <d v="2015-12-21T00:00:00"/>
    <x v="2"/>
    <n v="2611"/>
    <n v="36"/>
    <n v="556"/>
    <n v="3203"/>
  </r>
  <r>
    <d v="2015-12-22T00:00:00"/>
    <x v="3"/>
    <n v="3364"/>
    <n v="93"/>
    <n v="772"/>
    <n v="4229"/>
  </r>
  <r>
    <d v="2015-12-23T00:00:00"/>
    <x v="4"/>
    <n v="4095"/>
    <n v="55"/>
    <n v="677"/>
    <n v="4827"/>
  </r>
  <r>
    <d v="2015-12-24T00:00:00"/>
    <x v="5"/>
    <n v="3763"/>
    <n v="148"/>
    <n v="524"/>
    <n v="4435"/>
  </r>
  <r>
    <d v="2015-12-25T00:00:00"/>
    <x v="6"/>
    <n v="2821"/>
    <n v="449"/>
    <n v="391"/>
    <n v="3661"/>
  </r>
  <r>
    <d v="2015-12-26T00:00:00"/>
    <x v="0"/>
    <n v="4472"/>
    <n v="531"/>
    <n v="655"/>
    <n v="5658"/>
  </r>
  <r>
    <d v="2015-12-27T00:00:00"/>
    <x v="1"/>
    <n v="3955"/>
    <n v="292"/>
    <n v="940"/>
    <n v="5187"/>
  </r>
  <r>
    <d v="2015-12-28T00:00:00"/>
    <x v="2"/>
    <n v="4499"/>
    <n v="213"/>
    <n v="766"/>
    <n v="5478"/>
  </r>
  <r>
    <d v="2015-12-29T00:00:00"/>
    <x v="3"/>
    <n v="4224"/>
    <n v="347"/>
    <n v="829"/>
    <n v="5400"/>
  </r>
  <r>
    <d v="2015-12-30T00:00:00"/>
    <x v="4"/>
    <n v="5466"/>
    <n v="499"/>
    <n v="945"/>
    <n v="6910"/>
  </r>
  <r>
    <d v="2015-12-31T00:00:00"/>
    <x v="5"/>
    <n v="4467"/>
    <n v="393"/>
    <n v="984"/>
    <n v="5844"/>
  </r>
  <r>
    <d v="2016-01-01T00:00:00"/>
    <x v="6"/>
    <n v="4846"/>
    <n v="863"/>
    <n v="779"/>
    <n v="6488"/>
  </r>
  <r>
    <d v="2016-01-02T00:00:00"/>
    <x v="0"/>
    <n v="5031"/>
    <n v="1105"/>
    <n v="954"/>
    <n v="7090"/>
  </r>
  <r>
    <d v="2016-01-03T00:00:00"/>
    <x v="1"/>
    <n v="2486"/>
    <n v="210"/>
    <n v="568"/>
    <n v="3264"/>
  </r>
  <r>
    <d v="2016-01-04T00:00:00"/>
    <x v="2"/>
    <n v="871"/>
    <n v="40"/>
    <n v="261"/>
    <n v="1172"/>
  </r>
  <r>
    <d v="2016-01-05T00:00:00"/>
    <x v="3"/>
    <n v="792"/>
    <n v="34"/>
    <n v="173"/>
    <n v="999"/>
  </r>
  <r>
    <d v="2016-01-06T00:00:00"/>
    <x v="4"/>
    <n v="901"/>
    <n v="16"/>
    <n v="251"/>
    <n v="1168"/>
  </r>
  <r>
    <d v="2016-01-07T00:00:00"/>
    <x v="5"/>
    <n v="820"/>
    <n v="48"/>
    <n v="251"/>
    <n v="1119"/>
  </r>
  <r>
    <d v="2016-01-08T00:00:00"/>
    <x v="6"/>
    <n v="1229"/>
    <n v="124"/>
    <n v="558"/>
    <n v="1911"/>
  </r>
  <r>
    <d v="2016-01-09T00:00:00"/>
    <x v="0"/>
    <n v="4600"/>
    <n v="289"/>
    <n v="1880"/>
    <n v="6769"/>
  </r>
  <r>
    <d v="2016-01-10T00:00:00"/>
    <x v="1"/>
    <n v="2622"/>
    <n v="283"/>
    <n v="1032"/>
    <n v="3937"/>
  </r>
  <r>
    <d v="2016-01-11T00:00:00"/>
    <x v="2"/>
    <n v="461"/>
    <n v="41"/>
    <n v="141"/>
    <n v="643"/>
  </r>
  <r>
    <d v="2016-01-12T00:00:00"/>
    <x v="3"/>
    <n v="414"/>
    <n v="7"/>
    <n v="147"/>
    <n v="568"/>
  </r>
  <r>
    <d v="2016-01-13T00:00:00"/>
    <x v="4"/>
    <n v="1168"/>
    <n v="23"/>
    <n v="351"/>
    <n v="1542"/>
  </r>
  <r>
    <d v="2016-01-14T00:00:00"/>
    <x v="5"/>
    <n v="859"/>
    <n v="61"/>
    <n v="368"/>
    <n v="1288"/>
  </r>
  <r>
    <d v="2016-01-15T00:00:00"/>
    <x v="6"/>
    <n v="1752"/>
    <n v="69"/>
    <n v="728"/>
    <n v="2549"/>
  </r>
  <r>
    <d v="2016-01-16T00:00:00"/>
    <x v="0"/>
    <n v="5391"/>
    <n v="275"/>
    <n v="1474"/>
    <n v="7140"/>
  </r>
  <r>
    <d v="2016-01-17T00:00:00"/>
    <x v="1"/>
    <n v="4081"/>
    <n v="130"/>
    <n v="1046"/>
    <n v="5257"/>
  </r>
  <r>
    <d v="2016-01-18T00:00:00"/>
    <x v="2"/>
    <n v="4994"/>
    <n v="294"/>
    <n v="818"/>
    <n v="6106"/>
  </r>
  <r>
    <d v="2016-01-19T00:00:00"/>
    <x v="3"/>
    <n v="524"/>
    <n v="25"/>
    <n v="211"/>
    <n v="760"/>
  </r>
  <r>
    <d v="2016-01-20T00:00:00"/>
    <x v="4"/>
    <n v="690"/>
    <n v="38"/>
    <n v="366"/>
    <n v="1094"/>
  </r>
  <r>
    <d v="2016-01-21T00:00:00"/>
    <x v="5"/>
    <n v="190"/>
    <n v="0"/>
    <n v="0"/>
    <n v="190"/>
  </r>
  <r>
    <d v="2016-01-22T00:00:00"/>
    <x v="6"/>
    <n v="763"/>
    <n v="114"/>
    <n v="698"/>
    <n v="1575"/>
  </r>
  <r>
    <d v="2016-01-23T00:00:00"/>
    <x v="0"/>
    <n v="4268"/>
    <n v="185"/>
    <n v="1748"/>
    <n v="6201"/>
  </r>
  <r>
    <d v="2016-01-24T00:00:00"/>
    <x v="1"/>
    <n v="4187"/>
    <n v="177"/>
    <n v="1151"/>
    <n v="5515"/>
  </r>
  <r>
    <d v="2016-01-25T00:00:00"/>
    <x v="2"/>
    <n v="1027"/>
    <n v="83"/>
    <n v="280"/>
    <n v="1390"/>
  </r>
  <r>
    <d v="2016-01-26T00:00:00"/>
    <x v="3"/>
    <n v="223"/>
    <n v="17"/>
    <n v="68"/>
    <n v="308"/>
  </r>
  <r>
    <d v="2016-01-27T00:00:00"/>
    <x v="4"/>
    <n v="230"/>
    <n v="0"/>
    <n v="13"/>
    <n v="243"/>
  </r>
  <r>
    <d v="2016-01-28T00:00:00"/>
    <x v="5"/>
    <n v="146"/>
    <n v="0"/>
    <n v="3"/>
    <n v="149"/>
  </r>
  <r>
    <d v="2016-01-29T00:00:00"/>
    <x v="6"/>
    <n v="1103"/>
    <n v="48"/>
    <n v="727"/>
    <n v="1878"/>
  </r>
  <r>
    <d v="2016-01-30T00:00:00"/>
    <x v="0"/>
    <n v="4901"/>
    <n v="222"/>
    <n v="1759"/>
    <n v="6882"/>
  </r>
  <r>
    <d v="2016-01-31T00:00:00"/>
    <x v="1"/>
    <n v="4366"/>
    <n v="159"/>
    <n v="1158"/>
    <n v="5683"/>
  </r>
  <r>
    <d v="2016-02-01T00:00:00"/>
    <x v="2"/>
    <n v="647"/>
    <n v="61"/>
    <n v="263"/>
    <n v="971"/>
  </r>
  <r>
    <d v="2016-02-02T00:00:00"/>
    <x v="3"/>
    <n v="616"/>
    <n v="66"/>
    <n v="223"/>
    <n v="905"/>
  </r>
  <r>
    <d v="2016-02-03T00:00:00"/>
    <x v="4"/>
    <n v="484"/>
    <n v="29"/>
    <n v="187"/>
    <n v="700"/>
  </r>
  <r>
    <d v="2016-02-04T00:00:00"/>
    <x v="5"/>
    <n v="1215"/>
    <n v="35"/>
    <n v="423"/>
    <n v="1673"/>
  </r>
  <r>
    <d v="2016-02-05T00:00:00"/>
    <x v="6"/>
    <n v="1049"/>
    <n v="0"/>
    <n v="538"/>
    <n v="1587"/>
  </r>
  <r>
    <d v="2016-02-06T00:00:00"/>
    <x v="0"/>
    <n v="4436"/>
    <n v="200"/>
    <n v="1287"/>
    <n v="5923"/>
  </r>
  <r>
    <d v="2016-02-07T00:00:00"/>
    <x v="1"/>
    <n v="4091"/>
    <n v="24"/>
    <n v="1146"/>
    <n v="5261"/>
  </r>
  <r>
    <d v="2016-02-08T00:00:00"/>
    <x v="2"/>
    <n v="739"/>
    <n v="162"/>
    <n v="206"/>
    <n v="1107"/>
  </r>
  <r>
    <d v="2016-02-09T00:00:00"/>
    <x v="3"/>
    <n v="663"/>
    <n v="94"/>
    <n v="182"/>
    <n v="939"/>
  </r>
  <r>
    <d v="2016-02-10T00:00:00"/>
    <x v="4"/>
    <n v="607"/>
    <n v="30"/>
    <n v="117"/>
    <n v="754"/>
  </r>
  <r>
    <d v="2016-02-11T00:00:00"/>
    <x v="5"/>
    <n v="497"/>
    <n v="36"/>
    <n v="74"/>
    <n v="607"/>
  </r>
  <r>
    <d v="2016-02-12T00:00:00"/>
    <x v="6"/>
    <n v="897"/>
    <n v="20"/>
    <n v="250"/>
    <n v="1167"/>
  </r>
  <r>
    <d v="2016-02-13T00:00:00"/>
    <x v="0"/>
    <n v="3391"/>
    <n v="182"/>
    <n v="921"/>
    <n v="4494"/>
  </r>
  <r>
    <d v="2016-02-14T00:00:00"/>
    <x v="1"/>
    <n v="1678"/>
    <n v="79"/>
    <n v="371"/>
    <n v="2128"/>
  </r>
  <r>
    <d v="2016-02-15T00:00:00"/>
    <x v="2"/>
    <n v="1418"/>
    <n v="114"/>
    <n v="121"/>
    <n v="1653"/>
  </r>
  <r>
    <d v="2016-02-16T00:00:00"/>
    <x v="3"/>
    <n v="1046"/>
    <n v="121"/>
    <n v="198"/>
    <n v="1365"/>
  </r>
  <r>
    <d v="2016-02-17T00:00:00"/>
    <x v="4"/>
    <n v="665"/>
    <n v="74"/>
    <n v="103"/>
    <n v="842"/>
  </r>
  <r>
    <d v="2016-02-18T00:00:00"/>
    <x v="5"/>
    <n v="1385"/>
    <n v="55"/>
    <n v="304"/>
    <n v="1744"/>
  </r>
  <r>
    <d v="2016-02-19T00:00:00"/>
    <x v="6"/>
    <n v="2044"/>
    <n v="48"/>
    <n v="504"/>
    <n v="2596"/>
  </r>
  <r>
    <d v="2016-02-20T00:00:00"/>
    <x v="0"/>
    <n v="5699"/>
    <n v="346"/>
    <n v="1287"/>
    <n v="7332"/>
  </r>
  <r>
    <d v="2016-02-21T00:00:00"/>
    <x v="1"/>
    <n v="2974"/>
    <n v="29"/>
    <n v="847"/>
    <n v="3850"/>
  </r>
  <r>
    <d v="2016-02-22T00:00:00"/>
    <x v="2"/>
    <n v="711"/>
    <n v="41"/>
    <n v="235"/>
    <n v="987"/>
  </r>
  <r>
    <d v="2016-02-23T00:00:00"/>
    <x v="3"/>
    <n v="762"/>
    <n v="80"/>
    <n v="241"/>
    <n v="1083"/>
  </r>
  <r>
    <d v="2016-02-24T00:00:00"/>
    <x v="4"/>
    <n v="624"/>
    <n v="57"/>
    <n v="174"/>
    <n v="855"/>
  </r>
  <r>
    <d v="2016-02-25T00:00:00"/>
    <x v="5"/>
    <n v="752"/>
    <n v="90"/>
    <n v="230"/>
    <n v="1072"/>
  </r>
  <r>
    <d v="2016-02-26T00:00:00"/>
    <x v="6"/>
    <n v="834"/>
    <n v="100"/>
    <n v="196"/>
    <n v="1130"/>
  </r>
  <r>
    <d v="2016-02-27T00:00:00"/>
    <x v="0"/>
    <n v="2292"/>
    <n v="183"/>
    <n v="766"/>
    <n v="3241"/>
  </r>
  <r>
    <d v="2016-02-28T00:00:00"/>
    <x v="1"/>
    <n v="1712"/>
    <n v="8"/>
    <n v="458"/>
    <n v="2178"/>
  </r>
  <r>
    <d v="2016-02-29T00:00:00"/>
    <x v="2"/>
    <n v="626"/>
    <n v="55"/>
    <n v="317"/>
    <n v="998"/>
  </r>
  <r>
    <d v="2016-03-01T00:00:00"/>
    <x v="3"/>
    <n v="113"/>
    <n v="0"/>
    <n v="10"/>
    <n v="123"/>
  </r>
  <r>
    <d v="2016-03-02T00:00:00"/>
    <x v="4"/>
    <n v="483"/>
    <n v="28"/>
    <n v="234"/>
    <n v="745"/>
  </r>
  <r>
    <d v="2016-03-03T00:00:00"/>
    <x v="5"/>
    <n v="812"/>
    <n v="21"/>
    <n v="171"/>
    <n v="1004"/>
  </r>
  <r>
    <d v="2016-03-04T00:00:00"/>
    <x v="6"/>
    <n v="1240"/>
    <n v="23"/>
    <n v="186"/>
    <n v="1449"/>
  </r>
  <r>
    <d v="2016-03-05T00:00:00"/>
    <x v="0"/>
    <n v="2590"/>
    <n v="209"/>
    <n v="689"/>
    <n v="3488"/>
  </r>
  <r>
    <d v="2016-03-06T00:00:00"/>
    <x v="1"/>
    <n v="2346"/>
    <n v="103"/>
    <n v="713"/>
    <n v="3162"/>
  </r>
  <r>
    <d v="2016-03-07T00:00:00"/>
    <x v="2"/>
    <n v="454"/>
    <n v="24"/>
    <n v="158"/>
    <n v="636"/>
  </r>
  <r>
    <d v="2016-03-08T00:00:00"/>
    <x v="3"/>
    <n v="452"/>
    <n v="42"/>
    <n v="190"/>
    <n v="684"/>
  </r>
  <r>
    <d v="2016-03-09T00:00:00"/>
    <x v="4"/>
    <n v="435"/>
    <n v="0"/>
    <n v="142"/>
    <n v="577"/>
  </r>
  <r>
    <d v="2016-03-10T00:00:00"/>
    <x v="5"/>
    <n v="629"/>
    <n v="0"/>
    <n v="302"/>
    <n v="931"/>
  </r>
  <r>
    <d v="2016-03-11T00:00:00"/>
    <x v="6"/>
    <n v="1233"/>
    <n v="65"/>
    <n v="344"/>
    <n v="1642"/>
  </r>
  <r>
    <d v="2016-03-12T00:00:00"/>
    <x v="0"/>
    <n v="2792"/>
    <n v="145"/>
    <n v="838"/>
    <n v="3775"/>
  </r>
  <r>
    <d v="2016-03-13T00:00:00"/>
    <x v="1"/>
    <n v="2442"/>
    <n v="0"/>
    <n v="742"/>
    <n v="3184"/>
  </r>
  <r>
    <d v="2016-03-14T00:00:00"/>
    <x v="2"/>
    <n v="1135"/>
    <n v="33"/>
    <n v="217"/>
    <n v="1385"/>
  </r>
  <r>
    <d v="2016-03-15T00:00:00"/>
    <x v="3"/>
    <n v="992"/>
    <n v="35"/>
    <n v="333"/>
    <n v="1360"/>
  </r>
  <r>
    <d v="2016-03-16T00:00:00"/>
    <x v="4"/>
    <n v="889"/>
    <n v="46"/>
    <n v="234"/>
    <n v="1169"/>
  </r>
  <r>
    <d v="2016-03-17T00:00:00"/>
    <x v="5"/>
    <n v="1213"/>
    <n v="115"/>
    <n v="277"/>
    <n v="1605"/>
  </r>
  <r>
    <d v="2016-03-18T00:00:00"/>
    <x v="6"/>
    <n v="1203"/>
    <n v="137"/>
    <n v="310"/>
    <n v="1650"/>
  </r>
  <r>
    <d v="2016-03-19T00:00:00"/>
    <x v="0"/>
    <n v="2286"/>
    <n v="333"/>
    <n v="533"/>
    <n v="3152"/>
  </r>
  <r>
    <d v="2016-03-20T00:00:00"/>
    <x v="1"/>
    <n v="1009"/>
    <n v="148"/>
    <n v="331"/>
    <n v="1488"/>
  </r>
  <r>
    <d v="2016-03-21T00:00:00"/>
    <x v="2"/>
    <n v="518"/>
    <n v="64"/>
    <n v="86"/>
    <n v="668"/>
  </r>
  <r>
    <d v="2016-03-22T00:00:00"/>
    <x v="3"/>
    <n v="549"/>
    <n v="51"/>
    <n v="105"/>
    <n v="705"/>
  </r>
  <r>
    <d v="2016-03-23T00:00:00"/>
    <x v="4"/>
    <n v="550"/>
    <n v="27"/>
    <n v="138"/>
    <n v="715"/>
  </r>
  <r>
    <d v="2016-03-24T00:00:00"/>
    <x v="5"/>
    <n v="648"/>
    <n v="57"/>
    <n v="245"/>
    <n v="950"/>
  </r>
  <r>
    <d v="2016-03-25T00:00:00"/>
    <x v="6"/>
    <n v="1414"/>
    <n v="116"/>
    <n v="421"/>
    <n v="1951"/>
  </r>
  <r>
    <d v="2016-03-26T00:00:00"/>
    <x v="0"/>
    <n v="2528"/>
    <n v="363"/>
    <n v="898"/>
    <n v="3789"/>
  </r>
  <r>
    <d v="2016-03-27T00:00:00"/>
    <x v="1"/>
    <n v="1274"/>
    <n v="137"/>
    <n v="558"/>
    <n v="1969"/>
  </r>
  <r>
    <d v="2016-03-28T00:00:00"/>
    <x v="2"/>
    <n v="350"/>
    <n v="30"/>
    <n v="153"/>
    <n v="533"/>
  </r>
  <r>
    <d v="2016-03-29T00:00:00"/>
    <x v="3"/>
    <n v="2117"/>
    <n v="449"/>
    <n v="204"/>
    <n v="2770"/>
  </r>
  <r>
    <d v="2016-03-30T00:00:00"/>
    <x v="4"/>
    <n v="517"/>
    <n v="96"/>
    <n v="227"/>
    <n v="840"/>
  </r>
  <r>
    <d v="2016-03-31T00:00:00"/>
    <x v="5"/>
    <n v="460"/>
    <n v="108"/>
    <n v="210"/>
    <n v="778"/>
  </r>
  <r>
    <d v="2016-04-01T00:00:00"/>
    <x v="6"/>
    <n v="662"/>
    <n v="175"/>
    <n v="256"/>
    <n v="1093"/>
  </r>
  <r>
    <d v="2016-04-02T00:00:00"/>
    <x v="0"/>
    <n v="1249"/>
    <n v="517"/>
    <n v="606"/>
    <n v="2372"/>
  </r>
  <r>
    <d v="2016-04-03T00:00:00"/>
    <x v="1"/>
    <n v="1226"/>
    <n v="311"/>
    <n v="537"/>
    <n v="2074"/>
  </r>
  <r>
    <d v="2016-04-04T00:00:00"/>
    <x v="2"/>
    <n v="244"/>
    <n v="23"/>
    <n v="88"/>
    <n v="355"/>
  </r>
  <r>
    <d v="2016-04-05T00:00:00"/>
    <x v="3"/>
    <n v="331"/>
    <n v="35"/>
    <n v="202"/>
    <n v="568"/>
  </r>
  <r>
    <d v="2016-04-06T00:00:00"/>
    <x v="4"/>
    <n v="412"/>
    <n v="98"/>
    <n v="234"/>
    <n v="744"/>
  </r>
  <r>
    <d v="2016-04-07T00:00:00"/>
    <x v="5"/>
    <n v="496"/>
    <n v="249"/>
    <n v="211"/>
    <n v="956"/>
  </r>
  <r>
    <d v="2016-04-08T00:00:00"/>
    <x v="6"/>
    <n v="434"/>
    <n v="178"/>
    <n v="248"/>
    <n v="860"/>
  </r>
  <r>
    <d v="2016-04-09T00:00:00"/>
    <x v="0"/>
    <n v="1405"/>
    <n v="444"/>
    <n v="635"/>
    <n v="2484"/>
  </r>
  <r>
    <d v="2016-04-10T00:00:00"/>
    <x v="1"/>
    <n v="996"/>
    <n v="280"/>
    <n v="327"/>
    <n v="1603"/>
  </r>
  <r>
    <d v="2016-04-11T00:00:00"/>
    <x v="2"/>
    <n v="247"/>
    <n v="67"/>
    <n v="93"/>
    <n v="407"/>
  </r>
  <r>
    <d v="2016-04-12T00:00:00"/>
    <x v="3"/>
    <n v="128"/>
    <n v="20"/>
    <n v="89"/>
    <n v="237"/>
  </r>
  <r>
    <d v="2016-04-13T00:00:00"/>
    <x v="4"/>
    <n v="178"/>
    <n v="35"/>
    <n v="103"/>
    <n v="316"/>
  </r>
  <r>
    <d v="2016-04-14T00:00:00"/>
    <x v="5"/>
    <n v="234"/>
    <n v="31"/>
    <n v="133"/>
    <n v="398"/>
  </r>
  <r>
    <d v="2016-04-15T00:00:00"/>
    <x v="6"/>
    <n v="388"/>
    <n v="57"/>
    <n v="151"/>
    <n v="596"/>
  </r>
  <r>
    <d v="2016-04-16T00:00:00"/>
    <x v="0"/>
    <n v="970"/>
    <n v="332"/>
    <n v="608"/>
    <n v="1910"/>
  </r>
  <r>
    <d v="2016-04-17T00:00:00"/>
    <x v="1"/>
    <n v="885"/>
    <n v="334"/>
    <n v="699"/>
    <n v="1918"/>
  </r>
</pivotCacheRecords>
</file>

<file path=xl/pivotCache/pivotCacheRecords3.xml><?xml version="1.0" encoding="utf-8"?>
<pivotCacheRecords xmlns="http://schemas.openxmlformats.org/spreadsheetml/2006/main" xmlns:r="http://schemas.openxmlformats.org/officeDocument/2006/relationships" count="147">
  <r>
    <d v="2013-11-20T00:00:00"/>
    <x v="0"/>
    <n v="645"/>
  </r>
  <r>
    <d v="2013-11-21T00:00:00"/>
    <x v="1"/>
    <n v="317"/>
  </r>
  <r>
    <d v="2013-11-22T00:00:00"/>
    <x v="2"/>
    <n v="303"/>
  </r>
  <r>
    <d v="2013-11-23T00:00:00"/>
    <x v="3"/>
    <n v="1160"/>
  </r>
  <r>
    <d v="2013-11-24T00:00:00"/>
    <x v="4"/>
    <n v="822"/>
  </r>
  <r>
    <d v="2013-12-02T00:00:00"/>
    <x v="5"/>
    <n v="496"/>
  </r>
  <r>
    <d v="2013-12-03T00:00:00"/>
    <x v="6"/>
    <n v="544"/>
  </r>
  <r>
    <d v="2013-12-04T00:00:00"/>
    <x v="0"/>
    <n v="454"/>
  </r>
  <r>
    <d v="2013-12-05T00:00:00"/>
    <x v="1"/>
    <n v="397"/>
  </r>
  <r>
    <d v="2013-12-06T00:00:00"/>
    <x v="2"/>
    <n v="345"/>
  </r>
  <r>
    <d v="2013-12-07T00:00:00"/>
    <x v="3"/>
    <n v="1772"/>
  </r>
  <r>
    <d v="2013-12-08T00:00:00"/>
    <x v="4"/>
    <n v="1603"/>
  </r>
  <r>
    <d v="2013-12-09T00:00:00"/>
    <x v="5"/>
    <n v="215"/>
  </r>
  <r>
    <d v="2013-12-10T00:00:00"/>
    <x v="6"/>
    <n v="190"/>
  </r>
  <r>
    <d v="2013-12-11T00:00:00"/>
    <x v="0"/>
    <n v="310"/>
  </r>
  <r>
    <d v="2013-12-12T00:00:00"/>
    <x v="1"/>
    <n v="353"/>
  </r>
  <r>
    <d v="2013-12-13T00:00:00"/>
    <x v="2"/>
    <n v="741"/>
  </r>
  <r>
    <d v="2013-12-14T00:00:00"/>
    <x v="3"/>
    <n v="2698"/>
  </r>
  <r>
    <d v="2013-12-15T00:00:00"/>
    <x v="4"/>
    <n v="1775"/>
  </r>
  <r>
    <d v="2013-12-16T00:00:00"/>
    <x v="5"/>
    <n v="551"/>
  </r>
  <r>
    <d v="2013-12-17T00:00:00"/>
    <x v="6"/>
    <n v="320"/>
  </r>
  <r>
    <d v="2013-12-18T00:00:00"/>
    <x v="0"/>
    <n v="362"/>
  </r>
  <r>
    <d v="2013-12-19T00:00:00"/>
    <x v="1"/>
    <n v="586"/>
  </r>
  <r>
    <d v="2013-12-20T00:00:00"/>
    <x v="2"/>
    <n v="893"/>
  </r>
  <r>
    <d v="2013-12-21T00:00:00"/>
    <x v="3"/>
    <n v="2388"/>
  </r>
  <r>
    <d v="2013-12-22T00:00:00"/>
    <x v="4"/>
    <n v="1361"/>
  </r>
  <r>
    <d v="2013-12-23T00:00:00"/>
    <x v="5"/>
    <n v="1088"/>
  </r>
  <r>
    <d v="2013-12-24T00:00:00"/>
    <x v="6"/>
    <n v="2117"/>
  </r>
  <r>
    <d v="2013-12-25T00:00:00"/>
    <x v="0"/>
    <n v="2053"/>
  </r>
  <r>
    <d v="2013-12-26T00:00:00"/>
    <x v="1"/>
    <n v="2429"/>
  </r>
  <r>
    <d v="2013-12-27T00:00:00"/>
    <x v="2"/>
    <n v="2811"/>
  </r>
  <r>
    <d v="2013-12-28T00:00:00"/>
    <x v="3"/>
    <n v="3649"/>
  </r>
  <r>
    <d v="2013-12-29T00:00:00"/>
    <x v="4"/>
    <n v="2200"/>
  </r>
  <r>
    <d v="2013-12-30T00:00:00"/>
    <x v="5"/>
    <n v="1944"/>
  </r>
  <r>
    <d v="2013-12-31T00:00:00"/>
    <x v="6"/>
    <n v="1856"/>
  </r>
  <r>
    <d v="2014-01-01T00:00:00"/>
    <x v="0"/>
    <n v="2550"/>
  </r>
  <r>
    <d v="2014-01-02T00:00:00"/>
    <x v="1"/>
    <n v="1132"/>
  </r>
  <r>
    <d v="2014-01-03T00:00:00"/>
    <x v="2"/>
    <n v="2288"/>
  </r>
  <r>
    <d v="2014-01-04T00:00:00"/>
    <x v="3"/>
    <n v="5633"/>
  </r>
  <r>
    <d v="2014-01-05T00:00:00"/>
    <x v="4"/>
    <n v="3299"/>
  </r>
  <r>
    <d v="2014-01-06T00:00:00"/>
    <x v="5"/>
    <n v="367"/>
  </r>
  <r>
    <d v="2014-01-07T00:00:00"/>
    <x v="6"/>
    <n v="324"/>
  </r>
  <r>
    <d v="2014-01-08T00:00:00"/>
    <x v="0"/>
    <n v="376"/>
  </r>
  <r>
    <d v="2014-01-09T00:00:00"/>
    <x v="1"/>
    <n v="1245"/>
  </r>
  <r>
    <d v="2014-01-10T00:00:00"/>
    <x v="2"/>
    <n v="2238"/>
  </r>
  <r>
    <d v="2014-01-11T00:00:00"/>
    <x v="3"/>
    <n v="3106"/>
  </r>
  <r>
    <d v="2014-01-12T00:00:00"/>
    <x v="4"/>
    <n v="6195"/>
  </r>
  <r>
    <d v="2014-01-13T00:00:00"/>
    <x v="5"/>
    <n v="1088"/>
  </r>
  <r>
    <d v="2014-01-14T00:00:00"/>
    <x v="6"/>
    <n v="986"/>
  </r>
  <r>
    <d v="2014-01-15T00:00:00"/>
    <x v="0"/>
    <n v="1392"/>
  </r>
  <r>
    <d v="2014-01-16T00:00:00"/>
    <x v="1"/>
    <n v="906"/>
  </r>
  <r>
    <d v="2014-01-17T00:00:00"/>
    <x v="2"/>
    <n v="1932"/>
  </r>
  <r>
    <d v="2014-01-18T00:00:00"/>
    <x v="3"/>
    <n v="5429"/>
  </r>
  <r>
    <d v="2014-01-19T00:00:00"/>
    <x v="4"/>
    <n v="3396"/>
  </r>
  <r>
    <d v="2014-01-20T00:00:00"/>
    <x v="5"/>
    <n v="2766"/>
  </r>
  <r>
    <d v="2014-01-21T00:00:00"/>
    <x v="6"/>
    <n v="501"/>
  </r>
  <r>
    <d v="2014-01-22T00:00:00"/>
    <x v="0"/>
    <n v="689"/>
  </r>
  <r>
    <d v="2014-01-23T00:00:00"/>
    <x v="1"/>
    <n v="679"/>
  </r>
  <r>
    <d v="2014-01-24T00:00:00"/>
    <x v="2"/>
    <n v="1653"/>
  </r>
  <r>
    <d v="2014-01-25T00:00:00"/>
    <x v="3"/>
    <n v="4746"/>
  </r>
  <r>
    <d v="2014-01-26T00:00:00"/>
    <x v="4"/>
    <n v="4127"/>
  </r>
  <r>
    <d v="2014-01-27T00:00:00"/>
    <x v="5"/>
    <n v="791"/>
  </r>
  <r>
    <d v="2014-01-28T00:00:00"/>
    <x v="6"/>
    <n v="368"/>
  </r>
  <r>
    <d v="2014-01-29T00:00:00"/>
    <x v="0"/>
    <n v="591"/>
  </r>
  <r>
    <d v="2014-01-30T00:00:00"/>
    <x v="1"/>
    <n v="1121"/>
  </r>
  <r>
    <d v="2014-01-31T00:00:00"/>
    <x v="2"/>
    <n v="2615"/>
  </r>
  <r>
    <d v="2014-02-01T00:00:00"/>
    <x v="3"/>
    <n v="5741"/>
  </r>
  <r>
    <d v="2014-02-02T00:00:00"/>
    <x v="4"/>
    <n v="2832"/>
  </r>
  <r>
    <d v="2014-02-03T00:00:00"/>
    <x v="5"/>
    <n v="824"/>
  </r>
  <r>
    <d v="2014-02-04T00:00:00"/>
    <x v="6"/>
    <n v="704"/>
  </r>
  <r>
    <d v="2014-02-05T00:00:00"/>
    <x v="0"/>
    <n v="725"/>
  </r>
  <r>
    <d v="2014-02-06T00:00:00"/>
    <x v="1"/>
    <n v="701"/>
  </r>
  <r>
    <d v="2014-02-07T00:00:00"/>
    <x v="2"/>
    <n v="1415"/>
  </r>
  <r>
    <d v="2014-02-08T00:00:00"/>
    <x v="3"/>
    <n v="4276"/>
  </r>
  <r>
    <d v="2014-02-09T00:00:00"/>
    <x v="4"/>
    <n v="4689"/>
  </r>
  <r>
    <d v="2014-02-10T00:00:00"/>
    <x v="5"/>
    <n v="789"/>
  </r>
  <r>
    <d v="2014-02-11T00:00:00"/>
    <x v="6"/>
    <n v="917"/>
  </r>
  <r>
    <d v="2014-02-12T00:00:00"/>
    <x v="0"/>
    <n v="1016"/>
  </r>
  <r>
    <d v="2014-02-13T00:00:00"/>
    <x v="1"/>
    <n v="1355"/>
  </r>
  <r>
    <d v="2014-02-14T00:00:00"/>
    <x v="2"/>
    <n v="2911"/>
  </r>
  <r>
    <d v="2014-02-15T00:00:00"/>
    <x v="3"/>
    <n v="5063"/>
  </r>
  <r>
    <d v="2014-02-16T00:00:00"/>
    <x v="4"/>
    <n v="6663"/>
  </r>
  <r>
    <d v="2014-02-18T00:00:00"/>
    <x v="6"/>
    <n v="3141"/>
  </r>
  <r>
    <d v="2014-02-19T00:00:00"/>
    <x v="0"/>
    <n v="3068"/>
  </r>
  <r>
    <d v="2014-02-20T00:00:00"/>
    <x v="1"/>
    <n v="2716"/>
  </r>
  <r>
    <d v="2014-02-21T00:00:00"/>
    <x v="2"/>
    <n v="4315"/>
  </r>
  <r>
    <d v="2014-02-22T00:00:00"/>
    <x v="3"/>
    <n v="5990"/>
  </r>
  <r>
    <d v="2014-02-23T00:00:00"/>
    <x v="4"/>
    <n v="5452"/>
  </r>
  <r>
    <d v="2014-02-24T00:00:00"/>
    <x v="5"/>
    <n v="1125"/>
  </r>
  <r>
    <d v="2014-02-25T00:00:00"/>
    <x v="6"/>
    <n v="927"/>
  </r>
  <r>
    <d v="2014-02-26T00:00:00"/>
    <x v="0"/>
    <n v="1159"/>
  </r>
  <r>
    <d v="2014-02-27T00:00:00"/>
    <x v="1"/>
    <n v="867"/>
  </r>
  <r>
    <d v="2014-02-28T00:00:00"/>
    <x v="2"/>
    <n v="1579"/>
  </r>
  <r>
    <d v="2014-03-01T00:00:00"/>
    <x v="3"/>
    <n v="4121"/>
  </r>
  <r>
    <d v="2014-03-02T00:00:00"/>
    <x v="4"/>
    <n v="3950"/>
  </r>
  <r>
    <d v="2014-03-03T00:00:00"/>
    <x v="5"/>
    <n v="862"/>
  </r>
  <r>
    <d v="2014-03-04T00:00:00"/>
    <x v="6"/>
    <n v="752"/>
  </r>
  <r>
    <d v="2014-03-05T00:00:00"/>
    <x v="0"/>
    <n v="284"/>
  </r>
  <r>
    <d v="2014-03-06T00:00:00"/>
    <x v="1"/>
    <n v="497"/>
  </r>
  <r>
    <d v="2014-03-07T00:00:00"/>
    <x v="2"/>
    <n v="2157"/>
  </r>
  <r>
    <d v="2014-03-08T00:00:00"/>
    <x v="3"/>
    <n v="2464"/>
  </r>
  <r>
    <d v="2014-03-09T00:00:00"/>
    <x v="4"/>
    <n v="1400"/>
  </r>
  <r>
    <d v="2014-03-10T00:00:00"/>
    <x v="5"/>
    <n v="556"/>
  </r>
  <r>
    <d v="2014-03-11T00:00:00"/>
    <x v="6"/>
    <n v="774"/>
  </r>
  <r>
    <d v="2014-03-12T00:00:00"/>
    <x v="0"/>
    <n v="1119"/>
  </r>
  <r>
    <d v="2014-03-13T00:00:00"/>
    <x v="1"/>
    <n v="763"/>
  </r>
  <r>
    <d v="2014-03-14T00:00:00"/>
    <x v="2"/>
    <n v="1393"/>
  </r>
  <r>
    <d v="2014-03-15T00:00:00"/>
    <x v="3"/>
    <n v="2616"/>
  </r>
  <r>
    <d v="2014-03-16T00:00:00"/>
    <x v="4"/>
    <n v="1841"/>
  </r>
  <r>
    <d v="2014-03-17T00:00:00"/>
    <x v="5"/>
    <n v="1068"/>
  </r>
  <r>
    <d v="2014-03-18T00:00:00"/>
    <x v="6"/>
    <n v="997"/>
  </r>
  <r>
    <d v="2014-03-19T00:00:00"/>
    <x v="0"/>
    <n v="627"/>
  </r>
  <r>
    <d v="2014-03-20T00:00:00"/>
    <x v="1"/>
    <n v="824"/>
  </r>
  <r>
    <d v="2014-03-21T00:00:00"/>
    <x v="2"/>
    <n v="1831"/>
  </r>
  <r>
    <d v="2014-03-22T00:00:00"/>
    <x v="3"/>
    <n v="3783"/>
  </r>
  <r>
    <d v="2014-03-23T00:00:00"/>
    <x v="4"/>
    <n v="3964"/>
  </r>
  <r>
    <d v="2014-03-24T00:00:00"/>
    <x v="5"/>
    <n v="912"/>
  </r>
  <r>
    <d v="2014-03-25T00:00:00"/>
    <x v="6"/>
    <n v="320"/>
  </r>
  <r>
    <d v="2014-03-26T00:00:00"/>
    <x v="0"/>
    <n v="525"/>
  </r>
  <r>
    <d v="2014-03-27T00:00:00"/>
    <x v="1"/>
    <n v="853"/>
  </r>
  <r>
    <d v="2014-03-28T00:00:00"/>
    <x v="2"/>
    <n v="1085"/>
  </r>
  <r>
    <d v="2014-03-29T00:00:00"/>
    <x v="3"/>
    <n v="2959"/>
  </r>
  <r>
    <d v="2014-03-30T00:00:00"/>
    <x v="4"/>
    <n v="3121"/>
  </r>
  <r>
    <d v="2014-03-31T00:00:00"/>
    <x v="5"/>
    <n v="642"/>
  </r>
  <r>
    <d v="2014-04-01T00:00:00"/>
    <x v="3"/>
    <n v="644"/>
  </r>
  <r>
    <d v="2014-04-02T00:00:00"/>
    <x v="4"/>
    <n v="1088"/>
  </r>
  <r>
    <d v="2014-04-03T00:00:00"/>
    <x v="5"/>
    <n v="615"/>
  </r>
  <r>
    <d v="2014-04-04T00:00:00"/>
    <x v="6"/>
    <n v="912"/>
  </r>
  <r>
    <d v="2014-04-05T00:00:00"/>
    <x v="0"/>
    <n v="2246"/>
  </r>
  <r>
    <d v="2014-04-06T00:00:00"/>
    <x v="1"/>
    <n v="1661"/>
  </r>
  <r>
    <d v="2014-04-07T00:00:00"/>
    <x v="2"/>
    <n v="951"/>
  </r>
  <r>
    <d v="2014-04-08T00:00:00"/>
    <x v="3"/>
    <n v="430"/>
  </r>
  <r>
    <d v="2014-04-09T00:00:00"/>
    <x v="4"/>
    <n v="643"/>
  </r>
  <r>
    <d v="2014-04-10T00:00:00"/>
    <x v="5"/>
    <n v="885"/>
  </r>
  <r>
    <d v="2014-04-11T00:00:00"/>
    <x v="6"/>
    <n v="952"/>
  </r>
  <r>
    <d v="2014-04-12T00:00:00"/>
    <x v="0"/>
    <n v="2154"/>
  </r>
  <r>
    <d v="2014-04-13T00:00:00"/>
    <x v="1"/>
    <n v="2558"/>
  </r>
  <r>
    <d v="2014-04-14T00:00:00"/>
    <x v="2"/>
    <n v="665"/>
  </r>
  <r>
    <d v="2014-04-15T00:00:00"/>
    <x v="3"/>
    <n v="342"/>
  </r>
  <r>
    <d v="2014-04-16T00:00:00"/>
    <x v="4"/>
    <n v="321"/>
  </r>
  <r>
    <d v="2014-04-17T00:00:00"/>
    <x v="5"/>
    <n v="300"/>
  </r>
  <r>
    <d v="2014-04-18T00:00:00"/>
    <x v="6"/>
    <n v="1196"/>
  </r>
  <r>
    <d v="2014-04-19T00:00:00"/>
    <x v="0"/>
    <n v="1634"/>
  </r>
  <r>
    <d v="2014-04-20T00:00:00"/>
    <x v="1"/>
    <n v="1636"/>
  </r>
  <r>
    <d v="2014-04-26T00:00:00"/>
    <x v="3"/>
    <n v="1013"/>
  </r>
  <r>
    <d v="2014-04-27T00:00:00"/>
    <x v="4"/>
    <n v="863"/>
  </r>
  <r>
    <m/>
    <x v="7"/>
    <m/>
  </r>
</pivotCacheRecords>
</file>

<file path=xl/pivotCache/pivotCacheRecords4.xml><?xml version="1.0" encoding="utf-8"?>
<pivotCacheRecords xmlns="http://schemas.openxmlformats.org/spreadsheetml/2006/main" xmlns:r="http://schemas.openxmlformats.org/officeDocument/2006/relationships" count="160">
  <r>
    <d v="2017-11-15T00:00:00"/>
    <x v="0"/>
    <n v="304"/>
    <n v="0"/>
    <n v="293"/>
    <n v="597"/>
  </r>
  <r>
    <d v="2017-11-16T00:00:00"/>
    <x v="1"/>
    <n v="214"/>
    <n v="0"/>
    <n v="286"/>
    <n v="500"/>
  </r>
  <r>
    <d v="2017-11-17T00:00:00"/>
    <x v="2"/>
    <n v="732"/>
    <n v="0"/>
    <n v="648"/>
    <n v="1380"/>
  </r>
  <r>
    <d v="2017-11-18T00:00:00"/>
    <x v="3"/>
    <n v="2246"/>
    <n v="213"/>
    <n v="1191"/>
    <n v="3650"/>
  </r>
  <r>
    <d v="2017-11-19T00:00:00"/>
    <x v="4"/>
    <n v="2139"/>
    <n v="33"/>
    <n v="1076"/>
    <n v="3248"/>
  </r>
  <r>
    <d v="2017-11-20T00:00:00"/>
    <x v="5"/>
    <n v="395"/>
    <n v="0"/>
    <n v="275"/>
    <n v="670"/>
  </r>
  <r>
    <d v="2017-11-21T00:00:00"/>
    <x v="6"/>
    <n v="92"/>
    <n v="0"/>
    <n v="8"/>
    <n v="100"/>
  </r>
  <r>
    <d v="2017-11-22T00:00:00"/>
    <x v="0"/>
    <n v="117"/>
    <n v="0"/>
    <n v="14"/>
    <n v="131"/>
  </r>
  <r>
    <d v="2017-11-23T00:00:00"/>
    <x v="1"/>
    <n v="163"/>
    <n v="0"/>
    <n v="18"/>
    <n v="181"/>
  </r>
  <r>
    <d v="2017-11-24T00:00:00"/>
    <x v="2"/>
    <n v="1120"/>
    <n v="321"/>
    <n v="304"/>
    <n v="1745"/>
  </r>
  <r>
    <d v="2017-11-25T00:00:00"/>
    <x v="3"/>
    <n v="1132"/>
    <n v="144"/>
    <n v="344"/>
    <n v="1620"/>
  </r>
  <r>
    <d v="2017-11-26T00:00:00"/>
    <x v="4"/>
    <n v="258"/>
    <n v="0"/>
    <n v="304"/>
    <n v="562"/>
  </r>
  <r>
    <d v="2017-11-27T00:00:00"/>
    <x v="5"/>
    <n v="80"/>
    <n v="34"/>
    <n v="69"/>
    <n v="183"/>
  </r>
  <r>
    <d v="2017-11-28T00:00:00"/>
    <x v="6"/>
    <n v="60"/>
    <n v="16"/>
    <n v="97"/>
    <n v="173"/>
  </r>
  <r>
    <d v="2017-11-29T00:00:00"/>
    <x v="0"/>
    <n v="207"/>
    <n v="22"/>
    <n v="312"/>
    <n v="541"/>
  </r>
  <r>
    <d v="2017-11-30T00:00:00"/>
    <x v="1"/>
    <n v="158"/>
    <n v="26"/>
    <n v="194"/>
    <n v="378"/>
  </r>
  <r>
    <d v="2017-12-01T00:00:00"/>
    <x v="2"/>
    <n v="357"/>
    <n v="48"/>
    <n v="343"/>
    <n v="748"/>
  </r>
  <r>
    <d v="2017-12-02T00:00:00"/>
    <x v="3"/>
    <n v="2169"/>
    <n v="102"/>
    <n v="1287"/>
    <n v="3558"/>
  </r>
  <r>
    <d v="2017-12-03T00:00:00"/>
    <x v="4"/>
    <n v="2687"/>
    <n v="69"/>
    <n v="1501"/>
    <n v="4257"/>
  </r>
  <r>
    <d v="2017-12-04T00:00:00"/>
    <x v="5"/>
    <n v="413"/>
    <n v="42"/>
    <n v="343"/>
    <n v="798"/>
  </r>
  <r>
    <d v="2017-12-05T00:00:00"/>
    <x v="6"/>
    <n v="368"/>
    <n v="60"/>
    <n v="286"/>
    <n v="714"/>
  </r>
  <r>
    <d v="2017-12-06T00:00:00"/>
    <x v="0"/>
    <n v="289"/>
    <n v="57"/>
    <n v="183"/>
    <n v="529"/>
  </r>
  <r>
    <d v="2017-12-07T00:00:00"/>
    <x v="1"/>
    <n v="314"/>
    <n v="59"/>
    <n v="241"/>
    <n v="614"/>
  </r>
  <r>
    <d v="2017-12-08T00:00:00"/>
    <x v="2"/>
    <n v="479"/>
    <n v="62"/>
    <n v="312"/>
    <n v="853"/>
  </r>
  <r>
    <d v="2017-12-09T00:00:00"/>
    <x v="3"/>
    <n v="1848"/>
    <n v="357"/>
    <n v="1016"/>
    <n v="3221"/>
  </r>
  <r>
    <d v="2017-12-10T00:00:00"/>
    <x v="4"/>
    <n v="1468"/>
    <n v="244"/>
    <n v="903"/>
    <n v="2615"/>
  </r>
  <r>
    <d v="2017-12-11T00:00:00"/>
    <x v="5"/>
    <n v="306"/>
    <n v="95"/>
    <n v="151"/>
    <n v="552"/>
  </r>
  <r>
    <d v="2017-12-12T00:00:00"/>
    <x v="6"/>
    <n v="178"/>
    <n v="30"/>
    <n v="151"/>
    <n v="359"/>
  </r>
  <r>
    <d v="2017-12-13T00:00:00"/>
    <x v="0"/>
    <n v="201"/>
    <n v="56"/>
    <n v="138"/>
    <n v="395"/>
  </r>
  <r>
    <d v="2017-12-14T00:00:00"/>
    <x v="1"/>
    <n v="208"/>
    <n v="59"/>
    <n v="121"/>
    <n v="388"/>
  </r>
  <r>
    <d v="2017-12-15T00:00:00"/>
    <x v="2"/>
    <n v="333"/>
    <n v="39"/>
    <n v="163"/>
    <n v="535"/>
  </r>
  <r>
    <d v="2017-12-16T00:00:00"/>
    <x v="3"/>
    <n v="2059"/>
    <n v="209"/>
    <n v="921"/>
    <n v="3189"/>
  </r>
  <r>
    <d v="2017-12-17T00:00:00"/>
    <x v="4"/>
    <n v="1315"/>
    <n v="131"/>
    <n v="761"/>
    <n v="2207"/>
  </r>
  <r>
    <d v="2017-12-18T00:00:00"/>
    <x v="5"/>
    <n v="825"/>
    <n v="51"/>
    <n v="217"/>
    <n v="1093"/>
  </r>
  <r>
    <d v="2017-12-19T00:00:00"/>
    <x v="6"/>
    <n v="742"/>
    <n v="0"/>
    <n v="334"/>
    <n v="1076"/>
  </r>
  <r>
    <d v="2017-12-20T00:00:00"/>
    <x v="0"/>
    <n v="2456"/>
    <n v="54"/>
    <n v="1217"/>
    <n v="3727"/>
  </r>
  <r>
    <d v="2017-12-21T00:00:00"/>
    <x v="1"/>
    <n v="2501"/>
    <n v="178"/>
    <n v="922"/>
    <n v="3601"/>
  </r>
  <r>
    <d v="2017-12-22T00:00:00"/>
    <x v="2"/>
    <n v="2655"/>
    <n v="66"/>
    <n v="975"/>
    <n v="3696"/>
  </r>
  <r>
    <d v="2017-12-23T00:00:00"/>
    <x v="3"/>
    <n v="3239"/>
    <n v="621"/>
    <n v="1355"/>
    <n v="5215"/>
  </r>
  <r>
    <d v="2017-12-24T00:00:00"/>
    <x v="4"/>
    <n v="1587"/>
    <n v="235"/>
    <n v="646"/>
    <n v="2468"/>
  </r>
  <r>
    <d v="2017-12-25T00:00:00"/>
    <x v="5"/>
    <n v="1840"/>
    <n v="175"/>
    <n v="596"/>
    <n v="2611"/>
  </r>
  <r>
    <d v="2017-12-26T00:00:00"/>
    <x v="6"/>
    <n v="3352"/>
    <n v="402"/>
    <n v="833"/>
    <n v="4587"/>
  </r>
  <r>
    <d v="2017-12-27T00:00:00"/>
    <x v="0"/>
    <n v="3732"/>
    <n v="191"/>
    <n v="1162"/>
    <n v="5085"/>
  </r>
  <r>
    <d v="2017-12-28T00:00:00"/>
    <x v="1"/>
    <n v="4014"/>
    <n v="214"/>
    <n v="1247"/>
    <n v="5475"/>
  </r>
  <r>
    <d v="2017-12-29T00:00:00"/>
    <x v="2"/>
    <n v="2534"/>
    <n v="20"/>
    <n v="985"/>
    <n v="3539"/>
  </r>
  <r>
    <d v="2017-12-30T00:00:00"/>
    <x v="3"/>
    <n v="4989"/>
    <n v="335"/>
    <n v="1764"/>
    <n v="7088"/>
  </r>
  <r>
    <d v="2017-12-31T00:00:00"/>
    <x v="4"/>
    <n v="5156"/>
    <n v="479"/>
    <n v="1671"/>
    <n v="7306"/>
  </r>
  <r>
    <d v="2018-01-01T00:00:00"/>
    <x v="5"/>
    <n v="2713"/>
    <n v="356"/>
    <n v="922"/>
    <n v="3991"/>
  </r>
  <r>
    <d v="2018-01-02T00:00:00"/>
    <x v="6"/>
    <n v="1150"/>
    <n v="132"/>
    <n v="310"/>
    <n v="1592"/>
  </r>
  <r>
    <d v="2018-01-03T00:00:00"/>
    <x v="0"/>
    <n v="906"/>
    <n v="118"/>
    <n v="325"/>
    <n v="1349"/>
  </r>
  <r>
    <d v="2018-01-04T00:00:00"/>
    <x v="1"/>
    <n v="643"/>
    <n v="90"/>
    <n v="138"/>
    <n v="871"/>
  </r>
  <r>
    <d v="2018-01-05T00:00:00"/>
    <x v="2"/>
    <n v="464"/>
    <n v="59"/>
    <n v="100"/>
    <n v="623"/>
  </r>
  <r>
    <d v="2018-01-06T00:00:00"/>
    <x v="3"/>
    <n v="3315"/>
    <n v="109"/>
    <n v="1364"/>
    <n v="4788"/>
  </r>
  <r>
    <d v="2018-01-07T00:00:00"/>
    <x v="4"/>
    <n v="2713"/>
    <n v="84"/>
    <n v="1077"/>
    <n v="3874"/>
  </r>
  <r>
    <d v="2018-01-08T00:00:00"/>
    <x v="5"/>
    <n v="355"/>
    <n v="5"/>
    <n v="219"/>
    <n v="579"/>
  </r>
  <r>
    <d v="2018-01-09T00:00:00"/>
    <x v="6"/>
    <n v="398"/>
    <n v="34"/>
    <n v="263"/>
    <n v="695"/>
  </r>
  <r>
    <d v="2018-01-10T00:00:00"/>
    <x v="0"/>
    <n v="943"/>
    <n v="43"/>
    <n v="300"/>
    <n v="1286"/>
  </r>
  <r>
    <d v="2018-01-11T00:00:00"/>
    <x v="1"/>
    <n v="258"/>
    <n v="0"/>
    <n v="113"/>
    <n v="371"/>
  </r>
  <r>
    <d v="2018-01-12T00:00:00"/>
    <x v="2"/>
    <n v="3209"/>
    <n v="79"/>
    <n v="1163"/>
    <n v="4451"/>
  </r>
  <r>
    <d v="2018-01-13T00:00:00"/>
    <x v="3"/>
    <n v="5189"/>
    <n v="198"/>
    <n v="1550"/>
    <n v="6937"/>
  </r>
  <r>
    <d v="2018-01-14T00:00:00"/>
    <x v="4"/>
    <n v="5600"/>
    <n v="388"/>
    <n v="1361"/>
    <n v="7349"/>
  </r>
  <r>
    <d v="2018-01-15T00:00:00"/>
    <x v="5"/>
    <n v="2929"/>
    <n v="91"/>
    <n v="646"/>
    <n v="3666"/>
  </r>
  <r>
    <d v="2018-01-16T00:00:00"/>
    <x v="6"/>
    <n v="345"/>
    <n v="29"/>
    <n v="169"/>
    <n v="543"/>
  </r>
  <r>
    <d v="2018-01-17T00:00:00"/>
    <x v="0"/>
    <n v="395"/>
    <n v="0"/>
    <n v="121"/>
    <n v="516"/>
  </r>
  <r>
    <d v="2018-01-18T00:00:00"/>
    <x v="1"/>
    <n v="419"/>
    <n v="39"/>
    <n v="248"/>
    <n v="706"/>
  </r>
  <r>
    <d v="2018-01-19T00:00:00"/>
    <x v="2"/>
    <n v="1913"/>
    <n v="55"/>
    <n v="584"/>
    <n v="2552"/>
  </r>
  <r>
    <d v="2018-01-20T00:00:00"/>
    <x v="3"/>
    <n v="4618"/>
    <n v="153"/>
    <n v="1265"/>
    <n v="6036"/>
  </r>
  <r>
    <d v="2018-01-21T00:00:00"/>
    <x v="4"/>
    <n v="3210"/>
    <n v="0"/>
    <n v="627"/>
    <n v="3837"/>
  </r>
  <r>
    <d v="2018-01-22T00:00:00"/>
    <x v="5"/>
    <n v="708"/>
    <n v="31"/>
    <n v="408"/>
    <n v="1147"/>
  </r>
  <r>
    <d v="2018-01-23T00:00:00"/>
    <x v="6"/>
    <n v="417"/>
    <n v="0"/>
    <n v="282"/>
    <n v="699"/>
  </r>
  <r>
    <d v="2018-01-24T00:00:00"/>
    <x v="0"/>
    <n v="1190"/>
    <n v="0"/>
    <n v="542"/>
    <n v="1732"/>
  </r>
  <r>
    <d v="2018-01-25T00:00:00"/>
    <x v="1"/>
    <n v="1098"/>
    <n v="43"/>
    <n v="523"/>
    <n v="1664"/>
  </r>
  <r>
    <d v="2018-01-26T00:00:00"/>
    <x v="2"/>
    <n v="3084"/>
    <n v="48"/>
    <n v="569"/>
    <n v="3701"/>
  </r>
  <r>
    <d v="2018-01-27T00:00:00"/>
    <x v="3"/>
    <n v="5684"/>
    <n v="85"/>
    <n v="2136"/>
    <n v="7905"/>
  </r>
  <r>
    <d v="2018-01-28T00:00:00"/>
    <x v="4"/>
    <n v="2418"/>
    <n v="102"/>
    <n v="892"/>
    <n v="3412"/>
  </r>
  <r>
    <d v="2018-01-29T00:00:00"/>
    <x v="5"/>
    <n v="394"/>
    <n v="0"/>
    <n v="63"/>
    <n v="457"/>
  </r>
  <r>
    <d v="2018-01-30T00:00:00"/>
    <x v="6"/>
    <n v="613"/>
    <n v="17"/>
    <n v="344"/>
    <n v="974"/>
  </r>
  <r>
    <d v="2018-01-31T00:00:00"/>
    <x v="0"/>
    <n v="1480"/>
    <n v="22"/>
    <n v="602"/>
    <n v="2104"/>
  </r>
  <r>
    <d v="2018-02-01T00:00:00"/>
    <x v="1"/>
    <n v="834"/>
    <n v="21"/>
    <n v="299"/>
    <n v="1154"/>
  </r>
  <r>
    <d v="2018-02-02T00:00:00"/>
    <x v="2"/>
    <n v="1453"/>
    <n v="10"/>
    <n v="104"/>
    <n v="1567"/>
  </r>
  <r>
    <d v="2018-02-03T00:00:00"/>
    <x v="3"/>
    <n v="2600"/>
    <n v="117"/>
    <n v="991"/>
    <n v="3708"/>
  </r>
  <r>
    <d v="2018-02-04T00:00:00"/>
    <x v="4"/>
    <n v="797"/>
    <n v="0"/>
    <n v="386"/>
    <n v="1183"/>
  </r>
  <r>
    <d v="2018-02-05T00:00:00"/>
    <x v="5"/>
    <n v="391"/>
    <n v="12"/>
    <n v="82"/>
    <n v="485"/>
  </r>
  <r>
    <d v="2018-02-06T00:00:00"/>
    <x v="6"/>
    <n v="384"/>
    <n v="30"/>
    <n v="179"/>
    <n v="593"/>
  </r>
  <r>
    <d v="2018-02-07T00:00:00"/>
    <x v="0"/>
    <n v="443"/>
    <n v="34"/>
    <n v="208"/>
    <n v="685"/>
  </r>
  <r>
    <d v="2018-02-08T00:00:00"/>
    <x v="1"/>
    <n v="959"/>
    <n v="100"/>
    <n v="164"/>
    <n v="1223"/>
  </r>
  <r>
    <d v="2018-02-09T00:00:00"/>
    <x v="2"/>
    <n v="1891"/>
    <n v="37"/>
    <n v="282"/>
    <n v="2210"/>
  </r>
  <r>
    <d v="2018-02-10T00:00:00"/>
    <x v="3"/>
    <n v="4573"/>
    <n v="450"/>
    <n v="1644"/>
    <n v="6667"/>
  </r>
  <r>
    <d v="2018-02-11T00:00:00"/>
    <x v="4"/>
    <n v="2552"/>
    <n v="175"/>
    <n v="907"/>
    <n v="3634"/>
  </r>
  <r>
    <d v="2018-02-12T00:00:00"/>
    <x v="5"/>
    <n v="584"/>
    <n v="76"/>
    <n v="185"/>
    <n v="845"/>
  </r>
  <r>
    <d v="2018-02-13T00:00:00"/>
    <x v="6"/>
    <n v="513"/>
    <n v="62"/>
    <n v="211"/>
    <n v="786"/>
  </r>
  <r>
    <d v="2018-02-14T00:00:00"/>
    <x v="0"/>
    <n v="481"/>
    <n v="20"/>
    <n v="59"/>
    <n v="560"/>
  </r>
  <r>
    <d v="2018-02-15T00:00:00"/>
    <x v="1"/>
    <n v="850"/>
    <n v="27"/>
    <n v="280"/>
    <n v="1157"/>
  </r>
  <r>
    <d v="2018-02-16T00:00:00"/>
    <x v="2"/>
    <n v="1861"/>
    <n v="50"/>
    <n v="547"/>
    <n v="2458"/>
  </r>
  <r>
    <d v="2018-02-17T00:00:00"/>
    <x v="3"/>
    <n v="3532"/>
    <n v="0"/>
    <n v="1311"/>
    <n v="4843"/>
  </r>
  <r>
    <d v="2018-02-18T00:00:00"/>
    <x v="4"/>
    <n v="5442"/>
    <n v="101"/>
    <n v="1535"/>
    <n v="7078"/>
  </r>
  <r>
    <d v="2018-02-19T00:00:00"/>
    <x v="5"/>
    <n v="4398"/>
    <n v="249"/>
    <n v="978"/>
    <n v="5625"/>
  </r>
  <r>
    <d v="2018-02-20T00:00:00"/>
    <x v="6"/>
    <n v="1542"/>
    <n v="25"/>
    <n v="467"/>
    <n v="2034"/>
  </r>
  <r>
    <d v="2018-02-21T00:00:00"/>
    <x v="0"/>
    <n v="1409"/>
    <n v="35"/>
    <n v="502"/>
    <n v="1946"/>
  </r>
  <r>
    <d v="2018-02-22T00:00:00"/>
    <x v="1"/>
    <n v="1470"/>
    <n v="57"/>
    <n v="564"/>
    <n v="2091"/>
  </r>
  <r>
    <d v="2018-02-23T00:00:00"/>
    <x v="2"/>
    <n v="2141"/>
    <n v="26"/>
    <n v="692"/>
    <n v="2859"/>
  </r>
  <r>
    <d v="2018-02-24T00:00:00"/>
    <x v="3"/>
    <n v="4608"/>
    <n v="48"/>
    <n v="1596"/>
    <n v="6252"/>
  </r>
  <r>
    <d v="2018-02-25T00:00:00"/>
    <x v="4"/>
    <n v="3700"/>
    <n v="0"/>
    <n v="1030"/>
    <n v="4730"/>
  </r>
  <r>
    <d v="2018-02-26T00:00:00"/>
    <x v="5"/>
    <n v="1201"/>
    <n v="28"/>
    <n v="661"/>
    <n v="1890"/>
  </r>
  <r>
    <d v="2018-02-27T00:00:00"/>
    <x v="6"/>
    <n v="568"/>
    <n v="6"/>
    <n v="282"/>
    <n v="856"/>
  </r>
  <r>
    <d v="2018-02-28T00:00:00"/>
    <x v="0"/>
    <n v="1124"/>
    <n v="29"/>
    <n v="252"/>
    <n v="1405"/>
  </r>
  <r>
    <d v="2018-03-01T00:00:00"/>
    <x v="1"/>
    <n v="1477"/>
    <n v="44"/>
    <n v="744"/>
    <n v="2265"/>
  </r>
  <r>
    <d v="2018-03-02T00:00:00"/>
    <x v="2"/>
    <n v="1541"/>
    <n v="20"/>
    <n v="543"/>
    <n v="2104"/>
  </r>
  <r>
    <d v="2018-03-03T00:00:00"/>
    <x v="3"/>
    <n v="4097"/>
    <n v="157"/>
    <n v="1572"/>
    <n v="5826"/>
  </r>
  <r>
    <d v="2018-03-04T00:00:00"/>
    <x v="4"/>
    <n v="3617"/>
    <n v="81"/>
    <n v="1415"/>
    <n v="5113"/>
  </r>
  <r>
    <d v="2018-03-05T00:00:00"/>
    <x v="5"/>
    <n v="603"/>
    <n v="15"/>
    <n v="271"/>
    <n v="889"/>
  </r>
  <r>
    <d v="2018-03-06T00:00:00"/>
    <x v="6"/>
    <n v="644"/>
    <n v="56"/>
    <n v="357"/>
    <n v="1057"/>
  </r>
  <r>
    <d v="2018-03-07T00:00:00"/>
    <x v="0"/>
    <n v="529"/>
    <n v="27"/>
    <n v="252"/>
    <n v="808"/>
  </r>
  <r>
    <d v="2018-03-08T00:00:00"/>
    <x v="1"/>
    <n v="334"/>
    <n v="0"/>
    <n v="80"/>
    <n v="414"/>
  </r>
  <r>
    <d v="2018-03-09T00:00:00"/>
    <x v="2"/>
    <n v="2513"/>
    <n v="85"/>
    <n v="829"/>
    <n v="3427"/>
  </r>
  <r>
    <d v="2018-03-10T00:00:00"/>
    <x v="3"/>
    <n v="4313"/>
    <n v="366"/>
    <n v="1583"/>
    <n v="6262"/>
  </r>
  <r>
    <d v="2018-03-11T00:00:00"/>
    <x v="4"/>
    <n v="3354"/>
    <n v="372"/>
    <n v="1285"/>
    <n v="5011"/>
  </r>
  <r>
    <d v="2018-03-12T00:00:00"/>
    <x v="5"/>
    <n v="733"/>
    <n v="8"/>
    <n v="285"/>
    <n v="1026"/>
  </r>
  <r>
    <d v="2018-03-13T00:00:00"/>
    <x v="6"/>
    <n v="269"/>
    <n v="0"/>
    <n v="59"/>
    <n v="328"/>
  </r>
  <r>
    <d v="2018-03-14T00:00:00"/>
    <x v="0"/>
    <n v="374"/>
    <n v="9"/>
    <n v="160"/>
    <n v="543"/>
  </r>
  <r>
    <d v="2018-03-15T00:00:00"/>
    <x v="1"/>
    <n v="726"/>
    <n v="100"/>
    <n v="322"/>
    <n v="1148"/>
  </r>
  <r>
    <d v="2018-03-16T00:00:00"/>
    <x v="2"/>
    <n v="1181"/>
    <n v="69"/>
    <n v="394"/>
    <n v="1644"/>
  </r>
  <r>
    <d v="2018-03-17T00:00:00"/>
    <x v="3"/>
    <n v="2569"/>
    <n v="192"/>
    <n v="1014"/>
    <n v="3775"/>
  </r>
  <r>
    <d v="2018-03-18T00:00:00"/>
    <x v="4"/>
    <n v="2116"/>
    <n v="190"/>
    <n v="815"/>
    <n v="3121"/>
  </r>
  <r>
    <d v="2018-03-19T00:00:00"/>
    <x v="5"/>
    <n v="627"/>
    <n v="39"/>
    <n v="208"/>
    <n v="874"/>
  </r>
  <r>
    <d v="2018-03-20T00:00:00"/>
    <x v="6"/>
    <n v="527"/>
    <n v="96"/>
    <n v="382"/>
    <n v="1005"/>
  </r>
  <r>
    <d v="2018-03-21T00:00:00"/>
    <x v="0"/>
    <n v="422"/>
    <n v="31"/>
    <n v="164"/>
    <n v="617"/>
  </r>
  <r>
    <d v="2018-03-22T00:00:00"/>
    <x v="1"/>
    <n v="535"/>
    <n v="28"/>
    <n v="234"/>
    <n v="797"/>
  </r>
  <r>
    <d v="2018-03-23T00:00:00"/>
    <x v="2"/>
    <n v="1308"/>
    <n v="6"/>
    <n v="712"/>
    <n v="2026"/>
  </r>
  <r>
    <d v="2018-03-24T00:00:00"/>
    <x v="3"/>
    <n v="3759"/>
    <n v="153"/>
    <n v="1677"/>
    <n v="5589"/>
  </r>
  <r>
    <d v="2018-03-25T00:00:00"/>
    <x v="4"/>
    <n v="2863"/>
    <n v="168"/>
    <n v="1223"/>
    <n v="4254"/>
  </r>
  <r>
    <d v="2018-03-26T00:00:00"/>
    <x v="5"/>
    <n v="526"/>
    <n v="20"/>
    <n v="260"/>
    <n v="806"/>
  </r>
  <r>
    <d v="2018-03-27T00:00:00"/>
    <x v="6"/>
    <n v="448"/>
    <n v="0"/>
    <n v="242"/>
    <n v="690"/>
  </r>
  <r>
    <d v="2018-03-28T00:00:00"/>
    <x v="0"/>
    <n v="673"/>
    <n v="67"/>
    <n v="224"/>
    <n v="964"/>
  </r>
  <r>
    <d v="2018-03-29T00:00:00"/>
    <x v="1"/>
    <n v="656"/>
    <n v="50"/>
    <n v="283"/>
    <n v="989"/>
  </r>
  <r>
    <d v="2018-03-30T00:00:00"/>
    <x v="2"/>
    <n v="893"/>
    <n v="1"/>
    <n v="288"/>
    <n v="1182"/>
  </r>
  <r>
    <d v="2018-03-31T00:00:00"/>
    <x v="3"/>
    <n v="2018"/>
    <n v="273"/>
    <n v="1187"/>
    <n v="3478"/>
  </r>
  <r>
    <d v="2018-04-01T00:00:00"/>
    <x v="4"/>
    <n v="1197"/>
    <n v="171"/>
    <n v="540"/>
    <n v="1908"/>
  </r>
  <r>
    <d v="2018-04-02T00:00:00"/>
    <x v="5"/>
    <n v="635"/>
    <n v="76"/>
    <n v="451"/>
    <n v="1162"/>
  </r>
  <r>
    <d v="2018-04-03T00:00:00"/>
    <x v="6"/>
    <n v="650"/>
    <n v="49"/>
    <n v="390"/>
    <n v="1089"/>
  </r>
  <r>
    <d v="2018-04-04T00:00:00"/>
    <x v="0"/>
    <n v="424"/>
    <n v="40"/>
    <n v="243"/>
    <n v="707"/>
  </r>
  <r>
    <d v="2018-04-05T00:00:00"/>
    <x v="1"/>
    <n v="230"/>
    <n v="14"/>
    <n v="89"/>
    <n v="333"/>
  </r>
  <r>
    <d v="2018-04-06T00:00:00"/>
    <x v="2"/>
    <n v="373"/>
    <n v="61"/>
    <n v="174"/>
    <n v="608"/>
  </r>
  <r>
    <d v="2018-04-07T00:00:00"/>
    <x v="3"/>
    <n v="410"/>
    <n v="0"/>
    <n v="83"/>
    <n v="493"/>
  </r>
  <r>
    <d v="2018-04-08T00:00:00"/>
    <x v="4"/>
    <n v="1887"/>
    <n v="54"/>
    <n v="1198"/>
    <n v="3139"/>
  </r>
  <r>
    <d v="2018-04-09T00:00:00"/>
    <x v="5"/>
    <n v="782"/>
    <n v="98"/>
    <n v="535"/>
    <n v="1415"/>
  </r>
  <r>
    <d v="2018-04-10T00:00:00"/>
    <x v="6"/>
    <n v="83"/>
    <n v="0"/>
    <n v="6"/>
    <n v="89"/>
  </r>
  <r>
    <d v="2018-04-11T00:00:00"/>
    <x v="0"/>
    <n v="279"/>
    <n v="31"/>
    <n v="177"/>
    <n v="487"/>
  </r>
  <r>
    <d v="2018-04-12T00:00:00"/>
    <x v="1"/>
    <n v="608"/>
    <n v="42"/>
    <n v="322"/>
    <n v="972"/>
  </r>
  <r>
    <d v="2018-04-13T00:00:00"/>
    <x v="2"/>
    <n v="687"/>
    <n v="76"/>
    <n v="377"/>
    <n v="1140"/>
  </r>
  <r>
    <d v="2018-04-14T00:00:00"/>
    <x v="3"/>
    <n v="1451"/>
    <n v="111"/>
    <n v="905"/>
    <n v="2467"/>
  </r>
  <r>
    <d v="2018-04-15T00:00:00"/>
    <x v="4"/>
    <n v="1130"/>
    <n v="76"/>
    <n v="832"/>
    <n v="2038"/>
  </r>
  <r>
    <d v="2018-04-16T00:00:00"/>
    <x v="5"/>
    <n v="160"/>
    <n v="17"/>
    <n v="152"/>
    <n v="329"/>
  </r>
  <r>
    <d v="2018-04-17T00:00:00"/>
    <x v="6"/>
    <n v="275"/>
    <n v="19"/>
    <n v="274"/>
    <n v="568"/>
  </r>
  <r>
    <d v="2018-04-18T00:00:00"/>
    <x v="0"/>
    <n v="218"/>
    <n v="37"/>
    <n v="101"/>
    <n v="356"/>
  </r>
  <r>
    <d v="2018-04-19T00:00:00"/>
    <x v="1"/>
    <n v="548"/>
    <n v="79"/>
    <n v="198"/>
    <n v="825"/>
  </r>
  <r>
    <d v="2018-04-20T00:00:00"/>
    <x v="2"/>
    <n v="449"/>
    <n v="89"/>
    <n v="365"/>
    <n v="903"/>
  </r>
  <r>
    <d v="2018-04-21T00:00:00"/>
    <x v="3"/>
    <n v="1009"/>
    <n v="232"/>
    <n v="882"/>
    <n v="2123"/>
  </r>
  <r>
    <d v="2018-04-22T00:00:00"/>
    <x v="4"/>
    <n v="1437"/>
    <n v="223"/>
    <n v="1398"/>
    <n v="3058"/>
  </r>
  <r>
    <m/>
    <x v="7"/>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H7:I15" firstHeaderRow="1" firstDataRow="1" firstDataCol="1"/>
  <pivotFields count="6">
    <pivotField showAll="0"/>
    <pivotField axis="axisRow" showAll="0">
      <items count="9">
        <item x="4"/>
        <item x="5"/>
        <item x="6"/>
        <item x="0"/>
        <item x="1"/>
        <item x="2"/>
        <item x="3"/>
        <item h="1" x="7"/>
        <item t="default"/>
      </items>
    </pivotField>
    <pivotField showAll="0"/>
    <pivotField showAll="0"/>
    <pivotField showAll="0"/>
    <pivotField dataField="1" showAll="0"/>
  </pivotFields>
  <rowFields count="1">
    <field x="1"/>
  </rowFields>
  <rowItems count="8">
    <i>
      <x/>
    </i>
    <i>
      <x v="1"/>
    </i>
    <i>
      <x v="2"/>
    </i>
    <i>
      <x v="3"/>
    </i>
    <i>
      <x v="4"/>
    </i>
    <i>
      <x v="5"/>
    </i>
    <i>
      <x v="6"/>
    </i>
    <i t="grand">
      <x/>
    </i>
  </rowItems>
  <colItems count="1">
    <i/>
  </colItems>
  <dataFields count="1">
    <dataField name="Average of Total Revenue Visits " fld="5" subtotal="average"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1:B9" firstHeaderRow="1" firstDataRow="1" firstDataCol="1"/>
  <pivotFields count="6">
    <pivotField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axis="axisRow" showAll="0">
      <items count="9">
        <item x="2"/>
        <item x="3"/>
        <item x="4"/>
        <item x="5"/>
        <item x="6"/>
        <item x="0"/>
        <item x="1"/>
        <item h="1" x="7"/>
        <item t="default"/>
      </items>
    </pivotField>
    <pivotField showAll="0"/>
    <pivotField showAll="0"/>
    <pivotField showAll="0"/>
    <pivotField dataField="1" showAll="0"/>
  </pivotFields>
  <rowFields count="1">
    <field x="1"/>
  </rowFields>
  <rowItems count="8">
    <i>
      <x/>
    </i>
    <i>
      <x v="1"/>
    </i>
    <i>
      <x v="2"/>
    </i>
    <i>
      <x v="3"/>
    </i>
    <i>
      <x v="4"/>
    </i>
    <i>
      <x v="5"/>
    </i>
    <i>
      <x v="6"/>
    </i>
    <i t="grand">
      <x/>
    </i>
  </rowItems>
  <colItems count="1">
    <i/>
  </colItems>
  <dataFields count="1">
    <dataField name="Average of Total Revenue Visits " fld="5" subtotal="average" baseField="0" baseItem="267867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B11" firstHeaderRow="1" firstDataRow="1" firstDataCol="1"/>
  <pivotFields count="6">
    <pivotField numFmtId="14" showAll="0"/>
    <pivotField axis="axisRow" showAll="0">
      <items count="8">
        <item x="1"/>
        <item x="2"/>
        <item x="3"/>
        <item x="4"/>
        <item x="5"/>
        <item x="6"/>
        <item x="0"/>
        <item t="default"/>
      </items>
    </pivotField>
    <pivotField showAll="0"/>
    <pivotField showAll="0"/>
    <pivotField showAll="0"/>
    <pivotField dataField="1" showAll="0"/>
  </pivotFields>
  <rowFields count="1">
    <field x="1"/>
  </rowFields>
  <rowItems count="8">
    <i>
      <x/>
    </i>
    <i>
      <x v="1"/>
    </i>
    <i>
      <x v="2"/>
    </i>
    <i>
      <x v="3"/>
    </i>
    <i>
      <x v="4"/>
    </i>
    <i>
      <x v="5"/>
    </i>
    <i>
      <x v="6"/>
    </i>
    <i t="grand">
      <x/>
    </i>
  </rowItems>
  <colItems count="1">
    <i/>
  </colItems>
  <dataFields count="1">
    <dataField name="Average of Total Revenue Visits " fld="5" subtotal="average"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2"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fieldListSortAscending="1">
  <location ref="A3:B11" firstHeaderRow="1" firstDataRow="1" firstDataCol="1"/>
  <pivotFields count="3">
    <pivotField showAll="0"/>
    <pivotField axis="axisRow" showAll="0" sortType="ascending">
      <items count="16">
        <item x="4"/>
        <item x="5"/>
        <item x="6"/>
        <item x="0"/>
        <item x="1"/>
        <item x="2"/>
        <item x="3"/>
        <item h="1" m="1" x="8"/>
        <item h="1" m="1" x="11"/>
        <item h="1" m="1" x="14"/>
        <item h="1" m="1" x="10"/>
        <item h="1" m="1" x="13"/>
        <item h="1" m="1" x="9"/>
        <item h="1" m="1" x="12"/>
        <item h="1" x="7"/>
        <item t="default"/>
      </items>
    </pivotField>
    <pivotField dataField="1" showAll="0"/>
  </pivotFields>
  <rowFields count="1">
    <field x="1"/>
  </rowFields>
  <rowItems count="8">
    <i>
      <x/>
    </i>
    <i>
      <x v="1"/>
    </i>
    <i>
      <x v="2"/>
    </i>
    <i>
      <x v="3"/>
    </i>
    <i>
      <x v="4"/>
    </i>
    <i>
      <x v="5"/>
    </i>
    <i>
      <x v="6"/>
    </i>
    <i t="grand">
      <x/>
    </i>
  </rowItems>
  <colItems count="1">
    <i/>
  </colItems>
  <dataFields count="1">
    <dataField name="Average of Visits" fld="2" subtotal="average"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A6" totalsRowShown="0">
  <autoFilter ref="A3:A6" xr:uid="{00000000-0009-0000-0100-000001000000}"/>
  <tableColumns count="1">
    <tableColumn id="1" xr3:uid="{00000000-0010-0000-0000-000001000000}" name="Clouds or Su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0" displayName="Table10" ref="C21:C25" totalsRowShown="0">
  <autoFilter ref="C21:C25" xr:uid="{00000000-0009-0000-0100-00000A000000}"/>
  <tableColumns count="1">
    <tableColumn id="1" xr3:uid="{00000000-0010-0000-0900-000001000000}" name="Are the Seahawks Playing"/>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11" displayName="Table11" ref="E3:E5" totalsRowShown="0">
  <autoFilter ref="E3:E5" xr:uid="{00000000-0009-0000-0100-00000B000000}"/>
  <tableColumns count="1">
    <tableColumn id="1" xr3:uid="{00000000-0010-0000-0A00-000001000000}" name="Wind Affecting Upper Mountai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28:A32" totalsRowShown="0" headerRowDxfId="11" headerRowBorderDxfId="10" tableBorderDxfId="9" totalsRowBorderDxfId="8">
  <autoFilter ref="A28:A32" xr:uid="{00000000-0009-0000-0100-00000C000000}"/>
  <tableColumns count="1">
    <tableColumn id="1" xr3:uid="{00000000-0010-0000-0B00-000001000000}" name="Venue Closure"/>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Table13" displayName="Table13" ref="B28:B32" totalsRowShown="0" headerRowDxfId="7" headerRowBorderDxfId="6" tableBorderDxfId="5" totalsRowBorderDxfId="4">
  <autoFilter ref="B28:B32" xr:uid="{00000000-0009-0000-0100-00000D000000}"/>
  <tableColumns count="1">
    <tableColumn id="1" xr3:uid="{00000000-0010-0000-0C00-000001000000}" name="Back County Closure"/>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e14" displayName="Table14" ref="C28:C33" totalsRowShown="0" headerRowDxfId="3" headerRowBorderDxfId="2">
  <autoFilter ref="C28:C33" xr:uid="{00000000-0009-0000-0100-00000E000000}"/>
  <tableColumns count="1">
    <tableColumn id="1" xr3:uid="{00000000-0010-0000-0D00-000001000000}" name="Chair Closure"/>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15" displayName="Table15" ref="D28:D31" totalsRowShown="0" headerRowDxfId="1" headerRowBorderDxfId="0">
  <autoFilter ref="D28:D31" xr:uid="{00000000-0009-0000-0100-00000F000000}"/>
  <tableColumns count="1">
    <tableColumn id="1" xr3:uid="{00000000-0010-0000-0E00-000001000000}" name="Full Operation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B3:B8" totalsRowShown="0">
  <autoFilter ref="B3:B8" xr:uid="{00000000-0009-0000-0100-000002000000}"/>
  <tableColumns count="1">
    <tableColumn id="1" xr3:uid="{00000000-0010-0000-0100-000001000000}" name="48 Hour Snow"/>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3:C7" totalsRowShown="0">
  <autoFilter ref="C3:C7" xr:uid="{00000000-0009-0000-0100-000003000000}"/>
  <tableColumns count="1">
    <tableColumn id="1" xr3:uid="{00000000-0010-0000-0200-000001000000}" name="Precipitation Typ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3:D7" totalsRowShown="0">
  <autoFilter ref="D3:D7" xr:uid="{00000000-0009-0000-0100-000004000000}"/>
  <tableColumns count="1">
    <tableColumn id="1" xr3:uid="{00000000-0010-0000-0300-000001000000}" name="Freezing Leve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12:A17" totalsRowShown="0">
  <autoFilter ref="A12:A17" xr:uid="{00000000-0009-0000-0100-000005000000}"/>
  <tableColumns count="1">
    <tableColumn id="1" xr3:uid="{00000000-0010-0000-0400-000001000000}" name="Multi-week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B12:B18" totalsRowShown="0">
  <autoFilter ref="B12:B18" xr:uid="{00000000-0009-0000-0100-000006000000}"/>
  <tableColumns count="1">
    <tableColumn id="1" xr3:uid="{00000000-0010-0000-0500-000001000000}" name="Busses"/>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C12:C17" totalsRowShown="0">
  <autoFilter ref="C12:C17" xr:uid="{00000000-0009-0000-0100-000007000000}"/>
  <tableColumns count="1">
    <tableColumn id="1" xr3:uid="{00000000-0010-0000-0600-000001000000}" name="Events"/>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D12:D17" totalsRowShown="0">
  <autoFilter ref="D12:D17" xr:uid="{00000000-0009-0000-0100-000008000000}"/>
  <tableColumns count="1">
    <tableColumn id="1" xr3:uid="{00000000-0010-0000-0700-000001000000}" name="Group"/>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9" displayName="Table9" ref="A21:A25" totalsRowShown="0">
  <autoFilter ref="A21:A25" xr:uid="{00000000-0009-0000-0100-000009000000}"/>
  <tableColumns count="1">
    <tableColumn id="1" xr3:uid="{00000000-0010-0000-0800-000001000000}" name="Time of Yea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6" Type="http://schemas.openxmlformats.org/officeDocument/2006/relationships/table" Target="../tables/table15.xml"/><Relationship Id="rId1" Type="http://schemas.openxmlformats.org/officeDocument/2006/relationships/printerSettings" Target="../printerSettings/printerSettings3.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5" Type="http://schemas.openxmlformats.org/officeDocument/2006/relationships/table" Target="../tables/table1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95" zoomScaleNormal="100" workbookViewId="0">
      <selection activeCell="O15" sqref="O15"/>
    </sheetView>
  </sheetViews>
  <sheetFormatPr baseColWidth="10" defaultColWidth="8.83203125" defaultRowHeight="15" x14ac:dyDescent="0.2"/>
  <sheetData/>
  <pageMargins left="0.7" right="0.7" top="0.75" bottom="0.75" header="0.3" footer="0.3"/>
  <pageSetup orientation="portrait" horizontalDpi="300" verticalDpi="0" r:id="rId1"/>
  <drawing r:id="rId2"/>
  <legacyDrawing r:id="rId3"/>
  <oleObjects>
    <mc:AlternateContent xmlns:mc="http://schemas.openxmlformats.org/markup-compatibility/2006">
      <mc:Choice Requires="x14">
        <oleObject progId="Wordpad.Document.1" shapeId="12289" r:id="rId4">
          <objectPr defaultSize="0" autoPict="0" altText="If the Document is not visible double clicking will open the Wordpad." r:id="rId5">
            <anchor moveWithCells="1">
              <from>
                <xdr:col>0</xdr:col>
                <xdr:colOff>254000</xdr:colOff>
                <xdr:row>0</xdr:row>
                <xdr:rowOff>0</xdr:rowOff>
              </from>
              <to>
                <xdr:col>11</xdr:col>
                <xdr:colOff>38100</xdr:colOff>
                <xdr:row>57</xdr:row>
                <xdr:rowOff>12700</xdr:rowOff>
              </to>
            </anchor>
          </objectPr>
        </oleObject>
      </mc:Choice>
      <mc:Fallback>
        <oleObject progId="Wordpad.Document.1" shapeId="12289"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B11"/>
  <sheetViews>
    <sheetView workbookViewId="0">
      <selection activeCell="B4" sqref="B4"/>
    </sheetView>
  </sheetViews>
  <sheetFormatPr baseColWidth="10" defaultColWidth="8.83203125" defaultRowHeight="15" x14ac:dyDescent="0.2"/>
  <cols>
    <col min="1" max="1" width="13.1640625" bestFit="1" customWidth="1"/>
    <col min="2" max="2" width="30.1640625" bestFit="1" customWidth="1"/>
  </cols>
  <sheetData>
    <row r="3" spans="1:2" x14ac:dyDescent="0.2">
      <c r="A3" s="6" t="s">
        <v>14</v>
      </c>
      <c r="B3" t="s">
        <v>22</v>
      </c>
    </row>
    <row r="4" spans="1:2" x14ac:dyDescent="0.2">
      <c r="A4" s="7" t="s">
        <v>6</v>
      </c>
      <c r="B4" s="8">
        <v>3311.1363636363635</v>
      </c>
    </row>
    <row r="5" spans="1:2" x14ac:dyDescent="0.2">
      <c r="A5" s="7" t="s">
        <v>7</v>
      </c>
      <c r="B5" s="8">
        <v>1408.0952380952381</v>
      </c>
    </row>
    <row r="6" spans="1:2" x14ac:dyDescent="0.2">
      <c r="A6" s="7" t="s">
        <v>8</v>
      </c>
      <c r="B6" s="8">
        <v>1159.8571428571429</v>
      </c>
    </row>
    <row r="7" spans="1:2" x14ac:dyDescent="0.2">
      <c r="A7" s="7" t="s">
        <v>9</v>
      </c>
      <c r="B7" s="8">
        <v>1236.1428571428571</v>
      </c>
    </row>
    <row r="8" spans="1:2" x14ac:dyDescent="0.2">
      <c r="A8" s="7" t="s">
        <v>10</v>
      </c>
      <c r="B8" s="8">
        <v>1299.047619047619</v>
      </c>
    </row>
    <row r="9" spans="1:2" x14ac:dyDescent="0.2">
      <c r="A9" s="7" t="s">
        <v>4</v>
      </c>
      <c r="B9" s="8">
        <v>1950.1904761904761</v>
      </c>
    </row>
    <row r="10" spans="1:2" x14ac:dyDescent="0.2">
      <c r="A10" s="7" t="s">
        <v>5</v>
      </c>
      <c r="B10" s="8">
        <v>4371.772727272727</v>
      </c>
    </row>
    <row r="11" spans="1:2" x14ac:dyDescent="0.2">
      <c r="A11" s="7" t="s">
        <v>15</v>
      </c>
      <c r="B11" s="8">
        <v>2128.4832214765102</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54"/>
  <sheetViews>
    <sheetView workbookViewId="0">
      <selection activeCell="C2" sqref="C2"/>
    </sheetView>
  </sheetViews>
  <sheetFormatPr baseColWidth="10" defaultColWidth="8.83203125" defaultRowHeight="15" x14ac:dyDescent="0.2"/>
  <cols>
    <col min="1" max="1" width="12.1640625" style="12" bestFit="1" customWidth="1"/>
    <col min="2" max="2" width="11.1640625" style="12" customWidth="1"/>
    <col min="3" max="3" width="8.1640625" style="12" customWidth="1"/>
    <col min="4" max="4" width="7.83203125" style="12" customWidth="1"/>
    <col min="5" max="5" width="7.6640625" style="12" customWidth="1"/>
    <col min="6" max="6" width="14.1640625" style="12" customWidth="1"/>
  </cols>
  <sheetData>
    <row r="1" spans="1:6" ht="34" x14ac:dyDescent="0.2">
      <c r="A1" s="1" t="s">
        <v>0</v>
      </c>
      <c r="B1" s="1" t="s">
        <v>13</v>
      </c>
      <c r="C1" s="2" t="s">
        <v>1</v>
      </c>
      <c r="D1" s="2" t="s">
        <v>2</v>
      </c>
      <c r="E1" s="2" t="s">
        <v>3</v>
      </c>
      <c r="F1" s="2" t="s">
        <v>12</v>
      </c>
    </row>
    <row r="2" spans="1:6" x14ac:dyDescent="0.2">
      <c r="A2" s="3">
        <v>42329</v>
      </c>
      <c r="B2" s="3" t="s">
        <v>5</v>
      </c>
      <c r="C2" s="4">
        <v>693</v>
      </c>
      <c r="D2" s="4">
        <v>320</v>
      </c>
      <c r="E2" s="4">
        <v>272</v>
      </c>
      <c r="F2" s="4">
        <f>SUM(C2:E2)</f>
        <v>1285</v>
      </c>
    </row>
    <row r="3" spans="1:6" x14ac:dyDescent="0.2">
      <c r="A3" s="3">
        <v>42330</v>
      </c>
      <c r="B3" s="3" t="s">
        <v>6</v>
      </c>
      <c r="C3" s="4">
        <v>516</v>
      </c>
      <c r="D3" s="4">
        <v>218</v>
      </c>
      <c r="E3" s="4">
        <v>210</v>
      </c>
      <c r="F3" s="4">
        <f>SUM(C3:E3)</f>
        <v>944</v>
      </c>
    </row>
    <row r="4" spans="1:6" x14ac:dyDescent="0.2">
      <c r="A4" s="3">
        <v>42331</v>
      </c>
      <c r="B4" s="3" t="s">
        <v>7</v>
      </c>
      <c r="C4" s="4">
        <v>90</v>
      </c>
      <c r="D4" s="4">
        <v>41</v>
      </c>
      <c r="E4" s="4">
        <v>51</v>
      </c>
      <c r="F4" s="4">
        <f t="shared" ref="F4:F67" si="0">SUM(C4:E4)</f>
        <v>182</v>
      </c>
    </row>
    <row r="5" spans="1:6" x14ac:dyDescent="0.2">
      <c r="A5" s="3">
        <v>42332</v>
      </c>
      <c r="B5" s="3" t="s">
        <v>8</v>
      </c>
      <c r="C5" s="4">
        <v>132</v>
      </c>
      <c r="D5" s="4">
        <v>29</v>
      </c>
      <c r="E5" s="4">
        <v>108</v>
      </c>
      <c r="F5" s="4">
        <f t="shared" si="0"/>
        <v>269</v>
      </c>
    </row>
    <row r="6" spans="1:6" x14ac:dyDescent="0.2">
      <c r="A6" s="3">
        <v>42333</v>
      </c>
      <c r="B6" s="3" t="s">
        <v>9</v>
      </c>
      <c r="C6" s="4">
        <v>442</v>
      </c>
      <c r="D6" s="4">
        <v>146</v>
      </c>
      <c r="E6" s="4">
        <v>155</v>
      </c>
      <c r="F6" s="4">
        <f t="shared" si="0"/>
        <v>743</v>
      </c>
    </row>
    <row r="7" spans="1:6" x14ac:dyDescent="0.2">
      <c r="A7" s="3">
        <v>42334</v>
      </c>
      <c r="B7" s="3" t="s">
        <v>10</v>
      </c>
      <c r="C7" s="4">
        <v>458</v>
      </c>
      <c r="D7" s="4">
        <v>264</v>
      </c>
      <c r="E7" s="4">
        <v>161</v>
      </c>
      <c r="F7" s="4">
        <f t="shared" si="0"/>
        <v>883</v>
      </c>
    </row>
    <row r="8" spans="1:6" x14ac:dyDescent="0.2">
      <c r="A8" s="3">
        <v>42335</v>
      </c>
      <c r="B8" s="3" t="s">
        <v>4</v>
      </c>
      <c r="C8" s="4">
        <f>1089+46</f>
        <v>1135</v>
      </c>
      <c r="D8" s="4">
        <v>780</v>
      </c>
      <c r="E8" s="4">
        <v>258</v>
      </c>
      <c r="F8" s="4">
        <f t="shared" si="0"/>
        <v>2173</v>
      </c>
    </row>
    <row r="9" spans="1:6" x14ac:dyDescent="0.2">
      <c r="A9" s="3">
        <v>42336</v>
      </c>
      <c r="B9" s="3" t="s">
        <v>5</v>
      </c>
      <c r="C9" s="4">
        <f>1414+77</f>
        <v>1491</v>
      </c>
      <c r="D9" s="4">
        <v>635</v>
      </c>
      <c r="E9" s="4">
        <v>268</v>
      </c>
      <c r="F9" s="4">
        <f t="shared" si="0"/>
        <v>2394</v>
      </c>
    </row>
    <row r="10" spans="1:6" x14ac:dyDescent="0.2">
      <c r="A10" s="3">
        <v>42337</v>
      </c>
      <c r="B10" s="3" t="s">
        <v>6</v>
      </c>
      <c r="C10" s="4">
        <f>627+37</f>
        <v>664</v>
      </c>
      <c r="D10" s="4">
        <v>315</v>
      </c>
      <c r="E10" s="4">
        <v>151</v>
      </c>
      <c r="F10" s="4">
        <f t="shared" si="0"/>
        <v>1130</v>
      </c>
    </row>
    <row r="11" spans="1:6" x14ac:dyDescent="0.2">
      <c r="A11" s="3">
        <v>42338</v>
      </c>
      <c r="B11" s="3" t="s">
        <v>7</v>
      </c>
      <c r="C11" s="4">
        <v>80</v>
      </c>
      <c r="D11" s="4">
        <v>53</v>
      </c>
      <c r="E11" s="4">
        <v>39</v>
      </c>
      <c r="F11" s="4">
        <f t="shared" si="0"/>
        <v>172</v>
      </c>
    </row>
    <row r="12" spans="1:6" x14ac:dyDescent="0.2">
      <c r="A12" s="3">
        <v>42339</v>
      </c>
      <c r="B12" s="3" t="s">
        <v>8</v>
      </c>
      <c r="C12" s="4">
        <v>47</v>
      </c>
      <c r="D12" s="4">
        <v>21</v>
      </c>
      <c r="E12" s="4">
        <v>20</v>
      </c>
      <c r="F12" s="4">
        <f t="shared" si="0"/>
        <v>88</v>
      </c>
    </row>
    <row r="13" spans="1:6" x14ac:dyDescent="0.2">
      <c r="A13" s="3">
        <v>42340</v>
      </c>
      <c r="B13" s="3" t="s">
        <v>9</v>
      </c>
      <c r="C13" s="4">
        <v>118</v>
      </c>
      <c r="D13" s="4">
        <v>2</v>
      </c>
      <c r="E13" s="4">
        <v>74</v>
      </c>
      <c r="F13" s="4">
        <f t="shared" si="0"/>
        <v>194</v>
      </c>
    </row>
    <row r="14" spans="1:6" x14ac:dyDescent="0.2">
      <c r="A14" s="3">
        <v>42341</v>
      </c>
      <c r="B14" s="3" t="s">
        <v>10</v>
      </c>
      <c r="C14" s="4">
        <v>0</v>
      </c>
      <c r="D14" s="4">
        <v>0</v>
      </c>
      <c r="E14" s="4">
        <v>0</v>
      </c>
      <c r="F14" s="4">
        <f t="shared" si="0"/>
        <v>0</v>
      </c>
    </row>
    <row r="15" spans="1:6" x14ac:dyDescent="0.2">
      <c r="A15" s="3">
        <v>42342</v>
      </c>
      <c r="B15" s="3" t="s">
        <v>4</v>
      </c>
      <c r="C15" s="4">
        <f>340+5</f>
        <v>345</v>
      </c>
      <c r="D15" s="4">
        <v>24</v>
      </c>
      <c r="E15" s="4">
        <v>198</v>
      </c>
      <c r="F15" s="4">
        <f t="shared" si="0"/>
        <v>567</v>
      </c>
    </row>
    <row r="16" spans="1:6" x14ac:dyDescent="0.2">
      <c r="A16" s="3">
        <v>42343</v>
      </c>
      <c r="B16" s="3" t="s">
        <v>5</v>
      </c>
      <c r="C16" s="4">
        <f>1310+44</f>
        <v>1354</v>
      </c>
      <c r="D16" s="4">
        <v>0</v>
      </c>
      <c r="E16" s="4">
        <v>415</v>
      </c>
      <c r="F16" s="4">
        <f t="shared" si="0"/>
        <v>1769</v>
      </c>
    </row>
    <row r="17" spans="1:6" x14ac:dyDescent="0.2">
      <c r="A17" s="3">
        <v>42344</v>
      </c>
      <c r="B17" s="3" t="s">
        <v>6</v>
      </c>
      <c r="C17" s="4">
        <f>2549+37</f>
        <v>2586</v>
      </c>
      <c r="D17" s="4">
        <v>126</v>
      </c>
      <c r="E17" s="4">
        <v>499</v>
      </c>
      <c r="F17" s="4">
        <f t="shared" si="0"/>
        <v>3211</v>
      </c>
    </row>
    <row r="18" spans="1:6" x14ac:dyDescent="0.2">
      <c r="A18" s="3">
        <v>42345</v>
      </c>
      <c r="B18" s="3" t="s">
        <v>7</v>
      </c>
      <c r="C18" s="4">
        <v>163</v>
      </c>
      <c r="D18" s="4">
        <v>0</v>
      </c>
      <c r="E18" s="4">
        <v>30</v>
      </c>
      <c r="F18" s="4">
        <f t="shared" si="0"/>
        <v>193</v>
      </c>
    </row>
    <row r="19" spans="1:6" x14ac:dyDescent="0.2">
      <c r="A19" s="3">
        <v>42346</v>
      </c>
      <c r="B19" s="3" t="s">
        <v>8</v>
      </c>
      <c r="C19" s="4">
        <v>55</v>
      </c>
      <c r="D19" s="4">
        <v>0</v>
      </c>
      <c r="E19" s="4">
        <v>11</v>
      </c>
      <c r="F19" s="4">
        <f t="shared" si="0"/>
        <v>66</v>
      </c>
    </row>
    <row r="20" spans="1:6" x14ac:dyDescent="0.2">
      <c r="A20" s="3">
        <v>42347</v>
      </c>
      <c r="B20" s="3" t="s">
        <v>9</v>
      </c>
      <c r="C20" s="4">
        <v>92</v>
      </c>
      <c r="D20" s="4">
        <v>0</v>
      </c>
      <c r="E20" s="4">
        <v>9</v>
      </c>
      <c r="F20" s="4">
        <f t="shared" si="0"/>
        <v>101</v>
      </c>
    </row>
    <row r="21" spans="1:6" x14ac:dyDescent="0.2">
      <c r="A21" s="3">
        <v>42348</v>
      </c>
      <c r="B21" s="3" t="s">
        <v>10</v>
      </c>
      <c r="C21" s="4">
        <f>272+3</f>
        <v>275</v>
      </c>
      <c r="D21" s="4">
        <v>0</v>
      </c>
      <c r="E21" s="4">
        <v>44</v>
      </c>
      <c r="F21" s="4">
        <f t="shared" si="0"/>
        <v>319</v>
      </c>
    </row>
    <row r="22" spans="1:6" x14ac:dyDescent="0.2">
      <c r="A22" s="3">
        <v>42349</v>
      </c>
      <c r="B22" s="3" t="s">
        <v>4</v>
      </c>
      <c r="C22" s="4">
        <f>948+10</f>
        <v>958</v>
      </c>
      <c r="D22" s="4">
        <v>41</v>
      </c>
      <c r="E22" s="4">
        <v>413</v>
      </c>
      <c r="F22" s="4">
        <f t="shared" si="0"/>
        <v>1412</v>
      </c>
    </row>
    <row r="23" spans="1:6" x14ac:dyDescent="0.2">
      <c r="A23" s="3">
        <v>42350</v>
      </c>
      <c r="B23" s="3" t="s">
        <v>5</v>
      </c>
      <c r="C23" s="4">
        <f>2732+53</f>
        <v>2785</v>
      </c>
      <c r="D23" s="4">
        <v>21</v>
      </c>
      <c r="E23" s="4">
        <v>830</v>
      </c>
      <c r="F23" s="4">
        <f t="shared" si="0"/>
        <v>3636</v>
      </c>
    </row>
    <row r="24" spans="1:6" x14ac:dyDescent="0.2">
      <c r="A24" s="3">
        <v>42351</v>
      </c>
      <c r="B24" s="3" t="s">
        <v>6</v>
      </c>
      <c r="C24" s="4">
        <f>4194+55</f>
        <v>4249</v>
      </c>
      <c r="D24" s="4">
        <v>67</v>
      </c>
      <c r="E24" s="4">
        <v>1067</v>
      </c>
      <c r="F24" s="4">
        <f t="shared" si="0"/>
        <v>5383</v>
      </c>
    </row>
    <row r="25" spans="1:6" x14ac:dyDescent="0.2">
      <c r="A25" s="3">
        <v>42352</v>
      </c>
      <c r="B25" s="3" t="s">
        <v>7</v>
      </c>
      <c r="C25" s="4">
        <f>1007+3</f>
        <v>1010</v>
      </c>
      <c r="D25" s="4">
        <v>32</v>
      </c>
      <c r="E25" s="4">
        <v>289</v>
      </c>
      <c r="F25" s="4">
        <f t="shared" si="0"/>
        <v>1331</v>
      </c>
    </row>
    <row r="26" spans="1:6" x14ac:dyDescent="0.2">
      <c r="A26" s="3">
        <v>42353</v>
      </c>
      <c r="B26" s="3" t="s">
        <v>8</v>
      </c>
      <c r="C26" s="4">
        <f>711+6</f>
        <v>717</v>
      </c>
      <c r="D26" s="4">
        <v>9</v>
      </c>
      <c r="E26" s="4">
        <v>205</v>
      </c>
      <c r="F26" s="4">
        <f t="shared" si="0"/>
        <v>931</v>
      </c>
    </row>
    <row r="27" spans="1:6" x14ac:dyDescent="0.2">
      <c r="A27" s="3">
        <v>42354</v>
      </c>
      <c r="B27" s="3" t="s">
        <v>9</v>
      </c>
      <c r="C27" s="4">
        <f>681+8</f>
        <v>689</v>
      </c>
      <c r="D27" s="4">
        <v>35</v>
      </c>
      <c r="E27" s="4">
        <v>156</v>
      </c>
      <c r="F27" s="4">
        <f t="shared" si="0"/>
        <v>880</v>
      </c>
    </row>
    <row r="28" spans="1:6" x14ac:dyDescent="0.2">
      <c r="A28" s="3">
        <v>42355</v>
      </c>
      <c r="B28" s="3" t="s">
        <v>10</v>
      </c>
      <c r="C28" s="4">
        <f>1007+7</f>
        <v>1014</v>
      </c>
      <c r="D28" s="4">
        <v>32</v>
      </c>
      <c r="E28" s="4">
        <v>289</v>
      </c>
      <c r="F28" s="4">
        <f t="shared" si="0"/>
        <v>1335</v>
      </c>
    </row>
    <row r="29" spans="1:6" x14ac:dyDescent="0.2">
      <c r="A29" s="3">
        <v>42356</v>
      </c>
      <c r="B29" s="3" t="s">
        <v>4</v>
      </c>
      <c r="C29" s="4">
        <f>2370+21</f>
        <v>2391</v>
      </c>
      <c r="D29" s="4">
        <v>35</v>
      </c>
      <c r="E29" s="4">
        <v>593</v>
      </c>
      <c r="F29" s="4">
        <f t="shared" si="0"/>
        <v>3019</v>
      </c>
    </row>
    <row r="30" spans="1:6" x14ac:dyDescent="0.2">
      <c r="A30" s="3">
        <v>42357</v>
      </c>
      <c r="B30" s="3" t="s">
        <v>5</v>
      </c>
      <c r="C30" s="4">
        <f>4164+75</f>
        <v>4239</v>
      </c>
      <c r="D30" s="4">
        <v>184</v>
      </c>
      <c r="E30" s="4">
        <v>972</v>
      </c>
      <c r="F30" s="4">
        <f t="shared" si="0"/>
        <v>5395</v>
      </c>
    </row>
    <row r="31" spans="1:6" x14ac:dyDescent="0.2">
      <c r="A31" s="3">
        <v>42358</v>
      </c>
      <c r="B31" s="3" t="s">
        <v>6</v>
      </c>
      <c r="C31" s="4">
        <f>3353+52</f>
        <v>3405</v>
      </c>
      <c r="D31" s="4">
        <v>118</v>
      </c>
      <c r="E31" s="4">
        <v>996</v>
      </c>
      <c r="F31" s="4">
        <f t="shared" si="0"/>
        <v>4519</v>
      </c>
    </row>
    <row r="32" spans="1:6" x14ac:dyDescent="0.2">
      <c r="A32" s="3">
        <v>42359</v>
      </c>
      <c r="B32" s="3" t="s">
        <v>7</v>
      </c>
      <c r="C32" s="4">
        <f>2556+55</f>
        <v>2611</v>
      </c>
      <c r="D32" s="4">
        <v>36</v>
      </c>
      <c r="E32" s="4">
        <v>556</v>
      </c>
      <c r="F32" s="4">
        <f t="shared" si="0"/>
        <v>3203</v>
      </c>
    </row>
    <row r="33" spans="1:6" x14ac:dyDescent="0.2">
      <c r="A33" s="3">
        <v>42360</v>
      </c>
      <c r="B33" s="3" t="s">
        <v>8</v>
      </c>
      <c r="C33" s="4">
        <f>3284+80</f>
        <v>3364</v>
      </c>
      <c r="D33" s="4">
        <v>93</v>
      </c>
      <c r="E33" s="4">
        <v>772</v>
      </c>
      <c r="F33" s="4">
        <f t="shared" si="0"/>
        <v>4229</v>
      </c>
    </row>
    <row r="34" spans="1:6" x14ac:dyDescent="0.2">
      <c r="A34" s="3">
        <v>42361</v>
      </c>
      <c r="B34" s="3" t="s">
        <v>9</v>
      </c>
      <c r="C34" s="4">
        <f>4025+70</f>
        <v>4095</v>
      </c>
      <c r="D34" s="4">
        <v>55</v>
      </c>
      <c r="E34" s="4">
        <v>677</v>
      </c>
      <c r="F34" s="4">
        <f t="shared" si="0"/>
        <v>4827</v>
      </c>
    </row>
    <row r="35" spans="1:6" x14ac:dyDescent="0.2">
      <c r="A35" s="3">
        <v>42362</v>
      </c>
      <c r="B35" s="3" t="s">
        <v>10</v>
      </c>
      <c r="C35" s="4">
        <f>3717+46</f>
        <v>3763</v>
      </c>
      <c r="D35" s="4">
        <v>148</v>
      </c>
      <c r="E35" s="4">
        <v>524</v>
      </c>
      <c r="F35" s="4">
        <f t="shared" si="0"/>
        <v>4435</v>
      </c>
    </row>
    <row r="36" spans="1:6" x14ac:dyDescent="0.2">
      <c r="A36" s="3">
        <v>42363</v>
      </c>
      <c r="B36" s="3" t="s">
        <v>4</v>
      </c>
      <c r="C36" s="4">
        <f>2755+66</f>
        <v>2821</v>
      </c>
      <c r="D36" s="4">
        <v>449</v>
      </c>
      <c r="E36" s="4">
        <v>391</v>
      </c>
      <c r="F36" s="4">
        <f t="shared" si="0"/>
        <v>3661</v>
      </c>
    </row>
    <row r="37" spans="1:6" x14ac:dyDescent="0.2">
      <c r="A37" s="3">
        <v>42364</v>
      </c>
      <c r="B37" s="3" t="s">
        <v>5</v>
      </c>
      <c r="C37" s="4">
        <f>4432+40</f>
        <v>4472</v>
      </c>
      <c r="D37" s="4">
        <v>531</v>
      </c>
      <c r="E37" s="4">
        <v>655</v>
      </c>
      <c r="F37" s="4">
        <f t="shared" si="0"/>
        <v>5658</v>
      </c>
    </row>
    <row r="38" spans="1:6" x14ac:dyDescent="0.2">
      <c r="A38" s="3">
        <v>42365</v>
      </c>
      <c r="B38" s="3" t="s">
        <v>6</v>
      </c>
      <c r="C38" s="4">
        <f>3859+75+21</f>
        <v>3955</v>
      </c>
      <c r="D38" s="4">
        <v>292</v>
      </c>
      <c r="E38" s="4">
        <v>940</v>
      </c>
      <c r="F38" s="4">
        <f t="shared" si="0"/>
        <v>5187</v>
      </c>
    </row>
    <row r="39" spans="1:6" x14ac:dyDescent="0.2">
      <c r="A39" s="3">
        <v>42366</v>
      </c>
      <c r="B39" s="3" t="s">
        <v>7</v>
      </c>
      <c r="C39" s="4">
        <f>4388+111</f>
        <v>4499</v>
      </c>
      <c r="D39" s="4">
        <v>213</v>
      </c>
      <c r="E39" s="4">
        <v>766</v>
      </c>
      <c r="F39" s="4">
        <f t="shared" si="0"/>
        <v>5478</v>
      </c>
    </row>
    <row r="40" spans="1:6" x14ac:dyDescent="0.2">
      <c r="A40" s="3">
        <v>42367</v>
      </c>
      <c r="B40" s="3" t="s">
        <v>8</v>
      </c>
      <c r="C40" s="4">
        <f>4095+129</f>
        <v>4224</v>
      </c>
      <c r="D40" s="4">
        <v>347</v>
      </c>
      <c r="E40" s="4">
        <v>829</v>
      </c>
      <c r="F40" s="4">
        <f t="shared" si="0"/>
        <v>5400</v>
      </c>
    </row>
    <row r="41" spans="1:6" x14ac:dyDescent="0.2">
      <c r="A41" s="3">
        <v>42368</v>
      </c>
      <c r="B41" s="3" t="s">
        <v>9</v>
      </c>
      <c r="C41" s="4">
        <f>5304+162</f>
        <v>5466</v>
      </c>
      <c r="D41" s="4">
        <v>499</v>
      </c>
      <c r="E41" s="4">
        <v>945</v>
      </c>
      <c r="F41" s="4">
        <f t="shared" si="0"/>
        <v>6910</v>
      </c>
    </row>
    <row r="42" spans="1:6" x14ac:dyDescent="0.2">
      <c r="A42" s="3">
        <v>42369</v>
      </c>
      <c r="B42" s="3" t="s">
        <v>10</v>
      </c>
      <c r="C42" s="4">
        <f>4329+138</f>
        <v>4467</v>
      </c>
      <c r="D42" s="4">
        <v>393</v>
      </c>
      <c r="E42" s="4">
        <v>984</v>
      </c>
      <c r="F42" s="4">
        <f t="shared" si="0"/>
        <v>5844</v>
      </c>
    </row>
    <row r="43" spans="1:6" x14ac:dyDescent="0.2">
      <c r="A43" s="3">
        <v>42370</v>
      </c>
      <c r="B43" s="3" t="s">
        <v>4</v>
      </c>
      <c r="C43" s="4">
        <f>4754+92</f>
        <v>4846</v>
      </c>
      <c r="D43" s="4">
        <v>863</v>
      </c>
      <c r="E43" s="4">
        <v>779</v>
      </c>
      <c r="F43" s="4">
        <f t="shared" si="0"/>
        <v>6488</v>
      </c>
    </row>
    <row r="44" spans="1:6" x14ac:dyDescent="0.2">
      <c r="A44" s="3">
        <v>42371</v>
      </c>
      <c r="B44" s="3" t="s">
        <v>5</v>
      </c>
      <c r="C44" s="4">
        <v>5031</v>
      </c>
      <c r="D44" s="4">
        <v>1105</v>
      </c>
      <c r="E44" s="4">
        <v>954</v>
      </c>
      <c r="F44" s="4">
        <f t="shared" si="0"/>
        <v>7090</v>
      </c>
    </row>
    <row r="45" spans="1:6" x14ac:dyDescent="0.2">
      <c r="A45" s="3">
        <v>42372</v>
      </c>
      <c r="B45" s="3" t="s">
        <v>6</v>
      </c>
      <c r="C45" s="4">
        <v>2486</v>
      </c>
      <c r="D45" s="4">
        <v>210</v>
      </c>
      <c r="E45" s="4">
        <v>568</v>
      </c>
      <c r="F45" s="4">
        <f t="shared" si="0"/>
        <v>3264</v>
      </c>
    </row>
    <row r="46" spans="1:6" x14ac:dyDescent="0.2">
      <c r="A46" s="3">
        <v>42373</v>
      </c>
      <c r="B46" s="3" t="s">
        <v>7</v>
      </c>
      <c r="C46" s="4">
        <v>871</v>
      </c>
      <c r="D46" s="4">
        <v>40</v>
      </c>
      <c r="E46" s="4">
        <v>261</v>
      </c>
      <c r="F46" s="4">
        <f t="shared" si="0"/>
        <v>1172</v>
      </c>
    </row>
    <row r="47" spans="1:6" x14ac:dyDescent="0.2">
      <c r="A47" s="3">
        <v>42374</v>
      </c>
      <c r="B47" s="3" t="s">
        <v>8</v>
      </c>
      <c r="C47" s="4">
        <v>792</v>
      </c>
      <c r="D47" s="4">
        <v>34</v>
      </c>
      <c r="E47" s="4">
        <v>173</v>
      </c>
      <c r="F47" s="4">
        <f t="shared" si="0"/>
        <v>999</v>
      </c>
    </row>
    <row r="48" spans="1:6" x14ac:dyDescent="0.2">
      <c r="A48" s="3">
        <v>42375</v>
      </c>
      <c r="B48" s="3" t="s">
        <v>9</v>
      </c>
      <c r="C48" s="4">
        <v>901</v>
      </c>
      <c r="D48" s="4">
        <v>16</v>
      </c>
      <c r="E48" s="4">
        <v>251</v>
      </c>
      <c r="F48" s="4">
        <f t="shared" si="0"/>
        <v>1168</v>
      </c>
    </row>
    <row r="49" spans="1:6" x14ac:dyDescent="0.2">
      <c r="A49" s="3">
        <v>42376</v>
      </c>
      <c r="B49" s="3" t="s">
        <v>10</v>
      </c>
      <c r="C49" s="4">
        <v>820</v>
      </c>
      <c r="D49" s="4">
        <v>48</v>
      </c>
      <c r="E49" s="4">
        <v>251</v>
      </c>
      <c r="F49" s="4">
        <f t="shared" si="0"/>
        <v>1119</v>
      </c>
    </row>
    <row r="50" spans="1:6" x14ac:dyDescent="0.2">
      <c r="A50" s="3">
        <v>42377</v>
      </c>
      <c r="B50" s="3" t="s">
        <v>4</v>
      </c>
      <c r="C50" s="4">
        <v>1229</v>
      </c>
      <c r="D50" s="4">
        <v>124</v>
      </c>
      <c r="E50" s="4">
        <v>558</v>
      </c>
      <c r="F50" s="4">
        <f t="shared" si="0"/>
        <v>1911</v>
      </c>
    </row>
    <row r="51" spans="1:6" x14ac:dyDescent="0.2">
      <c r="A51" s="3">
        <v>42378</v>
      </c>
      <c r="B51" s="3" t="s">
        <v>5</v>
      </c>
      <c r="C51" s="4">
        <v>4600</v>
      </c>
      <c r="D51" s="4">
        <v>289</v>
      </c>
      <c r="E51" s="4">
        <v>1880</v>
      </c>
      <c r="F51" s="4">
        <f t="shared" si="0"/>
        <v>6769</v>
      </c>
    </row>
    <row r="52" spans="1:6" x14ac:dyDescent="0.2">
      <c r="A52" s="3">
        <v>42379</v>
      </c>
      <c r="B52" s="3" t="s">
        <v>6</v>
      </c>
      <c r="C52" s="4">
        <v>2622</v>
      </c>
      <c r="D52" s="4">
        <v>283</v>
      </c>
      <c r="E52" s="4">
        <v>1032</v>
      </c>
      <c r="F52" s="4">
        <f t="shared" si="0"/>
        <v>3937</v>
      </c>
    </row>
    <row r="53" spans="1:6" x14ac:dyDescent="0.2">
      <c r="A53" s="3">
        <v>42380</v>
      </c>
      <c r="B53" s="3" t="s">
        <v>7</v>
      </c>
      <c r="C53" s="4">
        <v>461</v>
      </c>
      <c r="D53" s="4">
        <v>41</v>
      </c>
      <c r="E53" s="4">
        <v>141</v>
      </c>
      <c r="F53" s="4">
        <f t="shared" si="0"/>
        <v>643</v>
      </c>
    </row>
    <row r="54" spans="1:6" x14ac:dyDescent="0.2">
      <c r="A54" s="3">
        <v>42381</v>
      </c>
      <c r="B54" s="3" t="s">
        <v>8</v>
      </c>
      <c r="C54" s="4">
        <v>414</v>
      </c>
      <c r="D54" s="4">
        <v>7</v>
      </c>
      <c r="E54" s="4">
        <v>147</v>
      </c>
      <c r="F54" s="4">
        <f t="shared" si="0"/>
        <v>568</v>
      </c>
    </row>
    <row r="55" spans="1:6" x14ac:dyDescent="0.2">
      <c r="A55" s="3">
        <v>42382</v>
      </c>
      <c r="B55" s="3" t="s">
        <v>9</v>
      </c>
      <c r="C55" s="4">
        <v>1168</v>
      </c>
      <c r="D55" s="4">
        <v>23</v>
      </c>
      <c r="E55" s="4">
        <v>351</v>
      </c>
      <c r="F55" s="4">
        <f t="shared" si="0"/>
        <v>1542</v>
      </c>
    </row>
    <row r="56" spans="1:6" x14ac:dyDescent="0.2">
      <c r="A56" s="3">
        <v>42383</v>
      </c>
      <c r="B56" s="3" t="s">
        <v>10</v>
      </c>
      <c r="C56" s="4">
        <v>859</v>
      </c>
      <c r="D56" s="4">
        <v>61</v>
      </c>
      <c r="E56" s="4">
        <v>368</v>
      </c>
      <c r="F56" s="4">
        <f t="shared" si="0"/>
        <v>1288</v>
      </c>
    </row>
    <row r="57" spans="1:6" x14ac:dyDescent="0.2">
      <c r="A57" s="3">
        <v>42384</v>
      </c>
      <c r="B57" s="3" t="s">
        <v>4</v>
      </c>
      <c r="C57" s="4">
        <v>1752</v>
      </c>
      <c r="D57" s="4">
        <v>69</v>
      </c>
      <c r="E57" s="4">
        <v>728</v>
      </c>
      <c r="F57" s="4">
        <f t="shared" si="0"/>
        <v>2549</v>
      </c>
    </row>
    <row r="58" spans="1:6" x14ac:dyDescent="0.2">
      <c r="A58" s="3">
        <v>42385</v>
      </c>
      <c r="B58" s="3" t="s">
        <v>5</v>
      </c>
      <c r="C58" s="4">
        <v>5391</v>
      </c>
      <c r="D58" s="4">
        <v>275</v>
      </c>
      <c r="E58" s="4">
        <v>1474</v>
      </c>
      <c r="F58" s="4">
        <f t="shared" si="0"/>
        <v>7140</v>
      </c>
    </row>
    <row r="59" spans="1:6" x14ac:dyDescent="0.2">
      <c r="A59" s="3">
        <v>42386</v>
      </c>
      <c r="B59" s="3" t="s">
        <v>6</v>
      </c>
      <c r="C59" s="4">
        <v>4081</v>
      </c>
      <c r="D59" s="4">
        <v>130</v>
      </c>
      <c r="E59" s="4">
        <v>1046</v>
      </c>
      <c r="F59" s="4">
        <f t="shared" si="0"/>
        <v>5257</v>
      </c>
    </row>
    <row r="60" spans="1:6" x14ac:dyDescent="0.2">
      <c r="A60" s="3">
        <v>42387</v>
      </c>
      <c r="B60" s="3" t="s">
        <v>7</v>
      </c>
      <c r="C60" s="4">
        <v>4994</v>
      </c>
      <c r="D60" s="4">
        <v>294</v>
      </c>
      <c r="E60" s="4">
        <v>818</v>
      </c>
      <c r="F60" s="4">
        <f t="shared" si="0"/>
        <v>6106</v>
      </c>
    </row>
    <row r="61" spans="1:6" x14ac:dyDescent="0.2">
      <c r="A61" s="3">
        <v>42388</v>
      </c>
      <c r="B61" s="3" t="s">
        <v>8</v>
      </c>
      <c r="C61" s="4">
        <v>524</v>
      </c>
      <c r="D61" s="4">
        <v>25</v>
      </c>
      <c r="E61" s="4">
        <v>211</v>
      </c>
      <c r="F61" s="4">
        <f t="shared" si="0"/>
        <v>760</v>
      </c>
    </row>
    <row r="62" spans="1:6" x14ac:dyDescent="0.2">
      <c r="A62" s="3">
        <v>42389</v>
      </c>
      <c r="B62" s="3" t="s">
        <v>9</v>
      </c>
      <c r="C62" s="4">
        <v>690</v>
      </c>
      <c r="D62" s="4">
        <v>38</v>
      </c>
      <c r="E62" s="4">
        <v>366</v>
      </c>
      <c r="F62" s="4">
        <f t="shared" si="0"/>
        <v>1094</v>
      </c>
    </row>
    <row r="63" spans="1:6" x14ac:dyDescent="0.2">
      <c r="A63" s="3">
        <v>42390</v>
      </c>
      <c r="B63" s="3" t="s">
        <v>10</v>
      </c>
      <c r="C63" s="4">
        <v>190</v>
      </c>
      <c r="D63" s="4">
        <v>0</v>
      </c>
      <c r="E63" s="4">
        <v>0</v>
      </c>
      <c r="F63" s="4">
        <f t="shared" si="0"/>
        <v>190</v>
      </c>
    </row>
    <row r="64" spans="1:6" x14ac:dyDescent="0.2">
      <c r="A64" s="3">
        <v>42391</v>
      </c>
      <c r="B64" s="3" t="s">
        <v>4</v>
      </c>
      <c r="C64" s="4">
        <v>763</v>
      </c>
      <c r="D64" s="4">
        <v>114</v>
      </c>
      <c r="E64" s="4">
        <v>698</v>
      </c>
      <c r="F64" s="4">
        <f t="shared" si="0"/>
        <v>1575</v>
      </c>
    </row>
    <row r="65" spans="1:6" x14ac:dyDescent="0.2">
      <c r="A65" s="3">
        <v>42392</v>
      </c>
      <c r="B65" s="3" t="s">
        <v>5</v>
      </c>
      <c r="C65" s="4">
        <v>4268</v>
      </c>
      <c r="D65" s="4">
        <v>185</v>
      </c>
      <c r="E65" s="4">
        <v>1748</v>
      </c>
      <c r="F65" s="4">
        <f t="shared" si="0"/>
        <v>6201</v>
      </c>
    </row>
    <row r="66" spans="1:6" x14ac:dyDescent="0.2">
      <c r="A66" s="3">
        <v>42393</v>
      </c>
      <c r="B66" s="3" t="s">
        <v>6</v>
      </c>
      <c r="C66" s="4">
        <v>4187</v>
      </c>
      <c r="D66" s="4">
        <v>177</v>
      </c>
      <c r="E66" s="4">
        <v>1151</v>
      </c>
      <c r="F66" s="4">
        <f t="shared" si="0"/>
        <v>5515</v>
      </c>
    </row>
    <row r="67" spans="1:6" x14ac:dyDescent="0.2">
      <c r="A67" s="3">
        <v>42394</v>
      </c>
      <c r="B67" s="3" t="s">
        <v>7</v>
      </c>
      <c r="C67" s="4">
        <v>1027</v>
      </c>
      <c r="D67" s="4">
        <v>83</v>
      </c>
      <c r="E67" s="4">
        <v>280</v>
      </c>
      <c r="F67" s="4">
        <f t="shared" si="0"/>
        <v>1390</v>
      </c>
    </row>
    <row r="68" spans="1:6" x14ac:dyDescent="0.2">
      <c r="A68" s="3">
        <v>42395</v>
      </c>
      <c r="B68" s="3" t="s">
        <v>8</v>
      </c>
      <c r="C68" s="4">
        <v>223</v>
      </c>
      <c r="D68" s="4">
        <v>17</v>
      </c>
      <c r="E68" s="4">
        <v>68</v>
      </c>
      <c r="F68" s="4">
        <f t="shared" ref="F68:F131" si="1">SUM(C68:E68)</f>
        <v>308</v>
      </c>
    </row>
    <row r="69" spans="1:6" x14ac:dyDescent="0.2">
      <c r="A69" s="3">
        <v>42396</v>
      </c>
      <c r="B69" s="3" t="s">
        <v>9</v>
      </c>
      <c r="C69" s="4">
        <v>230</v>
      </c>
      <c r="D69" s="4">
        <v>0</v>
      </c>
      <c r="E69" s="4">
        <v>13</v>
      </c>
      <c r="F69" s="4">
        <f t="shared" si="1"/>
        <v>243</v>
      </c>
    </row>
    <row r="70" spans="1:6" x14ac:dyDescent="0.2">
      <c r="A70" s="3">
        <v>42397</v>
      </c>
      <c r="B70" s="3" t="s">
        <v>10</v>
      </c>
      <c r="C70" s="4">
        <v>146</v>
      </c>
      <c r="D70" s="4">
        <v>0</v>
      </c>
      <c r="E70" s="4">
        <v>3</v>
      </c>
      <c r="F70" s="4">
        <f t="shared" si="1"/>
        <v>149</v>
      </c>
    </row>
    <row r="71" spans="1:6" x14ac:dyDescent="0.2">
      <c r="A71" s="3">
        <v>42398</v>
      </c>
      <c r="B71" s="3" t="s">
        <v>4</v>
      </c>
      <c r="C71" s="4">
        <v>1103</v>
      </c>
      <c r="D71" s="4">
        <v>48</v>
      </c>
      <c r="E71" s="4">
        <v>727</v>
      </c>
      <c r="F71" s="4">
        <f t="shared" si="1"/>
        <v>1878</v>
      </c>
    </row>
    <row r="72" spans="1:6" x14ac:dyDescent="0.2">
      <c r="A72" s="3">
        <v>42399</v>
      </c>
      <c r="B72" s="3" t="s">
        <v>5</v>
      </c>
      <c r="C72" s="4">
        <v>4901</v>
      </c>
      <c r="D72" s="4">
        <v>222</v>
      </c>
      <c r="E72" s="4">
        <v>1759</v>
      </c>
      <c r="F72" s="4">
        <f t="shared" si="1"/>
        <v>6882</v>
      </c>
    </row>
    <row r="73" spans="1:6" x14ac:dyDescent="0.2">
      <c r="A73" s="3">
        <v>42400</v>
      </c>
      <c r="B73" s="3" t="s">
        <v>6</v>
      </c>
      <c r="C73" s="4">
        <v>4366</v>
      </c>
      <c r="D73" s="4">
        <v>159</v>
      </c>
      <c r="E73" s="4">
        <v>1158</v>
      </c>
      <c r="F73" s="4">
        <f t="shared" si="1"/>
        <v>5683</v>
      </c>
    </row>
    <row r="74" spans="1:6" x14ac:dyDescent="0.2">
      <c r="A74" s="3">
        <v>42401</v>
      </c>
      <c r="B74" s="3" t="s">
        <v>7</v>
      </c>
      <c r="C74" s="4">
        <v>647</v>
      </c>
      <c r="D74" s="4">
        <v>61</v>
      </c>
      <c r="E74" s="4">
        <v>263</v>
      </c>
      <c r="F74" s="4">
        <f t="shared" si="1"/>
        <v>971</v>
      </c>
    </row>
    <row r="75" spans="1:6" x14ac:dyDescent="0.2">
      <c r="A75" s="3">
        <v>42402</v>
      </c>
      <c r="B75" s="3" t="s">
        <v>8</v>
      </c>
      <c r="C75" s="4">
        <v>616</v>
      </c>
      <c r="D75" s="4">
        <v>66</v>
      </c>
      <c r="E75" s="4">
        <v>223</v>
      </c>
      <c r="F75" s="4">
        <f t="shared" si="1"/>
        <v>905</v>
      </c>
    </row>
    <row r="76" spans="1:6" x14ac:dyDescent="0.2">
      <c r="A76" s="3">
        <v>42403</v>
      </c>
      <c r="B76" s="3" t="s">
        <v>9</v>
      </c>
      <c r="C76" s="4">
        <v>484</v>
      </c>
      <c r="D76" s="4">
        <v>29</v>
      </c>
      <c r="E76" s="4">
        <v>187</v>
      </c>
      <c r="F76" s="4">
        <f t="shared" si="1"/>
        <v>700</v>
      </c>
    </row>
    <row r="77" spans="1:6" x14ac:dyDescent="0.2">
      <c r="A77" s="3">
        <v>42404</v>
      </c>
      <c r="B77" s="3" t="s">
        <v>10</v>
      </c>
      <c r="C77" s="4">
        <v>1215</v>
      </c>
      <c r="D77" s="4">
        <v>35</v>
      </c>
      <c r="E77" s="4">
        <v>423</v>
      </c>
      <c r="F77" s="4">
        <f t="shared" si="1"/>
        <v>1673</v>
      </c>
    </row>
    <row r="78" spans="1:6" x14ac:dyDescent="0.2">
      <c r="A78" s="3">
        <v>42405</v>
      </c>
      <c r="B78" s="3" t="s">
        <v>4</v>
      </c>
      <c r="C78" s="4">
        <v>1049</v>
      </c>
      <c r="D78" s="4">
        <v>0</v>
      </c>
      <c r="E78" s="4">
        <v>538</v>
      </c>
      <c r="F78" s="4">
        <f t="shared" si="1"/>
        <v>1587</v>
      </c>
    </row>
    <row r="79" spans="1:6" x14ac:dyDescent="0.2">
      <c r="A79" s="3">
        <v>42406</v>
      </c>
      <c r="B79" s="3" t="s">
        <v>5</v>
      </c>
      <c r="C79" s="4">
        <v>4436</v>
      </c>
      <c r="D79" s="4">
        <v>200</v>
      </c>
      <c r="E79" s="4">
        <v>1287</v>
      </c>
      <c r="F79" s="4">
        <f t="shared" si="1"/>
        <v>5923</v>
      </c>
    </row>
    <row r="80" spans="1:6" x14ac:dyDescent="0.2">
      <c r="A80" s="3">
        <v>42407</v>
      </c>
      <c r="B80" s="3" t="s">
        <v>6</v>
      </c>
      <c r="C80" s="4">
        <v>4091</v>
      </c>
      <c r="D80" s="4">
        <v>24</v>
      </c>
      <c r="E80" s="4">
        <v>1146</v>
      </c>
      <c r="F80" s="4">
        <f t="shared" si="1"/>
        <v>5261</v>
      </c>
    </row>
    <row r="81" spans="1:6" x14ac:dyDescent="0.2">
      <c r="A81" s="3">
        <v>42408</v>
      </c>
      <c r="B81" s="3" t="s">
        <v>7</v>
      </c>
      <c r="C81" s="4">
        <v>739</v>
      </c>
      <c r="D81" s="4">
        <v>162</v>
      </c>
      <c r="E81" s="4">
        <v>206</v>
      </c>
      <c r="F81" s="4">
        <f t="shared" si="1"/>
        <v>1107</v>
      </c>
    </row>
    <row r="82" spans="1:6" x14ac:dyDescent="0.2">
      <c r="A82" s="3">
        <v>42409</v>
      </c>
      <c r="B82" s="3" t="s">
        <v>8</v>
      </c>
      <c r="C82" s="4">
        <v>663</v>
      </c>
      <c r="D82" s="4">
        <v>94</v>
      </c>
      <c r="E82" s="4">
        <v>182</v>
      </c>
      <c r="F82" s="4">
        <f t="shared" si="1"/>
        <v>939</v>
      </c>
    </row>
    <row r="83" spans="1:6" x14ac:dyDescent="0.2">
      <c r="A83" s="3">
        <v>42410</v>
      </c>
      <c r="B83" s="3" t="s">
        <v>9</v>
      </c>
      <c r="C83" s="4">
        <f>73+534</f>
        <v>607</v>
      </c>
      <c r="D83" s="4">
        <v>30</v>
      </c>
      <c r="E83" s="4">
        <v>117</v>
      </c>
      <c r="F83" s="4">
        <f t="shared" si="1"/>
        <v>754</v>
      </c>
    </row>
    <row r="84" spans="1:6" x14ac:dyDescent="0.2">
      <c r="A84" s="3">
        <v>42411</v>
      </c>
      <c r="B84" s="3" t="s">
        <v>10</v>
      </c>
      <c r="C84" s="4">
        <f>124+373</f>
        <v>497</v>
      </c>
      <c r="D84" s="4">
        <v>36</v>
      </c>
      <c r="E84" s="4">
        <v>74</v>
      </c>
      <c r="F84" s="4">
        <f t="shared" si="1"/>
        <v>607</v>
      </c>
    </row>
    <row r="85" spans="1:6" x14ac:dyDescent="0.2">
      <c r="A85" s="3">
        <v>42412</v>
      </c>
      <c r="B85" s="3" t="s">
        <v>4</v>
      </c>
      <c r="C85" s="4">
        <f>111+786</f>
        <v>897</v>
      </c>
      <c r="D85" s="4">
        <v>20</v>
      </c>
      <c r="E85" s="4">
        <v>250</v>
      </c>
      <c r="F85" s="4">
        <f t="shared" si="1"/>
        <v>1167</v>
      </c>
    </row>
    <row r="86" spans="1:6" x14ac:dyDescent="0.2">
      <c r="A86" s="3">
        <v>42413</v>
      </c>
      <c r="B86" s="3" t="s">
        <v>5</v>
      </c>
      <c r="C86" s="4">
        <v>3391</v>
      </c>
      <c r="D86" s="4">
        <v>182</v>
      </c>
      <c r="E86" s="4">
        <v>921</v>
      </c>
      <c r="F86" s="4">
        <f t="shared" si="1"/>
        <v>4494</v>
      </c>
    </row>
    <row r="87" spans="1:6" x14ac:dyDescent="0.2">
      <c r="A87" s="3">
        <v>42414</v>
      </c>
      <c r="B87" s="3" t="s">
        <v>6</v>
      </c>
      <c r="C87" s="4">
        <v>1678</v>
      </c>
      <c r="D87" s="4">
        <v>79</v>
      </c>
      <c r="E87" s="4">
        <v>371</v>
      </c>
      <c r="F87" s="4">
        <f t="shared" si="1"/>
        <v>2128</v>
      </c>
    </row>
    <row r="88" spans="1:6" x14ac:dyDescent="0.2">
      <c r="A88" s="3">
        <v>42415</v>
      </c>
      <c r="B88" s="3" t="s">
        <v>7</v>
      </c>
      <c r="C88" s="4">
        <v>1418</v>
      </c>
      <c r="D88" s="4">
        <v>114</v>
      </c>
      <c r="E88" s="4">
        <v>121</v>
      </c>
      <c r="F88" s="4">
        <f t="shared" si="1"/>
        <v>1653</v>
      </c>
    </row>
    <row r="89" spans="1:6" x14ac:dyDescent="0.2">
      <c r="A89" s="3">
        <v>42416</v>
      </c>
      <c r="B89" s="3" t="s">
        <v>8</v>
      </c>
      <c r="C89" s="4">
        <v>1046</v>
      </c>
      <c r="D89" s="4">
        <v>121</v>
      </c>
      <c r="E89" s="4">
        <v>198</v>
      </c>
      <c r="F89" s="4">
        <f t="shared" si="1"/>
        <v>1365</v>
      </c>
    </row>
    <row r="90" spans="1:6" x14ac:dyDescent="0.2">
      <c r="A90" s="3">
        <v>42417</v>
      </c>
      <c r="B90" s="3" t="s">
        <v>9</v>
      </c>
      <c r="C90" s="4">
        <v>665</v>
      </c>
      <c r="D90" s="4">
        <v>74</v>
      </c>
      <c r="E90" s="4">
        <v>103</v>
      </c>
      <c r="F90" s="4">
        <f t="shared" si="1"/>
        <v>842</v>
      </c>
    </row>
    <row r="91" spans="1:6" x14ac:dyDescent="0.2">
      <c r="A91" s="3">
        <v>42418</v>
      </c>
      <c r="B91" s="3" t="s">
        <v>10</v>
      </c>
      <c r="C91" s="4">
        <v>1385</v>
      </c>
      <c r="D91" s="4">
        <v>55</v>
      </c>
      <c r="E91" s="4">
        <v>304</v>
      </c>
      <c r="F91" s="4">
        <f t="shared" si="1"/>
        <v>1744</v>
      </c>
    </row>
    <row r="92" spans="1:6" x14ac:dyDescent="0.2">
      <c r="A92" s="3">
        <v>42419</v>
      </c>
      <c r="B92" s="3" t="s">
        <v>4</v>
      </c>
      <c r="C92" s="4">
        <v>2044</v>
      </c>
      <c r="D92" s="4">
        <v>48</v>
      </c>
      <c r="E92" s="4">
        <v>504</v>
      </c>
      <c r="F92" s="4">
        <f t="shared" si="1"/>
        <v>2596</v>
      </c>
    </row>
    <row r="93" spans="1:6" x14ac:dyDescent="0.2">
      <c r="A93" s="3">
        <v>42420</v>
      </c>
      <c r="B93" s="3" t="s">
        <v>5</v>
      </c>
      <c r="C93" s="4">
        <v>5699</v>
      </c>
      <c r="D93" s="4">
        <v>346</v>
      </c>
      <c r="E93" s="4">
        <v>1287</v>
      </c>
      <c r="F93" s="4">
        <f t="shared" si="1"/>
        <v>7332</v>
      </c>
    </row>
    <row r="94" spans="1:6" x14ac:dyDescent="0.2">
      <c r="A94" s="3">
        <v>42421</v>
      </c>
      <c r="B94" s="3" t="s">
        <v>6</v>
      </c>
      <c r="C94" s="4">
        <v>2974</v>
      </c>
      <c r="D94" s="4">
        <v>29</v>
      </c>
      <c r="E94" s="4">
        <v>847</v>
      </c>
      <c r="F94" s="4">
        <f t="shared" si="1"/>
        <v>3850</v>
      </c>
    </row>
    <row r="95" spans="1:6" x14ac:dyDescent="0.2">
      <c r="A95" s="3">
        <v>42422</v>
      </c>
      <c r="B95" s="3" t="s">
        <v>7</v>
      </c>
      <c r="C95" s="4">
        <v>711</v>
      </c>
      <c r="D95" s="4">
        <v>41</v>
      </c>
      <c r="E95" s="4">
        <v>235</v>
      </c>
      <c r="F95" s="4">
        <f t="shared" si="1"/>
        <v>987</v>
      </c>
    </row>
    <row r="96" spans="1:6" x14ac:dyDescent="0.2">
      <c r="A96" s="3">
        <v>42423</v>
      </c>
      <c r="B96" s="3" t="s">
        <v>8</v>
      </c>
      <c r="C96" s="4">
        <v>762</v>
      </c>
      <c r="D96" s="4">
        <v>80</v>
      </c>
      <c r="E96" s="4">
        <v>241</v>
      </c>
      <c r="F96" s="4">
        <f t="shared" si="1"/>
        <v>1083</v>
      </c>
    </row>
    <row r="97" spans="1:6" x14ac:dyDescent="0.2">
      <c r="A97" s="3">
        <v>42424</v>
      </c>
      <c r="B97" s="3" t="s">
        <v>9</v>
      </c>
      <c r="C97" s="4">
        <v>624</v>
      </c>
      <c r="D97" s="4">
        <v>57</v>
      </c>
      <c r="E97" s="4">
        <v>174</v>
      </c>
      <c r="F97" s="4">
        <f t="shared" si="1"/>
        <v>855</v>
      </c>
    </row>
    <row r="98" spans="1:6" x14ac:dyDescent="0.2">
      <c r="A98" s="3">
        <v>42425</v>
      </c>
      <c r="B98" s="3" t="s">
        <v>10</v>
      </c>
      <c r="C98" s="4">
        <v>752</v>
      </c>
      <c r="D98" s="4">
        <v>90</v>
      </c>
      <c r="E98" s="4">
        <v>230</v>
      </c>
      <c r="F98" s="4">
        <f t="shared" si="1"/>
        <v>1072</v>
      </c>
    </row>
    <row r="99" spans="1:6" x14ac:dyDescent="0.2">
      <c r="A99" s="3">
        <v>42426</v>
      </c>
      <c r="B99" s="3" t="s">
        <v>4</v>
      </c>
      <c r="C99" s="4">
        <v>834</v>
      </c>
      <c r="D99" s="4">
        <v>100</v>
      </c>
      <c r="E99" s="4">
        <v>196</v>
      </c>
      <c r="F99" s="4">
        <f t="shared" si="1"/>
        <v>1130</v>
      </c>
    </row>
    <row r="100" spans="1:6" x14ac:dyDescent="0.2">
      <c r="A100" s="3">
        <v>42427</v>
      </c>
      <c r="B100" s="3" t="s">
        <v>5</v>
      </c>
      <c r="C100" s="4">
        <v>2292</v>
      </c>
      <c r="D100" s="4">
        <v>183</v>
      </c>
      <c r="E100" s="4">
        <v>766</v>
      </c>
      <c r="F100" s="4">
        <f t="shared" si="1"/>
        <v>3241</v>
      </c>
    </row>
    <row r="101" spans="1:6" x14ac:dyDescent="0.2">
      <c r="A101" s="3">
        <v>42428</v>
      </c>
      <c r="B101" s="3" t="s">
        <v>6</v>
      </c>
      <c r="C101" s="4">
        <v>1712</v>
      </c>
      <c r="D101" s="4">
        <v>8</v>
      </c>
      <c r="E101" s="4">
        <v>458</v>
      </c>
      <c r="F101" s="4">
        <f t="shared" si="1"/>
        <v>2178</v>
      </c>
    </row>
    <row r="102" spans="1:6" x14ac:dyDescent="0.2">
      <c r="A102" s="3">
        <v>42429</v>
      </c>
      <c r="B102" s="3" t="s">
        <v>7</v>
      </c>
      <c r="C102" s="4">
        <v>626</v>
      </c>
      <c r="D102" s="4">
        <v>55</v>
      </c>
      <c r="E102" s="4">
        <v>317</v>
      </c>
      <c r="F102" s="4">
        <f t="shared" si="1"/>
        <v>998</v>
      </c>
    </row>
    <row r="103" spans="1:6" x14ac:dyDescent="0.2">
      <c r="A103" s="3">
        <v>42430</v>
      </c>
      <c r="B103" s="3" t="s">
        <v>8</v>
      </c>
      <c r="C103" s="4">
        <v>113</v>
      </c>
      <c r="D103" s="4">
        <v>0</v>
      </c>
      <c r="E103" s="4">
        <v>10</v>
      </c>
      <c r="F103" s="4">
        <f t="shared" si="1"/>
        <v>123</v>
      </c>
    </row>
    <row r="104" spans="1:6" x14ac:dyDescent="0.2">
      <c r="A104" s="3">
        <v>42431</v>
      </c>
      <c r="B104" s="3" t="s">
        <v>9</v>
      </c>
      <c r="C104" s="4">
        <v>483</v>
      </c>
      <c r="D104" s="4">
        <v>28</v>
      </c>
      <c r="E104" s="4">
        <v>234</v>
      </c>
      <c r="F104" s="4">
        <f t="shared" si="1"/>
        <v>745</v>
      </c>
    </row>
    <row r="105" spans="1:6" x14ac:dyDescent="0.2">
      <c r="A105" s="3">
        <v>42432</v>
      </c>
      <c r="B105" s="3" t="s">
        <v>10</v>
      </c>
      <c r="C105" s="4">
        <v>812</v>
      </c>
      <c r="D105" s="4">
        <v>21</v>
      </c>
      <c r="E105" s="4">
        <v>171</v>
      </c>
      <c r="F105" s="4">
        <f t="shared" si="1"/>
        <v>1004</v>
      </c>
    </row>
    <row r="106" spans="1:6" x14ac:dyDescent="0.2">
      <c r="A106" s="3">
        <v>42433</v>
      </c>
      <c r="B106" s="3" t="s">
        <v>4</v>
      </c>
      <c r="C106" s="4">
        <v>1240</v>
      </c>
      <c r="D106" s="4">
        <v>23</v>
      </c>
      <c r="E106" s="4">
        <v>186</v>
      </c>
      <c r="F106" s="4">
        <f t="shared" si="1"/>
        <v>1449</v>
      </c>
    </row>
    <row r="107" spans="1:6" x14ac:dyDescent="0.2">
      <c r="A107" s="3">
        <v>42434</v>
      </c>
      <c r="B107" s="3" t="s">
        <v>5</v>
      </c>
      <c r="C107" s="4">
        <v>2590</v>
      </c>
      <c r="D107" s="4">
        <v>209</v>
      </c>
      <c r="E107" s="4">
        <v>689</v>
      </c>
      <c r="F107" s="4">
        <f t="shared" si="1"/>
        <v>3488</v>
      </c>
    </row>
    <row r="108" spans="1:6" x14ac:dyDescent="0.2">
      <c r="A108" s="3">
        <v>42435</v>
      </c>
      <c r="B108" s="3" t="s">
        <v>6</v>
      </c>
      <c r="C108" s="4">
        <v>2346</v>
      </c>
      <c r="D108" s="4">
        <v>103</v>
      </c>
      <c r="E108" s="4">
        <v>713</v>
      </c>
      <c r="F108" s="4">
        <f t="shared" si="1"/>
        <v>3162</v>
      </c>
    </row>
    <row r="109" spans="1:6" x14ac:dyDescent="0.2">
      <c r="A109" s="3">
        <v>42436</v>
      </c>
      <c r="B109" s="3" t="s">
        <v>7</v>
      </c>
      <c r="C109" s="4">
        <v>454</v>
      </c>
      <c r="D109" s="4">
        <v>24</v>
      </c>
      <c r="E109" s="4">
        <v>158</v>
      </c>
      <c r="F109" s="4">
        <f t="shared" si="1"/>
        <v>636</v>
      </c>
    </row>
    <row r="110" spans="1:6" x14ac:dyDescent="0.2">
      <c r="A110" s="3">
        <v>42437</v>
      </c>
      <c r="B110" s="3" t="s">
        <v>8</v>
      </c>
      <c r="C110" s="4">
        <v>452</v>
      </c>
      <c r="D110" s="4">
        <v>42</v>
      </c>
      <c r="E110" s="4">
        <v>190</v>
      </c>
      <c r="F110" s="4">
        <f t="shared" si="1"/>
        <v>684</v>
      </c>
    </row>
    <row r="111" spans="1:6" x14ac:dyDescent="0.2">
      <c r="A111" s="3">
        <v>42438</v>
      </c>
      <c r="B111" s="3" t="s">
        <v>9</v>
      </c>
      <c r="C111" s="4">
        <v>435</v>
      </c>
      <c r="D111" s="4">
        <v>0</v>
      </c>
      <c r="E111" s="4">
        <v>142</v>
      </c>
      <c r="F111" s="4">
        <f t="shared" si="1"/>
        <v>577</v>
      </c>
    </row>
    <row r="112" spans="1:6" x14ac:dyDescent="0.2">
      <c r="A112" s="3">
        <v>42439</v>
      </c>
      <c r="B112" s="3" t="s">
        <v>10</v>
      </c>
      <c r="C112" s="4">
        <v>629</v>
      </c>
      <c r="D112" s="4">
        <v>0</v>
      </c>
      <c r="E112" s="4">
        <v>302</v>
      </c>
      <c r="F112" s="4">
        <f t="shared" si="1"/>
        <v>931</v>
      </c>
    </row>
    <row r="113" spans="1:6" x14ac:dyDescent="0.2">
      <c r="A113" s="3">
        <v>42440</v>
      </c>
      <c r="B113" s="3" t="s">
        <v>4</v>
      </c>
      <c r="C113" s="4">
        <v>1233</v>
      </c>
      <c r="D113" s="4">
        <v>65</v>
      </c>
      <c r="E113" s="4">
        <v>344</v>
      </c>
      <c r="F113" s="4">
        <f t="shared" si="1"/>
        <v>1642</v>
      </c>
    </row>
    <row r="114" spans="1:6" x14ac:dyDescent="0.2">
      <c r="A114" s="3">
        <v>42441</v>
      </c>
      <c r="B114" s="3" t="s">
        <v>5</v>
      </c>
      <c r="C114" s="4">
        <v>2792</v>
      </c>
      <c r="D114" s="4">
        <v>145</v>
      </c>
      <c r="E114" s="4">
        <v>838</v>
      </c>
      <c r="F114" s="4">
        <f t="shared" si="1"/>
        <v>3775</v>
      </c>
    </row>
    <row r="115" spans="1:6" x14ac:dyDescent="0.2">
      <c r="A115" s="3">
        <v>42442</v>
      </c>
      <c r="B115" s="3" t="s">
        <v>6</v>
      </c>
      <c r="C115" s="4">
        <f>2378+64</f>
        <v>2442</v>
      </c>
      <c r="D115" s="4">
        <v>0</v>
      </c>
      <c r="E115" s="4">
        <v>742</v>
      </c>
      <c r="F115" s="4">
        <f t="shared" si="1"/>
        <v>3184</v>
      </c>
    </row>
    <row r="116" spans="1:6" x14ac:dyDescent="0.2">
      <c r="A116" s="3">
        <v>42443</v>
      </c>
      <c r="B116" s="3" t="s">
        <v>7</v>
      </c>
      <c r="C116" s="4">
        <v>1135</v>
      </c>
      <c r="D116" s="4">
        <v>33</v>
      </c>
      <c r="E116" s="4">
        <v>217</v>
      </c>
      <c r="F116" s="4">
        <f t="shared" si="1"/>
        <v>1385</v>
      </c>
    </row>
    <row r="117" spans="1:6" x14ac:dyDescent="0.2">
      <c r="A117" s="3">
        <v>42444</v>
      </c>
      <c r="B117" s="3" t="s">
        <v>8</v>
      </c>
      <c r="C117" s="4">
        <v>992</v>
      </c>
      <c r="D117" s="4">
        <v>35</v>
      </c>
      <c r="E117" s="4">
        <v>333</v>
      </c>
      <c r="F117" s="4">
        <f t="shared" si="1"/>
        <v>1360</v>
      </c>
    </row>
    <row r="118" spans="1:6" x14ac:dyDescent="0.2">
      <c r="A118" s="3">
        <v>42445</v>
      </c>
      <c r="B118" s="3" t="s">
        <v>9</v>
      </c>
      <c r="C118" s="4">
        <v>889</v>
      </c>
      <c r="D118" s="4">
        <v>46</v>
      </c>
      <c r="E118" s="4">
        <v>234</v>
      </c>
      <c r="F118" s="4">
        <f t="shared" si="1"/>
        <v>1169</v>
      </c>
    </row>
    <row r="119" spans="1:6" x14ac:dyDescent="0.2">
      <c r="A119" s="3">
        <v>42446</v>
      </c>
      <c r="B119" s="3" t="s">
        <v>10</v>
      </c>
      <c r="C119" s="4">
        <v>1213</v>
      </c>
      <c r="D119" s="4">
        <v>115</v>
      </c>
      <c r="E119" s="4">
        <v>277</v>
      </c>
      <c r="F119" s="4">
        <f t="shared" si="1"/>
        <v>1605</v>
      </c>
    </row>
    <row r="120" spans="1:6" x14ac:dyDescent="0.2">
      <c r="A120" s="3">
        <v>42447</v>
      </c>
      <c r="B120" s="3" t="s">
        <v>4</v>
      </c>
      <c r="C120" s="4">
        <v>1203</v>
      </c>
      <c r="D120" s="4">
        <v>137</v>
      </c>
      <c r="E120" s="4">
        <v>310</v>
      </c>
      <c r="F120" s="4">
        <f t="shared" si="1"/>
        <v>1650</v>
      </c>
    </row>
    <row r="121" spans="1:6" x14ac:dyDescent="0.2">
      <c r="A121" s="3">
        <v>42448</v>
      </c>
      <c r="B121" s="3" t="s">
        <v>5</v>
      </c>
      <c r="C121" s="4">
        <v>2286</v>
      </c>
      <c r="D121" s="4">
        <v>333</v>
      </c>
      <c r="E121" s="4">
        <v>533</v>
      </c>
      <c r="F121" s="4">
        <f t="shared" si="1"/>
        <v>3152</v>
      </c>
    </row>
    <row r="122" spans="1:6" x14ac:dyDescent="0.2">
      <c r="A122" s="3">
        <v>42449</v>
      </c>
      <c r="B122" s="3" t="s">
        <v>6</v>
      </c>
      <c r="C122" s="4">
        <v>1009</v>
      </c>
      <c r="D122" s="4">
        <v>148</v>
      </c>
      <c r="E122" s="4">
        <v>331</v>
      </c>
      <c r="F122" s="4">
        <f t="shared" si="1"/>
        <v>1488</v>
      </c>
    </row>
    <row r="123" spans="1:6" x14ac:dyDescent="0.2">
      <c r="A123" s="3">
        <v>42450</v>
      </c>
      <c r="B123" s="3" t="s">
        <v>7</v>
      </c>
      <c r="C123" s="4">
        <v>518</v>
      </c>
      <c r="D123" s="4">
        <v>64</v>
      </c>
      <c r="E123" s="4">
        <v>86</v>
      </c>
      <c r="F123" s="4">
        <f t="shared" si="1"/>
        <v>668</v>
      </c>
    </row>
    <row r="124" spans="1:6" x14ac:dyDescent="0.2">
      <c r="A124" s="3">
        <v>42451</v>
      </c>
      <c r="B124" s="3" t="s">
        <v>8</v>
      </c>
      <c r="C124" s="4">
        <v>549</v>
      </c>
      <c r="D124" s="4">
        <v>51</v>
      </c>
      <c r="E124" s="4">
        <v>105</v>
      </c>
      <c r="F124" s="4">
        <f t="shared" si="1"/>
        <v>705</v>
      </c>
    </row>
    <row r="125" spans="1:6" x14ac:dyDescent="0.2">
      <c r="A125" s="3">
        <v>42452</v>
      </c>
      <c r="B125" s="3" t="s">
        <v>9</v>
      </c>
      <c r="C125" s="4">
        <v>550</v>
      </c>
      <c r="D125" s="4">
        <v>27</v>
      </c>
      <c r="E125" s="4">
        <v>138</v>
      </c>
      <c r="F125" s="4">
        <f t="shared" si="1"/>
        <v>715</v>
      </c>
    </row>
    <row r="126" spans="1:6" x14ac:dyDescent="0.2">
      <c r="A126" s="3">
        <v>42453</v>
      </c>
      <c r="B126" s="3" t="s">
        <v>10</v>
      </c>
      <c r="C126" s="4">
        <v>648</v>
      </c>
      <c r="D126" s="4">
        <v>57</v>
      </c>
      <c r="E126" s="4">
        <v>245</v>
      </c>
      <c r="F126" s="4">
        <f t="shared" si="1"/>
        <v>950</v>
      </c>
    </row>
    <row r="127" spans="1:6" x14ac:dyDescent="0.2">
      <c r="A127" s="3">
        <v>42454</v>
      </c>
      <c r="B127" s="3" t="s">
        <v>4</v>
      </c>
      <c r="C127" s="4">
        <v>1414</v>
      </c>
      <c r="D127" s="4">
        <v>116</v>
      </c>
      <c r="E127" s="4">
        <v>421</v>
      </c>
      <c r="F127" s="4">
        <f t="shared" si="1"/>
        <v>1951</v>
      </c>
    </row>
    <row r="128" spans="1:6" x14ac:dyDescent="0.2">
      <c r="A128" s="3">
        <v>42455</v>
      </c>
      <c r="B128" s="3" t="s">
        <v>5</v>
      </c>
      <c r="C128" s="4">
        <v>2528</v>
      </c>
      <c r="D128" s="4">
        <v>363</v>
      </c>
      <c r="E128" s="4">
        <v>898</v>
      </c>
      <c r="F128" s="4">
        <f t="shared" si="1"/>
        <v>3789</v>
      </c>
    </row>
    <row r="129" spans="1:6" x14ac:dyDescent="0.2">
      <c r="A129" s="3">
        <v>42456</v>
      </c>
      <c r="B129" s="3" t="s">
        <v>6</v>
      </c>
      <c r="C129" s="4">
        <v>1274</v>
      </c>
      <c r="D129" s="4">
        <v>137</v>
      </c>
      <c r="E129" s="4">
        <v>558</v>
      </c>
      <c r="F129" s="4">
        <f t="shared" si="1"/>
        <v>1969</v>
      </c>
    </row>
    <row r="130" spans="1:6" x14ac:dyDescent="0.2">
      <c r="A130" s="3">
        <v>42457</v>
      </c>
      <c r="B130" s="3" t="s">
        <v>7</v>
      </c>
      <c r="C130" s="4">
        <v>350</v>
      </c>
      <c r="D130" s="4">
        <v>30</v>
      </c>
      <c r="E130" s="4">
        <v>153</v>
      </c>
      <c r="F130" s="4">
        <f t="shared" si="1"/>
        <v>533</v>
      </c>
    </row>
    <row r="131" spans="1:6" x14ac:dyDescent="0.2">
      <c r="A131" s="3">
        <v>42458</v>
      </c>
      <c r="B131" s="3" t="s">
        <v>8</v>
      </c>
      <c r="C131" s="4">
        <v>2117</v>
      </c>
      <c r="D131" s="4">
        <v>449</v>
      </c>
      <c r="E131" s="4">
        <v>204</v>
      </c>
      <c r="F131" s="4">
        <f t="shared" si="1"/>
        <v>2770</v>
      </c>
    </row>
    <row r="132" spans="1:6" x14ac:dyDescent="0.2">
      <c r="A132" s="3">
        <v>42459</v>
      </c>
      <c r="B132" s="3" t="s">
        <v>9</v>
      </c>
      <c r="C132" s="4">
        <v>517</v>
      </c>
      <c r="D132" s="4">
        <v>96</v>
      </c>
      <c r="E132" s="4">
        <v>227</v>
      </c>
      <c r="F132" s="4">
        <f t="shared" ref="F132:F150" si="2">SUM(C132:E132)</f>
        <v>840</v>
      </c>
    </row>
    <row r="133" spans="1:6" x14ac:dyDescent="0.2">
      <c r="A133" s="3">
        <v>42460</v>
      </c>
      <c r="B133" s="3" t="s">
        <v>10</v>
      </c>
      <c r="C133" s="4">
        <v>460</v>
      </c>
      <c r="D133" s="4">
        <v>108</v>
      </c>
      <c r="E133" s="4">
        <v>210</v>
      </c>
      <c r="F133" s="4">
        <f t="shared" si="2"/>
        <v>778</v>
      </c>
    </row>
    <row r="134" spans="1:6" x14ac:dyDescent="0.2">
      <c r="A134" s="3">
        <v>42461</v>
      </c>
      <c r="B134" s="3" t="s">
        <v>4</v>
      </c>
      <c r="C134" s="4">
        <v>662</v>
      </c>
      <c r="D134" s="4">
        <v>175</v>
      </c>
      <c r="E134" s="4">
        <v>256</v>
      </c>
      <c r="F134" s="4">
        <f t="shared" si="2"/>
        <v>1093</v>
      </c>
    </row>
    <row r="135" spans="1:6" x14ac:dyDescent="0.2">
      <c r="A135" s="3">
        <v>42462</v>
      </c>
      <c r="B135" s="3" t="s">
        <v>5</v>
      </c>
      <c r="C135" s="4">
        <v>1249</v>
      </c>
      <c r="D135" s="4">
        <v>517</v>
      </c>
      <c r="E135" s="4">
        <v>606</v>
      </c>
      <c r="F135" s="4">
        <f t="shared" si="2"/>
        <v>2372</v>
      </c>
    </row>
    <row r="136" spans="1:6" x14ac:dyDescent="0.2">
      <c r="A136" s="3">
        <v>42463</v>
      </c>
      <c r="B136" s="3" t="s">
        <v>6</v>
      </c>
      <c r="C136" s="4">
        <v>1226</v>
      </c>
      <c r="D136" s="4">
        <v>311</v>
      </c>
      <c r="E136" s="4">
        <v>537</v>
      </c>
      <c r="F136" s="4">
        <f t="shared" si="2"/>
        <v>2074</v>
      </c>
    </row>
    <row r="137" spans="1:6" x14ac:dyDescent="0.2">
      <c r="A137" s="3">
        <v>42464</v>
      </c>
      <c r="B137" s="3" t="s">
        <v>7</v>
      </c>
      <c r="C137" s="4">
        <v>244</v>
      </c>
      <c r="D137" s="4">
        <v>23</v>
      </c>
      <c r="E137" s="4">
        <v>88</v>
      </c>
      <c r="F137" s="4">
        <f t="shared" si="2"/>
        <v>355</v>
      </c>
    </row>
    <row r="138" spans="1:6" x14ac:dyDescent="0.2">
      <c r="A138" s="3">
        <v>42465</v>
      </c>
      <c r="B138" s="3" t="s">
        <v>8</v>
      </c>
      <c r="C138" s="4">
        <v>331</v>
      </c>
      <c r="D138" s="4">
        <v>35</v>
      </c>
      <c r="E138" s="4">
        <v>202</v>
      </c>
      <c r="F138" s="4">
        <f t="shared" si="2"/>
        <v>568</v>
      </c>
    </row>
    <row r="139" spans="1:6" x14ac:dyDescent="0.2">
      <c r="A139" s="3">
        <v>42466</v>
      </c>
      <c r="B139" s="3" t="s">
        <v>9</v>
      </c>
      <c r="C139" s="4">
        <v>412</v>
      </c>
      <c r="D139" s="4">
        <v>98</v>
      </c>
      <c r="E139" s="4">
        <v>234</v>
      </c>
      <c r="F139" s="4">
        <f t="shared" si="2"/>
        <v>744</v>
      </c>
    </row>
    <row r="140" spans="1:6" x14ac:dyDescent="0.2">
      <c r="A140" s="3">
        <v>42467</v>
      </c>
      <c r="B140" s="3" t="s">
        <v>10</v>
      </c>
      <c r="C140" s="4">
        <v>496</v>
      </c>
      <c r="D140" s="4">
        <v>249</v>
      </c>
      <c r="E140" s="4">
        <v>211</v>
      </c>
      <c r="F140" s="4">
        <f t="shared" si="2"/>
        <v>956</v>
      </c>
    </row>
    <row r="141" spans="1:6" x14ac:dyDescent="0.2">
      <c r="A141" s="3">
        <v>42468</v>
      </c>
      <c r="B141" s="3" t="s">
        <v>4</v>
      </c>
      <c r="C141" s="4">
        <v>434</v>
      </c>
      <c r="D141" s="4">
        <v>178</v>
      </c>
      <c r="E141" s="4">
        <v>248</v>
      </c>
      <c r="F141" s="4">
        <f t="shared" si="2"/>
        <v>860</v>
      </c>
    </row>
    <row r="142" spans="1:6" x14ac:dyDescent="0.2">
      <c r="A142" s="3">
        <v>42469</v>
      </c>
      <c r="B142" s="3" t="s">
        <v>5</v>
      </c>
      <c r="C142" s="4">
        <v>1405</v>
      </c>
      <c r="D142" s="4">
        <v>444</v>
      </c>
      <c r="E142" s="4">
        <v>635</v>
      </c>
      <c r="F142" s="4">
        <f t="shared" si="2"/>
        <v>2484</v>
      </c>
    </row>
    <row r="143" spans="1:6" x14ac:dyDescent="0.2">
      <c r="A143" s="3">
        <v>42470</v>
      </c>
      <c r="B143" s="3" t="s">
        <v>6</v>
      </c>
      <c r="C143" s="4">
        <v>996</v>
      </c>
      <c r="D143" s="4">
        <v>280</v>
      </c>
      <c r="E143" s="4">
        <v>327</v>
      </c>
      <c r="F143" s="4">
        <f t="shared" si="2"/>
        <v>1603</v>
      </c>
    </row>
    <row r="144" spans="1:6" x14ac:dyDescent="0.2">
      <c r="A144" s="3">
        <v>42471</v>
      </c>
      <c r="B144" s="3" t="s">
        <v>7</v>
      </c>
      <c r="C144" s="4">
        <v>247</v>
      </c>
      <c r="D144" s="4">
        <v>67</v>
      </c>
      <c r="E144" s="4">
        <v>93</v>
      </c>
      <c r="F144" s="4">
        <f t="shared" si="2"/>
        <v>407</v>
      </c>
    </row>
    <row r="145" spans="1:6" x14ac:dyDescent="0.2">
      <c r="A145" s="3">
        <v>42472</v>
      </c>
      <c r="B145" s="3" t="s">
        <v>8</v>
      </c>
      <c r="C145" s="4">
        <v>128</v>
      </c>
      <c r="D145" s="4">
        <v>20</v>
      </c>
      <c r="E145" s="4">
        <v>89</v>
      </c>
      <c r="F145" s="4">
        <f t="shared" si="2"/>
        <v>237</v>
      </c>
    </row>
    <row r="146" spans="1:6" x14ac:dyDescent="0.2">
      <c r="A146" s="3">
        <v>42473</v>
      </c>
      <c r="B146" s="3" t="s">
        <v>9</v>
      </c>
      <c r="C146" s="4">
        <v>178</v>
      </c>
      <c r="D146" s="4">
        <v>35</v>
      </c>
      <c r="E146" s="4">
        <v>103</v>
      </c>
      <c r="F146" s="4">
        <f t="shared" si="2"/>
        <v>316</v>
      </c>
    </row>
    <row r="147" spans="1:6" x14ac:dyDescent="0.2">
      <c r="A147" s="3">
        <v>42474</v>
      </c>
      <c r="B147" s="3" t="s">
        <v>10</v>
      </c>
      <c r="C147" s="4">
        <v>234</v>
      </c>
      <c r="D147" s="4">
        <v>31</v>
      </c>
      <c r="E147" s="4">
        <v>133</v>
      </c>
      <c r="F147" s="4">
        <f t="shared" si="2"/>
        <v>398</v>
      </c>
    </row>
    <row r="148" spans="1:6" x14ac:dyDescent="0.2">
      <c r="A148" s="3">
        <v>42475</v>
      </c>
      <c r="B148" s="3" t="s">
        <v>4</v>
      </c>
      <c r="C148" s="4">
        <v>388</v>
      </c>
      <c r="D148" s="4">
        <v>57</v>
      </c>
      <c r="E148" s="4">
        <v>151</v>
      </c>
      <c r="F148" s="4">
        <f t="shared" si="2"/>
        <v>596</v>
      </c>
    </row>
    <row r="149" spans="1:6" x14ac:dyDescent="0.2">
      <c r="A149" s="3">
        <v>42476</v>
      </c>
      <c r="B149" s="3" t="s">
        <v>5</v>
      </c>
      <c r="C149" s="4">
        <v>970</v>
      </c>
      <c r="D149" s="4">
        <v>332</v>
      </c>
      <c r="E149" s="4">
        <v>608</v>
      </c>
      <c r="F149" s="4">
        <f t="shared" si="2"/>
        <v>1910</v>
      </c>
    </row>
    <row r="150" spans="1:6" x14ac:dyDescent="0.2">
      <c r="A150" s="3">
        <v>42477</v>
      </c>
      <c r="B150" s="3" t="s">
        <v>6</v>
      </c>
      <c r="C150" s="4">
        <v>885</v>
      </c>
      <c r="D150" s="4">
        <v>334</v>
      </c>
      <c r="E150" s="4">
        <v>699</v>
      </c>
      <c r="F150" s="4">
        <f t="shared" si="2"/>
        <v>1918</v>
      </c>
    </row>
    <row r="151" spans="1:6" x14ac:dyDescent="0.2">
      <c r="A151" s="3"/>
      <c r="B151" s="3"/>
      <c r="C151" s="4"/>
      <c r="D151" s="4"/>
      <c r="E151" s="4"/>
      <c r="F151" s="4"/>
    </row>
    <row r="152" spans="1:6" x14ac:dyDescent="0.2">
      <c r="A152" s="3"/>
      <c r="B152" s="3"/>
      <c r="C152" s="4"/>
      <c r="D152" s="4"/>
      <c r="E152" s="4"/>
      <c r="F152" s="4"/>
    </row>
    <row r="154" spans="1:6" x14ac:dyDescent="0.2">
      <c r="B154" s="13" t="s">
        <v>23</v>
      </c>
      <c r="C154" s="14">
        <f>SUM(C2:C153)</f>
        <v>232578</v>
      </c>
      <c r="D154" s="14">
        <f>SUM(D2:D153)</f>
        <v>20194</v>
      </c>
      <c r="E154" s="14">
        <f>SUM(E2:E153)</f>
        <v>64372</v>
      </c>
      <c r="F154" s="14">
        <f>SUM(F2:F153)</f>
        <v>317144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3:B11"/>
  <sheetViews>
    <sheetView workbookViewId="0">
      <selection activeCell="E20" sqref="E20"/>
    </sheetView>
  </sheetViews>
  <sheetFormatPr baseColWidth="10" defaultColWidth="8.83203125" defaultRowHeight="15" x14ac:dyDescent="0.2"/>
  <cols>
    <col min="1" max="1" width="13.1640625" bestFit="1" customWidth="1"/>
    <col min="2" max="2" width="16" bestFit="1" customWidth="1"/>
  </cols>
  <sheetData>
    <row r="3" spans="1:2" x14ac:dyDescent="0.2">
      <c r="A3" s="6" t="s">
        <v>14</v>
      </c>
      <c r="B3" t="s">
        <v>25</v>
      </c>
    </row>
    <row r="4" spans="1:2" x14ac:dyDescent="0.2">
      <c r="A4" s="7" t="s">
        <v>6</v>
      </c>
      <c r="B4" s="8">
        <v>2800.2272727272725</v>
      </c>
    </row>
    <row r="5" spans="1:2" x14ac:dyDescent="0.2">
      <c r="A5" s="7" t="s">
        <v>7</v>
      </c>
      <c r="B5" s="8">
        <v>894.2</v>
      </c>
    </row>
    <row r="6" spans="1:2" x14ac:dyDescent="0.2">
      <c r="A6" s="7" t="s">
        <v>8</v>
      </c>
      <c r="B6" s="8">
        <v>939.9</v>
      </c>
    </row>
    <row r="7" spans="1:2" x14ac:dyDescent="0.2">
      <c r="A7" s="7" t="s">
        <v>9</v>
      </c>
      <c r="B7" s="8">
        <v>1141.8571428571429</v>
      </c>
    </row>
    <row r="8" spans="1:2" x14ac:dyDescent="0.2">
      <c r="A8" s="7" t="s">
        <v>10</v>
      </c>
      <c r="B8" s="8">
        <v>1123.6190476190477</v>
      </c>
    </row>
    <row r="9" spans="1:2" x14ac:dyDescent="0.2">
      <c r="A9" s="7" t="s">
        <v>4</v>
      </c>
      <c r="B9" s="8">
        <v>1706.05</v>
      </c>
    </row>
    <row r="10" spans="1:2" x14ac:dyDescent="0.2">
      <c r="A10" s="7" t="s">
        <v>5</v>
      </c>
      <c r="B10" s="8">
        <v>3182.8636363636365</v>
      </c>
    </row>
    <row r="11" spans="1:2" x14ac:dyDescent="0.2">
      <c r="A11" s="7" t="s">
        <v>15</v>
      </c>
      <c r="B11" s="8">
        <v>1712.3698630136987</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47"/>
  <sheetViews>
    <sheetView workbookViewId="0">
      <selection activeCell="E18" sqref="E18"/>
    </sheetView>
  </sheetViews>
  <sheetFormatPr baseColWidth="10" defaultColWidth="8.83203125" defaultRowHeight="15" x14ac:dyDescent="0.2"/>
  <cols>
    <col min="1" max="1" width="10.6640625" bestFit="1" customWidth="1"/>
    <col min="2" max="2" width="12.1640625" style="17" customWidth="1"/>
    <col min="3" max="3" width="9.5" bestFit="1" customWidth="1"/>
  </cols>
  <sheetData>
    <row r="1" spans="1:3" x14ac:dyDescent="0.2">
      <c r="A1" t="s">
        <v>0</v>
      </c>
      <c r="B1" s="17" t="s">
        <v>13</v>
      </c>
      <c r="C1" t="s">
        <v>24</v>
      </c>
    </row>
    <row r="2" spans="1:3" x14ac:dyDescent="0.2">
      <c r="A2" s="15">
        <v>41598</v>
      </c>
      <c r="B2" s="16" t="str">
        <f>TEXT(WEEKDAY(DAY(A2),3),"dddd")</f>
        <v>Wednesday</v>
      </c>
      <c r="C2" s="54">
        <f>680-35</f>
        <v>645</v>
      </c>
    </row>
    <row r="3" spans="1:3" x14ac:dyDescent="0.2">
      <c r="A3" s="15">
        <v>41599</v>
      </c>
      <c r="B3" s="16" t="str">
        <f t="shared" ref="B3:B6" si="0">TEXT(WEEKDAY(DAY(A3),3),"dddd")</f>
        <v>Thursday</v>
      </c>
      <c r="C3" s="54">
        <f>332-15</f>
        <v>317</v>
      </c>
    </row>
    <row r="4" spans="1:3" x14ac:dyDescent="0.2">
      <c r="A4" s="15">
        <v>41600</v>
      </c>
      <c r="B4" s="16" t="str">
        <f t="shared" si="0"/>
        <v>Friday</v>
      </c>
      <c r="C4" s="54">
        <v>303</v>
      </c>
    </row>
    <row r="5" spans="1:3" x14ac:dyDescent="0.2">
      <c r="A5" s="15">
        <v>41601</v>
      </c>
      <c r="B5" s="16" t="str">
        <f t="shared" si="0"/>
        <v>Saturday</v>
      </c>
      <c r="C5" s="54">
        <v>1160</v>
      </c>
    </row>
    <row r="6" spans="1:3" x14ac:dyDescent="0.2">
      <c r="A6" s="15">
        <v>41602</v>
      </c>
      <c r="B6" s="16" t="str">
        <f t="shared" si="0"/>
        <v>Sunday</v>
      </c>
      <c r="C6" s="54">
        <v>822</v>
      </c>
    </row>
    <row r="7" spans="1:3" x14ac:dyDescent="0.2">
      <c r="A7" s="15">
        <v>41610</v>
      </c>
      <c r="B7" s="16" t="str">
        <f>TEXT(WEEKDAY(DAY(A7),1),"dddd")</f>
        <v>Monday</v>
      </c>
      <c r="C7" s="55">
        <f>186+14+296</f>
        <v>496</v>
      </c>
    </row>
    <row r="8" spans="1:3" x14ac:dyDescent="0.2">
      <c r="A8" s="15">
        <v>41611</v>
      </c>
      <c r="B8" s="16" t="str">
        <f t="shared" ref="B8:B36" si="1">TEXT(WEEKDAY(DAY(A8),1),"dddd")</f>
        <v>Tuesday</v>
      </c>
      <c r="C8" s="55">
        <f>264+16+264</f>
        <v>544</v>
      </c>
    </row>
    <row r="9" spans="1:3" x14ac:dyDescent="0.2">
      <c r="A9" s="15">
        <v>41612</v>
      </c>
      <c r="B9" s="16" t="str">
        <f t="shared" si="1"/>
        <v>Wednesday</v>
      </c>
      <c r="C9" s="55">
        <f>237+40+177</f>
        <v>454</v>
      </c>
    </row>
    <row r="10" spans="1:3" x14ac:dyDescent="0.2">
      <c r="A10" s="15">
        <v>41613</v>
      </c>
      <c r="B10" s="16" t="str">
        <f t="shared" si="1"/>
        <v>Thursday</v>
      </c>
      <c r="C10" s="55">
        <f>159+50+188</f>
        <v>397</v>
      </c>
    </row>
    <row r="11" spans="1:3" x14ac:dyDescent="0.2">
      <c r="A11" s="15">
        <v>41614</v>
      </c>
      <c r="B11" s="16" t="str">
        <f t="shared" si="1"/>
        <v>Friday</v>
      </c>
      <c r="C11" s="55">
        <f>170+5+170</f>
        <v>345</v>
      </c>
    </row>
    <row r="12" spans="1:3" x14ac:dyDescent="0.2">
      <c r="A12" s="15">
        <v>41615</v>
      </c>
      <c r="B12" s="16" t="str">
        <f t="shared" si="1"/>
        <v>Saturday</v>
      </c>
      <c r="C12" s="55">
        <f>566+93+1113</f>
        <v>1772</v>
      </c>
    </row>
    <row r="13" spans="1:3" x14ac:dyDescent="0.2">
      <c r="A13" s="15">
        <v>41616</v>
      </c>
      <c r="B13" s="16" t="str">
        <f t="shared" si="1"/>
        <v>Sunday</v>
      </c>
      <c r="C13" s="55">
        <f>754+95+754</f>
        <v>1603</v>
      </c>
    </row>
    <row r="14" spans="1:3" x14ac:dyDescent="0.2">
      <c r="A14" s="15">
        <v>41617</v>
      </c>
      <c r="B14" s="16" t="str">
        <f t="shared" si="1"/>
        <v>Monday</v>
      </c>
      <c r="C14" s="54">
        <v>215</v>
      </c>
    </row>
    <row r="15" spans="1:3" x14ac:dyDescent="0.2">
      <c r="A15" s="15">
        <v>41618</v>
      </c>
      <c r="B15" s="16" t="str">
        <f t="shared" si="1"/>
        <v>Tuesday</v>
      </c>
      <c r="C15" s="54">
        <f>255-65</f>
        <v>190</v>
      </c>
    </row>
    <row r="16" spans="1:3" x14ac:dyDescent="0.2">
      <c r="A16" s="15">
        <v>41619</v>
      </c>
      <c r="B16" s="16" t="str">
        <f t="shared" si="1"/>
        <v>Wednesday</v>
      </c>
      <c r="C16" s="54">
        <v>310</v>
      </c>
    </row>
    <row r="17" spans="1:3" x14ac:dyDescent="0.2">
      <c r="A17" s="15">
        <v>41620</v>
      </c>
      <c r="B17" s="16" t="str">
        <f t="shared" si="1"/>
        <v>Thursday</v>
      </c>
      <c r="C17" s="54">
        <v>353</v>
      </c>
    </row>
    <row r="18" spans="1:3" x14ac:dyDescent="0.2">
      <c r="A18" s="15">
        <v>41621</v>
      </c>
      <c r="B18" s="16" t="str">
        <f t="shared" si="1"/>
        <v>Friday</v>
      </c>
      <c r="C18" s="54">
        <v>741</v>
      </c>
    </row>
    <row r="19" spans="1:3" x14ac:dyDescent="0.2">
      <c r="A19" s="15">
        <v>41622</v>
      </c>
      <c r="B19" s="16" t="str">
        <f t="shared" si="1"/>
        <v>Saturday</v>
      </c>
      <c r="C19" s="54">
        <v>2698</v>
      </c>
    </row>
    <row r="20" spans="1:3" x14ac:dyDescent="0.2">
      <c r="A20" s="15">
        <v>41623</v>
      </c>
      <c r="B20" s="16" t="str">
        <f t="shared" si="1"/>
        <v>Sunday</v>
      </c>
      <c r="C20" s="54">
        <v>1775</v>
      </c>
    </row>
    <row r="21" spans="1:3" x14ac:dyDescent="0.2">
      <c r="A21" s="15">
        <v>41624</v>
      </c>
      <c r="B21" s="16" t="str">
        <f t="shared" si="1"/>
        <v>Monday</v>
      </c>
      <c r="C21" s="54">
        <f>-76+627</f>
        <v>551</v>
      </c>
    </row>
    <row r="22" spans="1:3" x14ac:dyDescent="0.2">
      <c r="A22" s="15">
        <v>41625</v>
      </c>
      <c r="B22" s="16" t="str">
        <f t="shared" si="1"/>
        <v>Tuesday</v>
      </c>
      <c r="C22" s="54">
        <f>-58+378</f>
        <v>320</v>
      </c>
    </row>
    <row r="23" spans="1:3" x14ac:dyDescent="0.2">
      <c r="A23" s="15">
        <v>41626</v>
      </c>
      <c r="B23" s="16" t="str">
        <f t="shared" si="1"/>
        <v>Wednesday</v>
      </c>
      <c r="C23" s="54">
        <f>-47+409</f>
        <v>362</v>
      </c>
    </row>
    <row r="24" spans="1:3" x14ac:dyDescent="0.2">
      <c r="A24" s="15">
        <v>41627</v>
      </c>
      <c r="B24" s="16" t="str">
        <f t="shared" si="1"/>
        <v>Thursday</v>
      </c>
      <c r="C24" s="54">
        <f>-67+653</f>
        <v>586</v>
      </c>
    </row>
    <row r="25" spans="1:3" x14ac:dyDescent="0.2">
      <c r="A25" s="15">
        <v>41628</v>
      </c>
      <c r="B25" s="16" t="str">
        <f t="shared" si="1"/>
        <v>Friday</v>
      </c>
      <c r="C25" s="54">
        <f>-87+980</f>
        <v>893</v>
      </c>
    </row>
    <row r="26" spans="1:3" x14ac:dyDescent="0.2">
      <c r="A26" s="15">
        <v>41629</v>
      </c>
      <c r="B26" s="16" t="str">
        <f t="shared" si="1"/>
        <v>Saturday</v>
      </c>
      <c r="C26" s="54">
        <f>-117+2505</f>
        <v>2388</v>
      </c>
    </row>
    <row r="27" spans="1:3" x14ac:dyDescent="0.2">
      <c r="A27" s="15">
        <v>41630</v>
      </c>
      <c r="B27" s="16" t="str">
        <f t="shared" si="1"/>
        <v>Sunday</v>
      </c>
      <c r="C27" s="54">
        <f>-76+1437</f>
        <v>1361</v>
      </c>
    </row>
    <row r="28" spans="1:3" x14ac:dyDescent="0.2">
      <c r="A28" s="15">
        <v>41631</v>
      </c>
      <c r="B28" s="16" t="str">
        <f t="shared" si="1"/>
        <v>Monday</v>
      </c>
      <c r="C28" s="54">
        <v>1088</v>
      </c>
    </row>
    <row r="29" spans="1:3" x14ac:dyDescent="0.2">
      <c r="A29" s="15">
        <v>41632</v>
      </c>
      <c r="B29" s="16" t="str">
        <f t="shared" si="1"/>
        <v>Tuesday</v>
      </c>
      <c r="C29" s="54">
        <v>2117</v>
      </c>
    </row>
    <row r="30" spans="1:3" x14ac:dyDescent="0.2">
      <c r="A30" s="15">
        <v>41633</v>
      </c>
      <c r="B30" s="16" t="str">
        <f t="shared" si="1"/>
        <v>Wednesday</v>
      </c>
      <c r="C30" s="54">
        <v>2053</v>
      </c>
    </row>
    <row r="31" spans="1:3" x14ac:dyDescent="0.2">
      <c r="A31" s="15">
        <v>41634</v>
      </c>
      <c r="B31" s="16" t="str">
        <f t="shared" si="1"/>
        <v>Thursday</v>
      </c>
      <c r="C31" s="54">
        <v>2429</v>
      </c>
    </row>
    <row r="32" spans="1:3" x14ac:dyDescent="0.2">
      <c r="A32" s="15">
        <v>41635</v>
      </c>
      <c r="B32" s="16" t="str">
        <f t="shared" si="1"/>
        <v>Friday</v>
      </c>
      <c r="C32" s="54">
        <v>2811</v>
      </c>
    </row>
    <row r="33" spans="1:3" x14ac:dyDescent="0.2">
      <c r="A33" s="15">
        <v>41636</v>
      </c>
      <c r="B33" s="16" t="str">
        <f t="shared" si="1"/>
        <v>Saturday</v>
      </c>
      <c r="C33" s="54">
        <v>3649</v>
      </c>
    </row>
    <row r="34" spans="1:3" x14ac:dyDescent="0.2">
      <c r="A34" s="15">
        <v>41637</v>
      </c>
      <c r="B34" s="16" t="str">
        <f t="shared" si="1"/>
        <v>Sunday</v>
      </c>
      <c r="C34" s="54">
        <v>2200</v>
      </c>
    </row>
    <row r="35" spans="1:3" x14ac:dyDescent="0.2">
      <c r="A35" s="15">
        <v>41638</v>
      </c>
      <c r="B35" s="16" t="str">
        <f t="shared" si="1"/>
        <v>Monday</v>
      </c>
      <c r="C35" s="54">
        <f>-69+2013</f>
        <v>1944</v>
      </c>
    </row>
    <row r="36" spans="1:3" x14ac:dyDescent="0.2">
      <c r="A36" s="15">
        <v>41639</v>
      </c>
      <c r="B36" s="16" t="str">
        <f t="shared" si="1"/>
        <v>Tuesday</v>
      </c>
      <c r="C36" s="54">
        <f>-107+1963</f>
        <v>1856</v>
      </c>
    </row>
    <row r="37" spans="1:3" x14ac:dyDescent="0.2">
      <c r="A37" s="15">
        <v>41640</v>
      </c>
      <c r="B37" s="16" t="str">
        <f>TEXT(WEEKDAY(DAY(A37),14),"dddd")</f>
        <v>Wednesday</v>
      </c>
      <c r="C37" s="54">
        <f>-121+2671</f>
        <v>2550</v>
      </c>
    </row>
    <row r="38" spans="1:3" x14ac:dyDescent="0.2">
      <c r="A38" s="15">
        <v>41641</v>
      </c>
      <c r="B38" s="16" t="str">
        <f t="shared" ref="B38:B67" si="2">TEXT(WEEKDAY(DAY(A38),14),"dddd")</f>
        <v>Thursday</v>
      </c>
      <c r="C38" s="54">
        <f>-92+1224</f>
        <v>1132</v>
      </c>
    </row>
    <row r="39" spans="1:3" x14ac:dyDescent="0.2">
      <c r="A39" s="15">
        <v>41642</v>
      </c>
      <c r="B39" s="16" t="str">
        <f t="shared" si="2"/>
        <v>Friday</v>
      </c>
      <c r="C39" s="54">
        <f>-135+2423</f>
        <v>2288</v>
      </c>
    </row>
    <row r="40" spans="1:3" x14ac:dyDescent="0.2">
      <c r="A40" s="15">
        <v>41643</v>
      </c>
      <c r="B40" s="16" t="str">
        <f t="shared" si="2"/>
        <v>Saturday</v>
      </c>
      <c r="C40" s="54">
        <f>-238+5871</f>
        <v>5633</v>
      </c>
    </row>
    <row r="41" spans="1:3" x14ac:dyDescent="0.2">
      <c r="A41" s="15">
        <v>41644</v>
      </c>
      <c r="B41" s="16" t="str">
        <f t="shared" si="2"/>
        <v>Sunday</v>
      </c>
      <c r="C41" s="54">
        <f>-171+3470</f>
        <v>3299</v>
      </c>
    </row>
    <row r="42" spans="1:3" x14ac:dyDescent="0.2">
      <c r="A42" s="15">
        <v>41645</v>
      </c>
      <c r="B42" s="16" t="str">
        <f t="shared" si="2"/>
        <v>Monday</v>
      </c>
      <c r="C42" s="54">
        <f>-83+450</f>
        <v>367</v>
      </c>
    </row>
    <row r="43" spans="1:3" x14ac:dyDescent="0.2">
      <c r="A43" s="15">
        <v>41646</v>
      </c>
      <c r="B43" s="16" t="str">
        <f t="shared" si="2"/>
        <v>Tuesday</v>
      </c>
      <c r="C43" s="54">
        <f>-68+392</f>
        <v>324</v>
      </c>
    </row>
    <row r="44" spans="1:3" x14ac:dyDescent="0.2">
      <c r="A44" s="15">
        <v>41647</v>
      </c>
      <c r="B44" s="16" t="str">
        <f t="shared" si="2"/>
        <v>Wednesday</v>
      </c>
      <c r="C44" s="54">
        <f>-57+433</f>
        <v>376</v>
      </c>
    </row>
    <row r="45" spans="1:3" x14ac:dyDescent="0.2">
      <c r="A45" s="15">
        <v>41648</v>
      </c>
      <c r="B45" s="16" t="str">
        <f t="shared" si="2"/>
        <v>Thursday</v>
      </c>
      <c r="C45" s="54">
        <f>-140+1385</f>
        <v>1245</v>
      </c>
    </row>
    <row r="46" spans="1:3" x14ac:dyDescent="0.2">
      <c r="A46" s="15">
        <v>41649</v>
      </c>
      <c r="B46" s="16" t="str">
        <f t="shared" si="2"/>
        <v>Friday</v>
      </c>
      <c r="C46" s="54">
        <f>-174+2412</f>
        <v>2238</v>
      </c>
    </row>
    <row r="47" spans="1:3" x14ac:dyDescent="0.2">
      <c r="A47" s="15">
        <v>41650</v>
      </c>
      <c r="B47" s="16" t="str">
        <f t="shared" si="2"/>
        <v>Saturday</v>
      </c>
      <c r="C47" s="54">
        <f>-173+3279</f>
        <v>3106</v>
      </c>
    </row>
    <row r="48" spans="1:3" x14ac:dyDescent="0.2">
      <c r="A48" s="15">
        <v>41651</v>
      </c>
      <c r="B48" s="16" t="str">
        <f t="shared" si="2"/>
        <v>Sunday</v>
      </c>
      <c r="C48" s="54">
        <v>6195</v>
      </c>
    </row>
    <row r="49" spans="1:3" x14ac:dyDescent="0.2">
      <c r="A49" s="15">
        <v>41652</v>
      </c>
      <c r="B49" s="16" t="str">
        <f t="shared" si="2"/>
        <v>Monday</v>
      </c>
      <c r="C49" s="54">
        <v>1088</v>
      </c>
    </row>
    <row r="50" spans="1:3" x14ac:dyDescent="0.2">
      <c r="A50" s="15">
        <v>41653</v>
      </c>
      <c r="B50" s="16" t="str">
        <f t="shared" si="2"/>
        <v>Tuesday</v>
      </c>
      <c r="C50" s="54">
        <v>986</v>
      </c>
    </row>
    <row r="51" spans="1:3" x14ac:dyDescent="0.2">
      <c r="A51" s="15">
        <v>41654</v>
      </c>
      <c r="B51" s="16" t="str">
        <f t="shared" si="2"/>
        <v>Wednesday</v>
      </c>
      <c r="C51" s="54">
        <v>1392</v>
      </c>
    </row>
    <row r="52" spans="1:3" x14ac:dyDescent="0.2">
      <c r="A52" s="15">
        <v>41655</v>
      </c>
      <c r="B52" s="16" t="str">
        <f t="shared" si="2"/>
        <v>Thursday</v>
      </c>
      <c r="C52" s="54">
        <v>906</v>
      </c>
    </row>
    <row r="53" spans="1:3" x14ac:dyDescent="0.2">
      <c r="A53" s="15">
        <v>41656</v>
      </c>
      <c r="B53" s="16" t="str">
        <f t="shared" si="2"/>
        <v>Friday</v>
      </c>
      <c r="C53" s="54">
        <v>1932</v>
      </c>
    </row>
    <row r="54" spans="1:3" x14ac:dyDescent="0.2">
      <c r="A54" s="15">
        <v>41657</v>
      </c>
      <c r="B54" s="16" t="str">
        <f t="shared" si="2"/>
        <v>Saturday</v>
      </c>
      <c r="C54" s="54">
        <v>5429</v>
      </c>
    </row>
    <row r="55" spans="1:3" x14ac:dyDescent="0.2">
      <c r="A55" s="15">
        <v>41658</v>
      </c>
      <c r="B55" s="16" t="str">
        <f t="shared" si="2"/>
        <v>Sunday</v>
      </c>
      <c r="C55" s="54">
        <v>3396</v>
      </c>
    </row>
    <row r="56" spans="1:3" x14ac:dyDescent="0.2">
      <c r="A56" s="15">
        <v>41659</v>
      </c>
      <c r="B56" s="16" t="str">
        <f t="shared" si="2"/>
        <v>Monday</v>
      </c>
      <c r="C56" s="54">
        <f>-126+2892</f>
        <v>2766</v>
      </c>
    </row>
    <row r="57" spans="1:3" x14ac:dyDescent="0.2">
      <c r="A57" s="15">
        <f t="shared" ref="A57:A62" si="3">A56+1</f>
        <v>41660</v>
      </c>
      <c r="B57" s="16" t="str">
        <f t="shared" si="2"/>
        <v>Tuesday</v>
      </c>
      <c r="C57" s="54">
        <f>-92+593</f>
        <v>501</v>
      </c>
    </row>
    <row r="58" spans="1:3" x14ac:dyDescent="0.2">
      <c r="A58" s="15">
        <f t="shared" si="3"/>
        <v>41661</v>
      </c>
      <c r="B58" s="16" t="str">
        <f t="shared" si="2"/>
        <v>Wednesday</v>
      </c>
      <c r="C58" s="54">
        <f>-88+777</f>
        <v>689</v>
      </c>
    </row>
    <row r="59" spans="1:3" x14ac:dyDescent="0.2">
      <c r="A59" s="15">
        <f t="shared" si="3"/>
        <v>41662</v>
      </c>
      <c r="B59" s="16" t="str">
        <f t="shared" si="2"/>
        <v>Thursday</v>
      </c>
      <c r="C59" s="54">
        <f>-75+754</f>
        <v>679</v>
      </c>
    </row>
    <row r="60" spans="1:3" x14ac:dyDescent="0.2">
      <c r="A60" s="15">
        <f t="shared" si="3"/>
        <v>41663</v>
      </c>
      <c r="B60" s="16" t="str">
        <f t="shared" si="2"/>
        <v>Friday</v>
      </c>
      <c r="C60" s="54">
        <v>1653</v>
      </c>
    </row>
    <row r="61" spans="1:3" x14ac:dyDescent="0.2">
      <c r="A61" s="15">
        <f t="shared" si="3"/>
        <v>41664</v>
      </c>
      <c r="B61" s="16" t="str">
        <f t="shared" si="2"/>
        <v>Saturday</v>
      </c>
      <c r="C61" s="54">
        <v>4746</v>
      </c>
    </row>
    <row r="62" spans="1:3" x14ac:dyDescent="0.2">
      <c r="A62" s="15">
        <f t="shared" si="3"/>
        <v>41665</v>
      </c>
      <c r="B62" s="16" t="str">
        <f t="shared" si="2"/>
        <v>Sunday</v>
      </c>
      <c r="C62" s="54">
        <v>4127</v>
      </c>
    </row>
    <row r="63" spans="1:3" x14ac:dyDescent="0.2">
      <c r="A63" s="15">
        <v>41666</v>
      </c>
      <c r="B63" s="16" t="str">
        <f t="shared" si="2"/>
        <v>Monday</v>
      </c>
      <c r="C63" s="54">
        <f>-94+885</f>
        <v>791</v>
      </c>
    </row>
    <row r="64" spans="1:3" x14ac:dyDescent="0.2">
      <c r="A64" s="15">
        <f t="shared" ref="A64:A69" si="4">A63+1</f>
        <v>41667</v>
      </c>
      <c r="B64" s="16" t="str">
        <f t="shared" si="2"/>
        <v>Tuesday</v>
      </c>
      <c r="C64" s="54">
        <f>-70+438</f>
        <v>368</v>
      </c>
    </row>
    <row r="65" spans="1:3" x14ac:dyDescent="0.2">
      <c r="A65" s="15">
        <f t="shared" si="4"/>
        <v>41668</v>
      </c>
      <c r="B65" s="16" t="str">
        <f t="shared" si="2"/>
        <v>Wednesday</v>
      </c>
      <c r="C65" s="54">
        <f>-75+666</f>
        <v>591</v>
      </c>
    </row>
    <row r="66" spans="1:3" x14ac:dyDescent="0.2">
      <c r="A66" s="15">
        <v>41669</v>
      </c>
      <c r="B66" s="16" t="str">
        <f t="shared" si="2"/>
        <v>Thursday</v>
      </c>
      <c r="C66" s="54">
        <v>1121</v>
      </c>
    </row>
    <row r="67" spans="1:3" x14ac:dyDescent="0.2">
      <c r="A67" s="15">
        <v>41670</v>
      </c>
      <c r="B67" s="16" t="str">
        <f t="shared" si="2"/>
        <v>Friday</v>
      </c>
      <c r="C67" s="54">
        <v>2615</v>
      </c>
    </row>
    <row r="68" spans="1:3" x14ac:dyDescent="0.2">
      <c r="A68" s="15">
        <f t="shared" si="4"/>
        <v>41671</v>
      </c>
      <c r="B68" s="16" t="str">
        <f>TEXT(WEEKDAY(DAY(A68),2),"dddd")</f>
        <v>Saturday</v>
      </c>
      <c r="C68" s="54">
        <v>5741</v>
      </c>
    </row>
    <row r="69" spans="1:3" x14ac:dyDescent="0.2">
      <c r="A69" s="15">
        <f t="shared" si="4"/>
        <v>41672</v>
      </c>
      <c r="B69" s="16" t="str">
        <f t="shared" ref="B69:B83" si="5">TEXT(WEEKDAY(DAY(A69),2),"dddd")</f>
        <v>Sunday</v>
      </c>
      <c r="C69" s="54">
        <v>2832</v>
      </c>
    </row>
    <row r="70" spans="1:3" x14ac:dyDescent="0.2">
      <c r="A70" s="15">
        <v>41673</v>
      </c>
      <c r="B70" s="16" t="str">
        <f t="shared" si="5"/>
        <v>Monday</v>
      </c>
      <c r="C70" s="55">
        <f>227+25+572</f>
        <v>824</v>
      </c>
    </row>
    <row r="71" spans="1:3" x14ac:dyDescent="0.2">
      <c r="A71" s="15">
        <f t="shared" ref="A71:A76" si="6">A70+1</f>
        <v>41674</v>
      </c>
      <c r="B71" s="16" t="str">
        <f t="shared" si="5"/>
        <v>Tuesday</v>
      </c>
      <c r="C71" s="55">
        <f>262+14+428</f>
        <v>704</v>
      </c>
    </row>
    <row r="72" spans="1:3" x14ac:dyDescent="0.2">
      <c r="A72" s="15">
        <f t="shared" si="6"/>
        <v>41675</v>
      </c>
      <c r="B72" s="16" t="str">
        <f t="shared" si="5"/>
        <v>Wednesday</v>
      </c>
      <c r="C72" s="55">
        <f>195+33+497</f>
        <v>725</v>
      </c>
    </row>
    <row r="73" spans="1:3" x14ac:dyDescent="0.2">
      <c r="A73" s="15">
        <f t="shared" si="6"/>
        <v>41676</v>
      </c>
      <c r="B73" s="16" t="str">
        <f t="shared" si="5"/>
        <v>Thursday</v>
      </c>
      <c r="C73" s="55">
        <f>119+18+564</f>
        <v>701</v>
      </c>
    </row>
    <row r="74" spans="1:3" x14ac:dyDescent="0.2">
      <c r="A74" s="15">
        <f t="shared" si="6"/>
        <v>41677</v>
      </c>
      <c r="B74" s="16" t="str">
        <f t="shared" si="5"/>
        <v>Friday</v>
      </c>
      <c r="C74" s="55">
        <f>286+43+1086</f>
        <v>1415</v>
      </c>
    </row>
    <row r="75" spans="1:3" x14ac:dyDescent="0.2">
      <c r="A75" s="15">
        <f t="shared" si="6"/>
        <v>41678</v>
      </c>
      <c r="B75" s="16" t="str">
        <f t="shared" si="5"/>
        <v>Saturday</v>
      </c>
      <c r="C75" s="55">
        <f>1648+128+2500</f>
        <v>4276</v>
      </c>
    </row>
    <row r="76" spans="1:3" x14ac:dyDescent="0.2">
      <c r="A76" s="15">
        <f t="shared" si="6"/>
        <v>41679</v>
      </c>
      <c r="B76" s="16" t="str">
        <f>TEXT(WEEKDAY(DAY(A76),2),"dddd")</f>
        <v>Sunday</v>
      </c>
      <c r="C76" s="55">
        <f>1675+52+2962</f>
        <v>4689</v>
      </c>
    </row>
    <row r="77" spans="1:3" x14ac:dyDescent="0.2">
      <c r="A77" s="15">
        <v>41680</v>
      </c>
      <c r="B77" s="16" t="str">
        <f t="shared" si="5"/>
        <v>Monday</v>
      </c>
      <c r="C77" s="54">
        <v>789</v>
      </c>
    </row>
    <row r="78" spans="1:3" x14ac:dyDescent="0.2">
      <c r="A78" s="15">
        <f t="shared" ref="A78:A83" si="7">A77+1</f>
        <v>41681</v>
      </c>
      <c r="B78" s="16" t="str">
        <f t="shared" si="5"/>
        <v>Tuesday</v>
      </c>
      <c r="C78" s="54">
        <v>917</v>
      </c>
    </row>
    <row r="79" spans="1:3" x14ac:dyDescent="0.2">
      <c r="A79" s="15">
        <f t="shared" si="7"/>
        <v>41682</v>
      </c>
      <c r="B79" s="16" t="str">
        <f t="shared" si="5"/>
        <v>Wednesday</v>
      </c>
      <c r="C79" s="54">
        <v>1016</v>
      </c>
    </row>
    <row r="80" spans="1:3" x14ac:dyDescent="0.2">
      <c r="A80" s="15">
        <f t="shared" si="7"/>
        <v>41683</v>
      </c>
      <c r="B80" s="16" t="str">
        <f t="shared" si="5"/>
        <v>Thursday</v>
      </c>
      <c r="C80" s="54">
        <v>1355</v>
      </c>
    </row>
    <row r="81" spans="1:3" x14ac:dyDescent="0.2">
      <c r="A81" s="15">
        <f t="shared" si="7"/>
        <v>41684</v>
      </c>
      <c r="B81" s="16" t="str">
        <f>TEXT(WEEKDAY(DAY(A81),2),"dddd")</f>
        <v>Friday</v>
      </c>
      <c r="C81" s="54">
        <v>2911</v>
      </c>
    </row>
    <row r="82" spans="1:3" x14ac:dyDescent="0.2">
      <c r="A82" s="15">
        <f t="shared" si="7"/>
        <v>41685</v>
      </c>
      <c r="B82" s="16" t="str">
        <f t="shared" si="5"/>
        <v>Saturday</v>
      </c>
      <c r="C82" s="54">
        <v>5063</v>
      </c>
    </row>
    <row r="83" spans="1:3" x14ac:dyDescent="0.2">
      <c r="A83" s="15">
        <f t="shared" si="7"/>
        <v>41686</v>
      </c>
      <c r="B83" s="16" t="str">
        <f t="shared" si="5"/>
        <v>Sunday</v>
      </c>
      <c r="C83" s="54">
        <v>6663</v>
      </c>
    </row>
    <row r="84" spans="1:3" x14ac:dyDescent="0.2">
      <c r="A84" s="15">
        <v>41688</v>
      </c>
      <c r="B84" s="16" t="str">
        <f>TEXT(WEEKDAY(DAY(A84),2),"dddd")</f>
        <v>Tuesday</v>
      </c>
      <c r="C84" s="55">
        <v>3141</v>
      </c>
    </row>
    <row r="85" spans="1:3" x14ac:dyDescent="0.2">
      <c r="A85" s="15">
        <f t="shared" ref="A85:A89" si="8">A84+1</f>
        <v>41689</v>
      </c>
      <c r="B85" s="16" t="str">
        <f t="shared" ref="B85:B145" si="9">TEXT(WEEKDAY(DAY(A85),2),"dddd")</f>
        <v>Wednesday</v>
      </c>
      <c r="C85" s="55">
        <v>3068</v>
      </c>
    </row>
    <row r="86" spans="1:3" x14ac:dyDescent="0.2">
      <c r="A86" s="15">
        <f t="shared" si="8"/>
        <v>41690</v>
      </c>
      <c r="B86" s="16" t="str">
        <f t="shared" si="9"/>
        <v>Thursday</v>
      </c>
      <c r="C86" s="55">
        <v>2716</v>
      </c>
    </row>
    <row r="87" spans="1:3" x14ac:dyDescent="0.2">
      <c r="A87" s="15">
        <f t="shared" si="8"/>
        <v>41691</v>
      </c>
      <c r="B87" s="16" t="str">
        <f t="shared" si="9"/>
        <v>Friday</v>
      </c>
      <c r="C87" s="54">
        <v>4315</v>
      </c>
    </row>
    <row r="88" spans="1:3" x14ac:dyDescent="0.2">
      <c r="A88" s="15">
        <f t="shared" si="8"/>
        <v>41692</v>
      </c>
      <c r="B88" s="16" t="str">
        <f t="shared" si="9"/>
        <v>Saturday</v>
      </c>
      <c r="C88" s="54">
        <v>5990</v>
      </c>
    </row>
    <row r="89" spans="1:3" x14ac:dyDescent="0.2">
      <c r="A89" s="15">
        <f t="shared" si="8"/>
        <v>41693</v>
      </c>
      <c r="B89" s="16" t="str">
        <f t="shared" si="9"/>
        <v>Sunday</v>
      </c>
      <c r="C89" s="54">
        <v>5452</v>
      </c>
    </row>
    <row r="90" spans="1:3" x14ac:dyDescent="0.2">
      <c r="A90" s="15">
        <v>41694</v>
      </c>
      <c r="B90" s="16" t="str">
        <f t="shared" si="9"/>
        <v>Monday</v>
      </c>
      <c r="C90" s="55">
        <v>1125</v>
      </c>
    </row>
    <row r="91" spans="1:3" x14ac:dyDescent="0.2">
      <c r="A91" s="15">
        <f t="shared" ref="A91:A96" si="10">A90+1</f>
        <v>41695</v>
      </c>
      <c r="B91" s="16" t="str">
        <f t="shared" si="9"/>
        <v>Tuesday</v>
      </c>
      <c r="C91" s="55">
        <v>927</v>
      </c>
    </row>
    <row r="92" spans="1:3" x14ac:dyDescent="0.2">
      <c r="A92" s="15">
        <f t="shared" si="10"/>
        <v>41696</v>
      </c>
      <c r="B92" s="16" t="str">
        <f t="shared" si="9"/>
        <v>Wednesday</v>
      </c>
      <c r="C92" s="55">
        <v>1159</v>
      </c>
    </row>
    <row r="93" spans="1:3" x14ac:dyDescent="0.2">
      <c r="A93" s="15">
        <f t="shared" si="10"/>
        <v>41697</v>
      </c>
      <c r="B93" s="16" t="str">
        <f t="shared" si="9"/>
        <v>Thursday</v>
      </c>
      <c r="C93" s="55">
        <v>867</v>
      </c>
    </row>
    <row r="94" spans="1:3" x14ac:dyDescent="0.2">
      <c r="A94" s="15">
        <f t="shared" si="10"/>
        <v>41698</v>
      </c>
      <c r="B94" s="16" t="str">
        <f t="shared" si="9"/>
        <v>Friday</v>
      </c>
      <c r="C94" s="54">
        <v>1579</v>
      </c>
    </row>
    <row r="95" spans="1:3" x14ac:dyDescent="0.2">
      <c r="A95" s="15">
        <f t="shared" si="10"/>
        <v>41699</v>
      </c>
      <c r="B95" s="16" t="str">
        <f t="shared" si="9"/>
        <v>Saturday</v>
      </c>
      <c r="C95" s="54">
        <v>4121</v>
      </c>
    </row>
    <row r="96" spans="1:3" x14ac:dyDescent="0.2">
      <c r="A96" s="15">
        <f t="shared" si="10"/>
        <v>41700</v>
      </c>
      <c r="B96" s="16" t="str">
        <f t="shared" si="9"/>
        <v>Sunday</v>
      </c>
      <c r="C96" s="54">
        <v>3950</v>
      </c>
    </row>
    <row r="97" spans="1:3" x14ac:dyDescent="0.2">
      <c r="A97" s="15">
        <v>41701</v>
      </c>
      <c r="B97" s="16" t="str">
        <f t="shared" si="9"/>
        <v>Monday</v>
      </c>
      <c r="C97" s="55">
        <v>862</v>
      </c>
    </row>
    <row r="98" spans="1:3" x14ac:dyDescent="0.2">
      <c r="A98" s="15">
        <f t="shared" ref="A98:A103" si="11">A97+1</f>
        <v>41702</v>
      </c>
      <c r="B98" s="16" t="str">
        <f t="shared" si="9"/>
        <v>Tuesday</v>
      </c>
      <c r="C98" s="55">
        <v>752</v>
      </c>
    </row>
    <row r="99" spans="1:3" x14ac:dyDescent="0.2">
      <c r="A99" s="15">
        <f t="shared" si="11"/>
        <v>41703</v>
      </c>
      <c r="B99" s="16" t="str">
        <f t="shared" si="9"/>
        <v>Wednesday</v>
      </c>
      <c r="C99" s="55">
        <v>284</v>
      </c>
    </row>
    <row r="100" spans="1:3" x14ac:dyDescent="0.2">
      <c r="A100" s="15">
        <f t="shared" si="11"/>
        <v>41704</v>
      </c>
      <c r="B100" s="16" t="str">
        <f t="shared" si="9"/>
        <v>Thursday</v>
      </c>
      <c r="C100" s="55">
        <v>497</v>
      </c>
    </row>
    <row r="101" spans="1:3" x14ac:dyDescent="0.2">
      <c r="A101" s="15">
        <f t="shared" si="11"/>
        <v>41705</v>
      </c>
      <c r="B101" s="16" t="str">
        <f t="shared" si="9"/>
        <v>Friday</v>
      </c>
      <c r="C101" s="55">
        <v>2157</v>
      </c>
    </row>
    <row r="102" spans="1:3" x14ac:dyDescent="0.2">
      <c r="A102" s="15">
        <f t="shared" si="11"/>
        <v>41706</v>
      </c>
      <c r="B102" s="16" t="str">
        <f t="shared" si="9"/>
        <v>Saturday</v>
      </c>
      <c r="C102" s="55">
        <v>2464</v>
      </c>
    </row>
    <row r="103" spans="1:3" x14ac:dyDescent="0.2">
      <c r="A103" s="15">
        <f t="shared" si="11"/>
        <v>41707</v>
      </c>
      <c r="B103" s="16" t="str">
        <f t="shared" si="9"/>
        <v>Sunday</v>
      </c>
      <c r="C103" s="55">
        <v>1400</v>
      </c>
    </row>
    <row r="104" spans="1:3" x14ac:dyDescent="0.2">
      <c r="A104" s="15">
        <v>41708</v>
      </c>
      <c r="B104" s="16" t="str">
        <f t="shared" si="9"/>
        <v>Monday</v>
      </c>
      <c r="C104" s="55">
        <v>556</v>
      </c>
    </row>
    <row r="105" spans="1:3" x14ac:dyDescent="0.2">
      <c r="A105" s="15">
        <f t="shared" ref="A105:A110" si="12">A104+1</f>
        <v>41709</v>
      </c>
      <c r="B105" s="16" t="str">
        <f t="shared" si="9"/>
        <v>Tuesday</v>
      </c>
      <c r="C105" s="55">
        <v>774</v>
      </c>
    </row>
    <row r="106" spans="1:3" x14ac:dyDescent="0.2">
      <c r="A106" s="15">
        <f t="shared" si="12"/>
        <v>41710</v>
      </c>
      <c r="B106" s="16" t="str">
        <f t="shared" si="9"/>
        <v>Wednesday</v>
      </c>
      <c r="C106" s="55">
        <v>1119</v>
      </c>
    </row>
    <row r="107" spans="1:3" x14ac:dyDescent="0.2">
      <c r="A107" s="15">
        <f t="shared" si="12"/>
        <v>41711</v>
      </c>
      <c r="B107" s="16" t="str">
        <f t="shared" si="9"/>
        <v>Thursday</v>
      </c>
      <c r="C107" s="55">
        <v>763</v>
      </c>
    </row>
    <row r="108" spans="1:3" x14ac:dyDescent="0.2">
      <c r="A108" s="15">
        <f t="shared" si="12"/>
        <v>41712</v>
      </c>
      <c r="B108" s="16" t="str">
        <f t="shared" si="9"/>
        <v>Friday</v>
      </c>
      <c r="C108" s="55">
        <v>1393</v>
      </c>
    </row>
    <row r="109" spans="1:3" x14ac:dyDescent="0.2">
      <c r="A109" s="15">
        <f t="shared" si="12"/>
        <v>41713</v>
      </c>
      <c r="B109" s="16" t="str">
        <f t="shared" si="9"/>
        <v>Saturday</v>
      </c>
      <c r="C109" s="55">
        <v>2616</v>
      </c>
    </row>
    <row r="110" spans="1:3" x14ac:dyDescent="0.2">
      <c r="A110" s="15">
        <f t="shared" si="12"/>
        <v>41714</v>
      </c>
      <c r="B110" s="16" t="str">
        <f t="shared" si="9"/>
        <v>Sunday</v>
      </c>
      <c r="C110" s="55">
        <v>1841</v>
      </c>
    </row>
    <row r="111" spans="1:3" x14ac:dyDescent="0.2">
      <c r="A111" s="15">
        <v>41715</v>
      </c>
      <c r="B111" s="16" t="str">
        <f t="shared" si="9"/>
        <v>Monday</v>
      </c>
      <c r="C111" s="55">
        <v>1068</v>
      </c>
    </row>
    <row r="112" spans="1:3" x14ac:dyDescent="0.2">
      <c r="A112" s="15">
        <f t="shared" ref="A112:A117" si="13">A111+1</f>
        <v>41716</v>
      </c>
      <c r="B112" s="16" t="str">
        <f t="shared" si="9"/>
        <v>Tuesday</v>
      </c>
      <c r="C112" s="55">
        <v>997</v>
      </c>
    </row>
    <row r="113" spans="1:3" x14ac:dyDescent="0.2">
      <c r="A113" s="15">
        <f t="shared" si="13"/>
        <v>41717</v>
      </c>
      <c r="B113" s="16" t="str">
        <f t="shared" si="9"/>
        <v>Wednesday</v>
      </c>
      <c r="C113" s="55">
        <v>627</v>
      </c>
    </row>
    <row r="114" spans="1:3" x14ac:dyDescent="0.2">
      <c r="A114" s="15">
        <f t="shared" si="13"/>
        <v>41718</v>
      </c>
      <c r="B114" s="16" t="str">
        <f t="shared" si="9"/>
        <v>Thursday</v>
      </c>
      <c r="C114" s="55">
        <v>824</v>
      </c>
    </row>
    <row r="115" spans="1:3" x14ac:dyDescent="0.2">
      <c r="A115" s="15">
        <f t="shared" si="13"/>
        <v>41719</v>
      </c>
      <c r="B115" s="16" t="str">
        <f t="shared" si="9"/>
        <v>Friday</v>
      </c>
      <c r="C115" s="55">
        <v>1831</v>
      </c>
    </row>
    <row r="116" spans="1:3" x14ac:dyDescent="0.2">
      <c r="A116" s="15">
        <f t="shared" si="13"/>
        <v>41720</v>
      </c>
      <c r="B116" s="16" t="str">
        <f t="shared" si="9"/>
        <v>Saturday</v>
      </c>
      <c r="C116" s="55">
        <v>3783</v>
      </c>
    </row>
    <row r="117" spans="1:3" x14ac:dyDescent="0.2">
      <c r="A117" s="15">
        <f t="shared" si="13"/>
        <v>41721</v>
      </c>
      <c r="B117" s="16" t="str">
        <f t="shared" si="9"/>
        <v>Sunday</v>
      </c>
      <c r="C117" s="55">
        <v>3964</v>
      </c>
    </row>
    <row r="118" spans="1:3" x14ac:dyDescent="0.2">
      <c r="A118" s="15">
        <v>41722</v>
      </c>
      <c r="B118" s="16" t="str">
        <f t="shared" si="9"/>
        <v>Monday</v>
      </c>
      <c r="C118" s="55">
        <v>912</v>
      </c>
    </row>
    <row r="119" spans="1:3" x14ac:dyDescent="0.2">
      <c r="A119" s="15">
        <f t="shared" ref="A119:A124" si="14">A118+1</f>
        <v>41723</v>
      </c>
      <c r="B119" s="16" t="str">
        <f t="shared" si="9"/>
        <v>Tuesday</v>
      </c>
      <c r="C119" s="55">
        <v>320</v>
      </c>
    </row>
    <row r="120" spans="1:3" x14ac:dyDescent="0.2">
      <c r="A120" s="15">
        <f t="shared" si="14"/>
        <v>41724</v>
      </c>
      <c r="B120" s="16" t="str">
        <f t="shared" si="9"/>
        <v>Wednesday</v>
      </c>
      <c r="C120" s="55">
        <v>525</v>
      </c>
    </row>
    <row r="121" spans="1:3" x14ac:dyDescent="0.2">
      <c r="A121" s="15">
        <f t="shared" si="14"/>
        <v>41725</v>
      </c>
      <c r="B121" s="16" t="str">
        <f t="shared" si="9"/>
        <v>Thursday</v>
      </c>
      <c r="C121" s="55">
        <v>853</v>
      </c>
    </row>
    <row r="122" spans="1:3" x14ac:dyDescent="0.2">
      <c r="A122" s="15">
        <f t="shared" si="14"/>
        <v>41726</v>
      </c>
      <c r="B122" s="16" t="str">
        <f t="shared" si="9"/>
        <v>Friday</v>
      </c>
      <c r="C122" s="55">
        <v>1085</v>
      </c>
    </row>
    <row r="123" spans="1:3" x14ac:dyDescent="0.2">
      <c r="A123" s="15">
        <f t="shared" si="14"/>
        <v>41727</v>
      </c>
      <c r="B123" s="16" t="str">
        <f t="shared" si="9"/>
        <v>Saturday</v>
      </c>
      <c r="C123" s="55">
        <v>2959</v>
      </c>
    </row>
    <row r="124" spans="1:3" x14ac:dyDescent="0.2">
      <c r="A124" s="15">
        <f t="shared" si="14"/>
        <v>41728</v>
      </c>
      <c r="B124" s="16" t="str">
        <f t="shared" si="9"/>
        <v>Sunday</v>
      </c>
      <c r="C124" s="55">
        <v>3121</v>
      </c>
    </row>
    <row r="125" spans="1:3" x14ac:dyDescent="0.2">
      <c r="A125" s="15">
        <v>41729</v>
      </c>
      <c r="B125" s="16" t="str">
        <f t="shared" si="9"/>
        <v>Monday</v>
      </c>
      <c r="C125" s="55">
        <v>642</v>
      </c>
    </row>
    <row r="126" spans="1:3" x14ac:dyDescent="0.2">
      <c r="A126" s="15">
        <f t="shared" ref="A126:A131" si="15">A125+1</f>
        <v>41730</v>
      </c>
      <c r="B126" s="16" t="str">
        <f t="shared" si="9"/>
        <v>Saturday</v>
      </c>
      <c r="C126" s="55">
        <v>644</v>
      </c>
    </row>
    <row r="127" spans="1:3" x14ac:dyDescent="0.2">
      <c r="A127" s="15">
        <f t="shared" si="15"/>
        <v>41731</v>
      </c>
      <c r="B127" s="16" t="str">
        <f t="shared" si="9"/>
        <v>Sunday</v>
      </c>
      <c r="C127" s="55">
        <v>1088</v>
      </c>
    </row>
    <row r="128" spans="1:3" x14ac:dyDescent="0.2">
      <c r="A128" s="15">
        <f t="shared" si="15"/>
        <v>41732</v>
      </c>
      <c r="B128" s="16" t="str">
        <f t="shared" si="9"/>
        <v>Monday</v>
      </c>
      <c r="C128" s="55">
        <v>615</v>
      </c>
    </row>
    <row r="129" spans="1:3" x14ac:dyDescent="0.2">
      <c r="A129" s="15">
        <f t="shared" si="15"/>
        <v>41733</v>
      </c>
      <c r="B129" s="16" t="str">
        <f t="shared" si="9"/>
        <v>Tuesday</v>
      </c>
      <c r="C129" s="55">
        <v>912</v>
      </c>
    </row>
    <row r="130" spans="1:3" x14ac:dyDescent="0.2">
      <c r="A130" s="15">
        <f t="shared" si="15"/>
        <v>41734</v>
      </c>
      <c r="B130" s="16" t="str">
        <f t="shared" si="9"/>
        <v>Wednesday</v>
      </c>
      <c r="C130" s="55">
        <v>2246</v>
      </c>
    </row>
    <row r="131" spans="1:3" x14ac:dyDescent="0.2">
      <c r="A131" s="15">
        <f t="shared" si="15"/>
        <v>41735</v>
      </c>
      <c r="B131" s="16" t="str">
        <f t="shared" si="9"/>
        <v>Thursday</v>
      </c>
      <c r="C131" s="55">
        <v>1661</v>
      </c>
    </row>
    <row r="132" spans="1:3" x14ac:dyDescent="0.2">
      <c r="A132" s="15">
        <v>41736</v>
      </c>
      <c r="B132" s="16" t="str">
        <f t="shared" si="9"/>
        <v>Friday</v>
      </c>
      <c r="C132" s="55">
        <v>951</v>
      </c>
    </row>
    <row r="133" spans="1:3" x14ac:dyDescent="0.2">
      <c r="A133" s="15">
        <f t="shared" ref="A133:A138" si="16">A132+1</f>
        <v>41737</v>
      </c>
      <c r="B133" s="16" t="str">
        <f t="shared" si="9"/>
        <v>Saturday</v>
      </c>
      <c r="C133" s="55">
        <v>430</v>
      </c>
    </row>
    <row r="134" spans="1:3" x14ac:dyDescent="0.2">
      <c r="A134" s="15">
        <f t="shared" si="16"/>
        <v>41738</v>
      </c>
      <c r="B134" s="16" t="str">
        <f t="shared" si="9"/>
        <v>Sunday</v>
      </c>
      <c r="C134" s="55">
        <v>643</v>
      </c>
    </row>
    <row r="135" spans="1:3" x14ac:dyDescent="0.2">
      <c r="A135" s="15">
        <f t="shared" si="16"/>
        <v>41739</v>
      </c>
      <c r="B135" s="16" t="str">
        <f t="shared" si="9"/>
        <v>Monday</v>
      </c>
      <c r="C135" s="55">
        <v>885</v>
      </c>
    </row>
    <row r="136" spans="1:3" x14ac:dyDescent="0.2">
      <c r="A136" s="15">
        <f t="shared" si="16"/>
        <v>41740</v>
      </c>
      <c r="B136" s="16" t="str">
        <f t="shared" si="9"/>
        <v>Tuesday</v>
      </c>
      <c r="C136" s="55">
        <v>952</v>
      </c>
    </row>
    <row r="137" spans="1:3" x14ac:dyDescent="0.2">
      <c r="A137" s="15">
        <f t="shared" si="16"/>
        <v>41741</v>
      </c>
      <c r="B137" s="16" t="str">
        <f t="shared" si="9"/>
        <v>Wednesday</v>
      </c>
      <c r="C137" s="55">
        <v>2154</v>
      </c>
    </row>
    <row r="138" spans="1:3" x14ac:dyDescent="0.2">
      <c r="A138" s="15">
        <f t="shared" si="16"/>
        <v>41742</v>
      </c>
      <c r="B138" s="16" t="str">
        <f t="shared" si="9"/>
        <v>Thursday</v>
      </c>
      <c r="C138" s="55">
        <v>2558</v>
      </c>
    </row>
    <row r="139" spans="1:3" x14ac:dyDescent="0.2">
      <c r="A139" s="15">
        <v>41743</v>
      </c>
      <c r="B139" s="16" t="str">
        <f t="shared" si="9"/>
        <v>Friday</v>
      </c>
      <c r="C139" s="55">
        <v>665</v>
      </c>
    </row>
    <row r="140" spans="1:3" x14ac:dyDescent="0.2">
      <c r="A140" s="15">
        <f t="shared" ref="A140:A145" si="17">A139+1</f>
        <v>41744</v>
      </c>
      <c r="B140" s="16" t="str">
        <f t="shared" si="9"/>
        <v>Saturday</v>
      </c>
      <c r="C140" s="55">
        <v>342</v>
      </c>
    </row>
    <row r="141" spans="1:3" x14ac:dyDescent="0.2">
      <c r="A141" s="15">
        <f t="shared" si="17"/>
        <v>41745</v>
      </c>
      <c r="B141" s="16" t="str">
        <f t="shared" si="9"/>
        <v>Sunday</v>
      </c>
      <c r="C141" s="55">
        <v>321</v>
      </c>
    </row>
    <row r="142" spans="1:3" x14ac:dyDescent="0.2">
      <c r="A142" s="15">
        <f t="shared" si="17"/>
        <v>41746</v>
      </c>
      <c r="B142" s="16" t="str">
        <f t="shared" si="9"/>
        <v>Monday</v>
      </c>
      <c r="C142" s="55">
        <v>300</v>
      </c>
    </row>
    <row r="143" spans="1:3" x14ac:dyDescent="0.2">
      <c r="A143" s="15">
        <f t="shared" si="17"/>
        <v>41747</v>
      </c>
      <c r="B143" s="16" t="str">
        <f t="shared" si="9"/>
        <v>Tuesday</v>
      </c>
      <c r="C143" s="55">
        <v>1196</v>
      </c>
    </row>
    <row r="144" spans="1:3" x14ac:dyDescent="0.2">
      <c r="A144" s="15">
        <f t="shared" si="17"/>
        <v>41748</v>
      </c>
      <c r="B144" s="16" t="str">
        <f t="shared" si="9"/>
        <v>Wednesday</v>
      </c>
      <c r="C144" s="55">
        <v>1634</v>
      </c>
    </row>
    <row r="145" spans="1:3" x14ac:dyDescent="0.2">
      <c r="A145" s="15">
        <f t="shared" si="17"/>
        <v>41749</v>
      </c>
      <c r="B145" s="16" t="str">
        <f t="shared" si="9"/>
        <v>Thursday</v>
      </c>
      <c r="C145" s="55">
        <v>1636</v>
      </c>
    </row>
    <row r="146" spans="1:3" x14ac:dyDescent="0.2">
      <c r="A146" s="15">
        <v>41755</v>
      </c>
      <c r="B146" s="16" t="str">
        <f>TEXT(WEEKDAY(DAY(A146),15),"dddd")</f>
        <v>Saturday</v>
      </c>
      <c r="C146" s="55">
        <v>1013</v>
      </c>
    </row>
    <row r="147" spans="1:3" x14ac:dyDescent="0.2">
      <c r="A147" s="15">
        <v>41756</v>
      </c>
      <c r="B147" s="16" t="str">
        <f>TEXT(WEEKDAY(DAY(A147),15),"dddd")</f>
        <v>Sunday</v>
      </c>
      <c r="C147" s="55">
        <v>863</v>
      </c>
    </row>
  </sheetData>
  <pageMargins left="0.7" right="0.7" top="0.75" bottom="0.75" header="0.3" footer="0.3"/>
  <pageSetup orientation="portrait" horizontalDpi="30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6"/>
  <sheetViews>
    <sheetView topLeftCell="A98" workbookViewId="0">
      <selection activeCell="E19" sqref="E19"/>
    </sheetView>
  </sheetViews>
  <sheetFormatPr baseColWidth="10" defaultColWidth="8.83203125" defaultRowHeight="15" x14ac:dyDescent="0.2"/>
  <cols>
    <col min="1" max="1" width="25" customWidth="1"/>
    <col min="3" max="3" width="10.6640625" bestFit="1" customWidth="1"/>
    <col min="4" max="4" width="12.1640625" bestFit="1" customWidth="1"/>
    <col min="5" max="5" width="12" customWidth="1"/>
    <col min="6" max="6" width="9.6640625" bestFit="1" customWidth="1"/>
    <col min="8" max="8" width="9.5" customWidth="1"/>
    <col min="10" max="10" width="11" bestFit="1" customWidth="1"/>
  </cols>
  <sheetData>
    <row r="1" spans="1:9" x14ac:dyDescent="0.2">
      <c r="C1" t="s">
        <v>0</v>
      </c>
      <c r="D1" t="s">
        <v>13</v>
      </c>
      <c r="E1" t="s">
        <v>45</v>
      </c>
    </row>
    <row r="2" spans="1:9" ht="16" thickBot="1" x14ac:dyDescent="0.25">
      <c r="A2" s="32" t="s">
        <v>32</v>
      </c>
      <c r="B2" s="33"/>
      <c r="C2" s="35">
        <v>43193</v>
      </c>
      <c r="D2" s="34" t="str">
        <f>TEXT(WEEKDAY(C2,1),"dddd")</f>
        <v>Tuesday</v>
      </c>
      <c r="E2" s="34">
        <f>IF(AND(WEEKDAY(C2,1)&gt;1,WEEKDAY(C2,1)&lt;7,C6=2),6,WEEKDAY(C2,1))</f>
        <v>3</v>
      </c>
    </row>
    <row r="3" spans="1:9" ht="16" thickTop="1" x14ac:dyDescent="0.2">
      <c r="A3" t="s">
        <v>38</v>
      </c>
      <c r="C3" s="8">
        <v>4</v>
      </c>
    </row>
    <row r="4" spans="1:9" ht="30.75" customHeight="1" x14ac:dyDescent="0.2">
      <c r="A4" s="20" t="s">
        <v>39</v>
      </c>
      <c r="C4" s="19">
        <v>3</v>
      </c>
    </row>
    <row r="5" spans="1:9" x14ac:dyDescent="0.2">
      <c r="A5" t="s">
        <v>48</v>
      </c>
      <c r="C5">
        <v>1</v>
      </c>
    </row>
    <row r="6" spans="1:9" x14ac:dyDescent="0.2">
      <c r="A6" t="s">
        <v>52</v>
      </c>
      <c r="C6">
        <v>4</v>
      </c>
    </row>
    <row r="8" spans="1:9" ht="16" thickBot="1" x14ac:dyDescent="0.25">
      <c r="A8" s="33" t="s">
        <v>31</v>
      </c>
      <c r="B8" s="34" t="s">
        <v>54</v>
      </c>
      <c r="C8" s="44" t="s">
        <v>55</v>
      </c>
      <c r="D8" s="34" t="s">
        <v>30</v>
      </c>
      <c r="E8" s="44" t="s">
        <v>34</v>
      </c>
      <c r="F8" s="44" t="s">
        <v>35</v>
      </c>
      <c r="G8" s="33"/>
      <c r="H8" s="34" t="s">
        <v>33</v>
      </c>
    </row>
    <row r="9" spans="1:9" ht="16" thickTop="1" x14ac:dyDescent="0.2">
      <c r="A9" t="s">
        <v>26</v>
      </c>
      <c r="B9">
        <v>38.398000000000003</v>
      </c>
      <c r="C9">
        <v>615.26</v>
      </c>
      <c r="D9" s="18">
        <v>3688.1</v>
      </c>
      <c r="E9" s="18">
        <v>9654.5</v>
      </c>
      <c r="F9" s="18">
        <v>10259</v>
      </c>
      <c r="H9" s="19">
        <f>B9*($E$2)^4-C9*($E$2)^3+D9*($E$2)^2-E9*($E$2)+F9</f>
        <v>986.61800000000221</v>
      </c>
    </row>
    <row r="10" spans="1:9" x14ac:dyDescent="0.2">
      <c r="A10" t="s">
        <v>27</v>
      </c>
      <c r="B10">
        <v>27.390999999999998</v>
      </c>
      <c r="C10">
        <v>449.48</v>
      </c>
      <c r="D10" s="18">
        <v>2830.6</v>
      </c>
      <c r="E10" s="18">
        <v>7969.2</v>
      </c>
      <c r="F10" s="18">
        <v>9509.6</v>
      </c>
      <c r="H10" s="19">
        <f>B10*($E$2)^4-C10*($E$2)^3+D10*($E$2)^2-E10*($E$2)+F10</f>
        <v>1160.110999999999</v>
      </c>
      <c r="I10" s="18"/>
    </row>
    <row r="11" spans="1:9" x14ac:dyDescent="0.2">
      <c r="A11" t="s">
        <v>28</v>
      </c>
      <c r="B11">
        <v>35.668999999999997</v>
      </c>
      <c r="C11">
        <v>560.16</v>
      </c>
      <c r="D11" s="18">
        <v>3267</v>
      </c>
      <c r="E11" s="18">
        <v>8295.7000000000007</v>
      </c>
      <c r="F11" s="18">
        <v>8859.7000000000007</v>
      </c>
      <c r="H11" s="19">
        <f>B11*($E$2)^4-C11*($E$2)^3+D11*($E$2)^2-E11*($E$2)+F11</f>
        <v>1140.4689999999973</v>
      </c>
    </row>
    <row r="12" spans="1:9" ht="16" thickBot="1" x14ac:dyDescent="0.25">
      <c r="A12" s="45" t="s">
        <v>29</v>
      </c>
      <c r="B12" s="45">
        <v>32.811</v>
      </c>
      <c r="C12" s="45">
        <v>542.01</v>
      </c>
      <c r="D12" s="46">
        <v>3268.2</v>
      </c>
      <c r="E12" s="46">
        <v>8304.2999999999993</v>
      </c>
      <c r="F12" s="46">
        <v>8324</v>
      </c>
      <c r="G12" s="45"/>
      <c r="H12" s="47">
        <f>B12*($E$2)^4-C12*($E$2)^3+D12*($E$2)^2-E12*($E$2)+F12</f>
        <v>848.32099999999991</v>
      </c>
    </row>
    <row r="13" spans="1:9" x14ac:dyDescent="0.2">
      <c r="D13" s="40"/>
      <c r="E13" s="40"/>
      <c r="F13" s="40"/>
      <c r="G13" t="s">
        <v>36</v>
      </c>
      <c r="H13" s="19">
        <f>AVERAGE(H9:H12)</f>
        <v>1033.8797499999996</v>
      </c>
    </row>
    <row r="14" spans="1:9" x14ac:dyDescent="0.2">
      <c r="D14" s="40"/>
      <c r="E14" s="40"/>
      <c r="F14" s="40"/>
      <c r="G14" t="s">
        <v>37</v>
      </c>
      <c r="H14" s="19">
        <f>STDEV(H9:H12)</f>
        <v>146.01520401057414</v>
      </c>
    </row>
    <row r="15" spans="1:9" x14ac:dyDescent="0.2">
      <c r="D15" s="40"/>
      <c r="E15" s="40"/>
      <c r="F15" s="40"/>
      <c r="H15" s="19"/>
    </row>
    <row r="16" spans="1:9" ht="16" thickBot="1" x14ac:dyDescent="0.25">
      <c r="A16" s="48" t="s">
        <v>59</v>
      </c>
      <c r="B16" s="48">
        <v>18.53</v>
      </c>
      <c r="C16" s="48">
        <v>299.14999999999998</v>
      </c>
      <c r="D16" s="49">
        <v>1783.1</v>
      </c>
      <c r="E16" s="49">
        <v>4596.6000000000004</v>
      </c>
      <c r="F16" s="49">
        <v>4860.2</v>
      </c>
      <c r="G16" s="48"/>
      <c r="H16" s="50">
        <f>B16*($E$2)^4-C16*($E$2)^3+D16*($E$2)^2-E16*($E$2)+F16</f>
        <v>542.17999999999938</v>
      </c>
    </row>
    <row r="17" spans="1:6" ht="16" thickBot="1" x14ac:dyDescent="0.25"/>
    <row r="18" spans="1:6" x14ac:dyDescent="0.2">
      <c r="A18" s="18" t="s">
        <v>58</v>
      </c>
      <c r="B18" s="18" t="s">
        <v>49</v>
      </c>
      <c r="C18" s="18" t="s">
        <v>50</v>
      </c>
      <c r="D18" s="18" t="s">
        <v>51</v>
      </c>
      <c r="E18" s="18" t="s">
        <v>53</v>
      </c>
      <c r="F18" s="30" t="s">
        <v>61</v>
      </c>
    </row>
    <row r="19" spans="1:6" ht="16" thickBot="1" x14ac:dyDescent="0.25">
      <c r="A19" s="25">
        <f>H13</f>
        <v>1033.8797499999996</v>
      </c>
      <c r="B19" s="25">
        <f>IF(AND(OR(E2=1,E2=7),OR(C3=1,C3=2)),-2*H14,(IF(AND(OR(C3=5,C3=4),C6=2),3*H14,IF(C3=4,H14,IF(C3=1,-2*H14,IF(C3=2,-H14,0))))))</f>
        <v>146.01520401057414</v>
      </c>
      <c r="C19" s="29">
        <f>IF(AND(OR(E2=1,E2=7),OR(C4=1,C4=2)),-2*H14,(IF(C4=4,H14,IF(C4=5,2*H14,IF(C4&lt;3,-H14,0)))))</f>
        <v>0</v>
      </c>
      <c r="D19" s="29">
        <f>IF(AND(OR(E2=1,E2=7),C5=1),-H14,IF(C5=4,2*H14,IF(C5&lt;3,0,H14)))</f>
        <v>0</v>
      </c>
      <c r="E19" s="25">
        <f>IF(AND(OR(E2=1,E2=7),OR(C6=1,C6=4)),-H14,IF(C6=3,H14,IF(C6=2,3*H14,-H14)))</f>
        <v>-146.01520401057414</v>
      </c>
      <c r="F19" s="31">
        <f>A19+B19+C19+D19+E19</f>
        <v>1033.8797499999996</v>
      </c>
    </row>
    <row r="20" spans="1:6" ht="16" thickBot="1" x14ac:dyDescent="0.25"/>
    <row r="21" spans="1:6" ht="16" thickBot="1" x14ac:dyDescent="0.25">
      <c r="F21" s="30" t="s">
        <v>60</v>
      </c>
    </row>
    <row r="22" spans="1:6" ht="16" thickBot="1" x14ac:dyDescent="0.25">
      <c r="E22" s="43" t="s">
        <v>142</v>
      </c>
      <c r="F22" s="41">
        <f>H16</f>
        <v>542.17999999999938</v>
      </c>
    </row>
    <row r="23" spans="1:6" ht="16" thickBot="1" x14ac:dyDescent="0.25">
      <c r="E23" s="43" t="s">
        <v>132</v>
      </c>
      <c r="F23" s="41">
        <f>0.3979*F19+137.49</f>
        <v>548.87075252499983</v>
      </c>
    </row>
    <row r="27" spans="1:6" x14ac:dyDescent="0.2">
      <c r="E27" s="42"/>
    </row>
    <row r="28" spans="1:6" x14ac:dyDescent="0.2">
      <c r="A28" s="24" t="s">
        <v>40</v>
      </c>
      <c r="B28" s="23"/>
      <c r="C28" s="23"/>
      <c r="D28" s="23"/>
    </row>
    <row r="29" spans="1:6" x14ac:dyDescent="0.2">
      <c r="A29" s="21" t="s">
        <v>41</v>
      </c>
      <c r="B29" t="s">
        <v>146</v>
      </c>
    </row>
    <row r="30" spans="1:6" x14ac:dyDescent="0.2">
      <c r="A30" t="s">
        <v>43</v>
      </c>
    </row>
    <row r="31" spans="1:6" x14ac:dyDescent="0.2">
      <c r="A31" t="s">
        <v>44</v>
      </c>
    </row>
    <row r="32" spans="1:6" x14ac:dyDescent="0.2">
      <c r="A32" t="s">
        <v>42</v>
      </c>
    </row>
    <row r="33" spans="1:2" x14ac:dyDescent="0.2">
      <c r="A33" t="s">
        <v>143</v>
      </c>
    </row>
    <row r="34" spans="1:2" x14ac:dyDescent="0.2">
      <c r="A34" t="s">
        <v>144</v>
      </c>
    </row>
    <row r="35" spans="1:2" x14ac:dyDescent="0.2">
      <c r="A35" t="s">
        <v>145</v>
      </c>
    </row>
    <row r="36" spans="1:2" x14ac:dyDescent="0.2">
      <c r="A36" t="s">
        <v>147</v>
      </c>
    </row>
    <row r="37" spans="1:2" x14ac:dyDescent="0.2">
      <c r="A37" t="s">
        <v>151</v>
      </c>
    </row>
    <row r="39" spans="1:2" x14ac:dyDescent="0.2">
      <c r="A39" s="22">
        <v>43193</v>
      </c>
      <c r="B39" t="s">
        <v>137</v>
      </c>
    </row>
    <row r="40" spans="1:2" x14ac:dyDescent="0.2">
      <c r="A40" t="s">
        <v>47</v>
      </c>
    </row>
    <row r="41" spans="1:2" x14ac:dyDescent="0.2">
      <c r="A41" t="s">
        <v>46</v>
      </c>
    </row>
    <row r="42" spans="1:2" x14ac:dyDescent="0.2">
      <c r="A42" t="s">
        <v>133</v>
      </c>
    </row>
    <row r="43" spans="1:2" x14ac:dyDescent="0.2">
      <c r="A43" t="s">
        <v>135</v>
      </c>
    </row>
    <row r="44" spans="1:2" x14ac:dyDescent="0.2">
      <c r="A44" t="s">
        <v>134</v>
      </c>
    </row>
    <row r="45" spans="1:2" x14ac:dyDescent="0.2">
      <c r="A45" t="s">
        <v>136</v>
      </c>
    </row>
    <row r="46" spans="1:2" x14ac:dyDescent="0.2">
      <c r="A46" t="s">
        <v>138</v>
      </c>
    </row>
    <row r="48" spans="1:2" x14ac:dyDescent="0.2">
      <c r="A48" s="22">
        <v>43154</v>
      </c>
      <c r="B48" t="s">
        <v>141</v>
      </c>
    </row>
    <row r="49" spans="1:1" x14ac:dyDescent="0.2">
      <c r="A49" t="s">
        <v>57</v>
      </c>
    </row>
    <row r="50" spans="1:1" x14ac:dyDescent="0.2">
      <c r="A50" t="s">
        <v>56</v>
      </c>
    </row>
    <row r="51" spans="1:1" x14ac:dyDescent="0.2">
      <c r="A51" t="s">
        <v>42</v>
      </c>
    </row>
    <row r="52" spans="1:1" x14ac:dyDescent="0.2">
      <c r="A52" t="s">
        <v>139</v>
      </c>
    </row>
    <row r="53" spans="1:1" x14ac:dyDescent="0.2">
      <c r="A53" t="s">
        <v>140</v>
      </c>
    </row>
    <row r="54" spans="1:1" ht="16" x14ac:dyDescent="0.2">
      <c r="A54" s="51" t="s">
        <v>150</v>
      </c>
    </row>
    <row r="55" spans="1:1" ht="16" x14ac:dyDescent="0.2">
      <c r="A55" s="51" t="s">
        <v>149</v>
      </c>
    </row>
    <row r="56" spans="1:1" ht="16" x14ac:dyDescent="0.2">
      <c r="A56" s="51" t="s">
        <v>148</v>
      </c>
    </row>
  </sheetData>
  <conditionalFormatting sqref="E2">
    <cfRule type="expression" dxfId="12" priority="1">
      <formula>AND(WEEKDAY($C$2,1)&lt;6,WEEKDAY($C$2,1)&gt;1,$E$2=6)</formula>
    </cfRule>
  </conditionalFormatting>
  <pageMargins left="0.7" right="0.7" top="0.75" bottom="0.75" header="0.3" footer="0.3"/>
  <pageSetup orientation="portrait" horizontalDpi="300"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E33"/>
  <sheetViews>
    <sheetView tabSelected="1" workbookViewId="0">
      <selection activeCell="C8" sqref="C8"/>
    </sheetView>
  </sheetViews>
  <sheetFormatPr baseColWidth="10" defaultColWidth="8.83203125" defaultRowHeight="15" x14ac:dyDescent="0.2"/>
  <cols>
    <col min="1" max="1" width="18.6640625" bestFit="1" customWidth="1"/>
    <col min="2" max="2" width="25.6640625" customWidth="1"/>
    <col min="3" max="4" width="19.33203125" customWidth="1"/>
    <col min="5" max="5" width="31.6640625" customWidth="1"/>
  </cols>
  <sheetData>
    <row r="2" spans="1:5" x14ac:dyDescent="0.2">
      <c r="A2" s="52" t="s">
        <v>82</v>
      </c>
      <c r="B2" s="52"/>
      <c r="C2" s="52"/>
      <c r="D2" s="52"/>
      <c r="E2" s="53"/>
    </row>
    <row r="3" spans="1:5" x14ac:dyDescent="0.2">
      <c r="A3" t="s">
        <v>66</v>
      </c>
      <c r="B3" t="s">
        <v>68</v>
      </c>
      <c r="C3" t="s">
        <v>73</v>
      </c>
      <c r="D3" t="s">
        <v>75</v>
      </c>
      <c r="E3" t="s">
        <v>112</v>
      </c>
    </row>
    <row r="4" spans="1:5" x14ac:dyDescent="0.2">
      <c r="A4" t="s">
        <v>62</v>
      </c>
      <c r="B4" t="s">
        <v>69</v>
      </c>
      <c r="C4" t="s">
        <v>64</v>
      </c>
      <c r="D4" t="s">
        <v>81</v>
      </c>
      <c r="E4" t="s">
        <v>108</v>
      </c>
    </row>
    <row r="5" spans="1:5" x14ac:dyDescent="0.2">
      <c r="A5" t="s">
        <v>63</v>
      </c>
      <c r="B5" t="s">
        <v>70</v>
      </c>
      <c r="C5" t="s">
        <v>65</v>
      </c>
      <c r="D5" t="s">
        <v>78</v>
      </c>
      <c r="E5" t="s">
        <v>109</v>
      </c>
    </row>
    <row r="6" spans="1:5" x14ac:dyDescent="0.2">
      <c r="A6" t="s">
        <v>67</v>
      </c>
      <c r="B6" t="s">
        <v>71</v>
      </c>
      <c r="C6" t="s">
        <v>74</v>
      </c>
      <c r="D6" t="s">
        <v>79</v>
      </c>
    </row>
    <row r="7" spans="1:5" x14ac:dyDescent="0.2">
      <c r="B7" t="s">
        <v>72</v>
      </c>
      <c r="C7" t="s">
        <v>77</v>
      </c>
      <c r="D7" t="s">
        <v>80</v>
      </c>
    </row>
    <row r="8" spans="1:5" x14ac:dyDescent="0.2">
      <c r="B8" t="s">
        <v>76</v>
      </c>
    </row>
    <row r="11" spans="1:5" x14ac:dyDescent="0.2">
      <c r="A11" s="52" t="s">
        <v>100</v>
      </c>
      <c r="B11" s="52"/>
      <c r="C11" s="52"/>
      <c r="D11" s="52"/>
    </row>
    <row r="12" spans="1:5" x14ac:dyDescent="0.2">
      <c r="A12" t="s">
        <v>98</v>
      </c>
      <c r="B12" t="s">
        <v>84</v>
      </c>
      <c r="C12" t="s">
        <v>90</v>
      </c>
      <c r="D12" t="s">
        <v>95</v>
      </c>
    </row>
    <row r="13" spans="1:5" x14ac:dyDescent="0.2">
      <c r="A13" t="s">
        <v>85</v>
      </c>
      <c r="B13" t="s">
        <v>77</v>
      </c>
      <c r="C13" t="s">
        <v>83</v>
      </c>
      <c r="D13" t="s">
        <v>92</v>
      </c>
    </row>
    <row r="14" spans="1:5" x14ac:dyDescent="0.2">
      <c r="A14" t="s">
        <v>86</v>
      </c>
      <c r="B14" t="s">
        <v>85</v>
      </c>
      <c r="C14" t="s">
        <v>91</v>
      </c>
      <c r="D14" t="s">
        <v>93</v>
      </c>
    </row>
    <row r="15" spans="1:5" x14ac:dyDescent="0.2">
      <c r="A15" t="s">
        <v>87</v>
      </c>
      <c r="B15" t="s">
        <v>86</v>
      </c>
      <c r="C15" t="s">
        <v>101</v>
      </c>
      <c r="D15" t="s">
        <v>94</v>
      </c>
    </row>
    <row r="16" spans="1:5" x14ac:dyDescent="0.2">
      <c r="A16" t="s">
        <v>88</v>
      </c>
      <c r="B16" t="s">
        <v>87</v>
      </c>
      <c r="C16" t="s">
        <v>96</v>
      </c>
      <c r="D16" t="s">
        <v>96</v>
      </c>
    </row>
    <row r="17" spans="1:4" x14ac:dyDescent="0.2">
      <c r="A17" t="s">
        <v>99</v>
      </c>
      <c r="B17" t="s">
        <v>88</v>
      </c>
      <c r="C17" t="s">
        <v>97</v>
      </c>
      <c r="D17" t="s">
        <v>97</v>
      </c>
    </row>
    <row r="18" spans="1:4" x14ac:dyDescent="0.2">
      <c r="B18" t="s">
        <v>89</v>
      </c>
    </row>
    <row r="20" spans="1:4" x14ac:dyDescent="0.2">
      <c r="A20" t="s">
        <v>131</v>
      </c>
    </row>
    <row r="21" spans="1:4" x14ac:dyDescent="0.2">
      <c r="A21" t="s">
        <v>102</v>
      </c>
      <c r="C21" t="s">
        <v>107</v>
      </c>
    </row>
    <row r="22" spans="1:4" x14ac:dyDescent="0.2">
      <c r="A22" t="s">
        <v>103</v>
      </c>
      <c r="C22" t="s">
        <v>108</v>
      </c>
    </row>
    <row r="23" spans="1:4" x14ac:dyDescent="0.2">
      <c r="A23" t="s">
        <v>104</v>
      </c>
      <c r="C23" t="s">
        <v>109</v>
      </c>
    </row>
    <row r="24" spans="1:4" x14ac:dyDescent="0.2">
      <c r="A24" t="s">
        <v>105</v>
      </c>
      <c r="C24" t="s">
        <v>110</v>
      </c>
    </row>
    <row r="25" spans="1:4" x14ac:dyDescent="0.2">
      <c r="A25" t="s">
        <v>106</v>
      </c>
      <c r="C25" t="s">
        <v>111</v>
      </c>
    </row>
    <row r="27" spans="1:4" x14ac:dyDescent="0.2">
      <c r="A27" s="52" t="s">
        <v>121</v>
      </c>
      <c r="B27" s="52"/>
      <c r="C27" s="52"/>
      <c r="D27" s="52"/>
    </row>
    <row r="28" spans="1:4" x14ac:dyDescent="0.2">
      <c r="A28" s="38" t="s">
        <v>113</v>
      </c>
      <c r="B28" s="38" t="s">
        <v>117</v>
      </c>
      <c r="C28" s="38" t="s">
        <v>123</v>
      </c>
      <c r="D28" s="38" t="s">
        <v>129</v>
      </c>
    </row>
    <row r="29" spans="1:4" x14ac:dyDescent="0.2">
      <c r="A29" s="36" t="s">
        <v>114</v>
      </c>
      <c r="B29" s="36" t="s">
        <v>118</v>
      </c>
      <c r="C29" t="s">
        <v>124</v>
      </c>
      <c r="D29" t="s">
        <v>108</v>
      </c>
    </row>
    <row r="30" spans="1:4" x14ac:dyDescent="0.2">
      <c r="A30" s="37" t="s">
        <v>115</v>
      </c>
      <c r="B30" s="37" t="s">
        <v>122</v>
      </c>
      <c r="C30" t="s">
        <v>125</v>
      </c>
      <c r="D30" t="s">
        <v>109</v>
      </c>
    </row>
    <row r="31" spans="1:4" x14ac:dyDescent="0.2">
      <c r="A31" s="36" t="s">
        <v>116</v>
      </c>
      <c r="B31" s="36" t="s">
        <v>119</v>
      </c>
      <c r="C31" t="s">
        <v>126</v>
      </c>
      <c r="D31" t="s">
        <v>130</v>
      </c>
    </row>
    <row r="32" spans="1:4" x14ac:dyDescent="0.2">
      <c r="A32" s="39" t="s">
        <v>97</v>
      </c>
      <c r="B32" s="39" t="s">
        <v>120</v>
      </c>
      <c r="C32" t="s">
        <v>127</v>
      </c>
    </row>
    <row r="33" spans="3:3" ht="32" x14ac:dyDescent="0.2">
      <c r="C33" s="20" t="s">
        <v>128</v>
      </c>
    </row>
  </sheetData>
  <mergeCells count="3">
    <mergeCell ref="A11:D11"/>
    <mergeCell ref="A27:D27"/>
    <mergeCell ref="A2:E2"/>
  </mergeCells>
  <pageMargins left="0.7" right="0.7" top="0.75" bottom="0.75" header="0.3" footer="0.3"/>
  <pageSetup orientation="portrait" horizontalDpi="0" verticalDpi="0" r:id="rId1"/>
  <tableParts count="15">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60"/>
  <sheetViews>
    <sheetView workbookViewId="0">
      <selection activeCell="J4" sqref="J4"/>
    </sheetView>
  </sheetViews>
  <sheetFormatPr baseColWidth="10" defaultColWidth="8.83203125" defaultRowHeight="15" x14ac:dyDescent="0.2"/>
  <cols>
    <col min="1" max="1" width="12.1640625" bestFit="1" customWidth="1"/>
    <col min="2" max="2" width="11.5" bestFit="1" customWidth="1"/>
    <col min="8" max="8" width="13.1640625" customWidth="1"/>
    <col min="9" max="9" width="30.1640625" bestFit="1" customWidth="1"/>
  </cols>
  <sheetData>
    <row r="1" spans="1:9" ht="46" x14ac:dyDescent="0.2">
      <c r="A1" s="1" t="s">
        <v>0</v>
      </c>
      <c r="B1" s="1" t="s">
        <v>13</v>
      </c>
      <c r="C1" s="2" t="s">
        <v>1</v>
      </c>
      <c r="D1" s="2" t="s">
        <v>2</v>
      </c>
      <c r="E1" s="2" t="s">
        <v>3</v>
      </c>
      <c r="F1" s="2" t="s">
        <v>12</v>
      </c>
    </row>
    <row r="2" spans="1:9" x14ac:dyDescent="0.2">
      <c r="A2" s="3">
        <v>43054</v>
      </c>
      <c r="B2" s="3" t="s">
        <v>9</v>
      </c>
      <c r="C2" s="4">
        <v>304</v>
      </c>
      <c r="D2" s="4">
        <v>0</v>
      </c>
      <c r="E2" s="4">
        <v>293</v>
      </c>
      <c r="F2" s="4">
        <f t="shared" ref="F2" si="0">SUM(C2:E2)</f>
        <v>597</v>
      </c>
    </row>
    <row r="3" spans="1:9" x14ac:dyDescent="0.2">
      <c r="A3" s="3">
        <v>43055</v>
      </c>
      <c r="B3" s="3" t="s">
        <v>10</v>
      </c>
      <c r="C3" s="4">
        <v>214</v>
      </c>
      <c r="D3" s="4">
        <v>0</v>
      </c>
      <c r="E3" s="4">
        <v>286</v>
      </c>
      <c r="F3" s="4">
        <f t="shared" ref="F3:F25" si="1">SUM(C3:E3)</f>
        <v>500</v>
      </c>
    </row>
    <row r="4" spans="1:9" x14ac:dyDescent="0.2">
      <c r="A4" s="3">
        <v>43056</v>
      </c>
      <c r="B4" s="3" t="s">
        <v>4</v>
      </c>
      <c r="C4" s="4">
        <v>732</v>
      </c>
      <c r="D4" s="4">
        <v>0</v>
      </c>
      <c r="E4" s="4">
        <v>648</v>
      </c>
      <c r="F4" s="4">
        <f t="shared" si="1"/>
        <v>1380</v>
      </c>
    </row>
    <row r="5" spans="1:9" x14ac:dyDescent="0.2">
      <c r="A5" s="3">
        <v>43057</v>
      </c>
      <c r="B5" s="3" t="s">
        <v>5</v>
      </c>
      <c r="C5" s="4">
        <v>2246</v>
      </c>
      <c r="D5" s="4">
        <v>213</v>
      </c>
      <c r="E5" s="4">
        <v>1191</v>
      </c>
      <c r="F5" s="4">
        <f t="shared" si="1"/>
        <v>3650</v>
      </c>
    </row>
    <row r="6" spans="1:9" x14ac:dyDescent="0.2">
      <c r="A6" s="3">
        <v>43058</v>
      </c>
      <c r="B6" s="3" t="s">
        <v>6</v>
      </c>
      <c r="C6" s="4">
        <v>2139</v>
      </c>
      <c r="D6" s="4">
        <v>33</v>
      </c>
      <c r="E6" s="4">
        <v>1076</v>
      </c>
      <c r="F6" s="4">
        <f t="shared" si="1"/>
        <v>3248</v>
      </c>
    </row>
    <row r="7" spans="1:9" x14ac:dyDescent="0.2">
      <c r="A7" s="3">
        <v>43059</v>
      </c>
      <c r="B7" s="3" t="s">
        <v>7</v>
      </c>
      <c r="C7" s="4">
        <v>395</v>
      </c>
      <c r="D7" s="4">
        <v>0</v>
      </c>
      <c r="E7" s="4">
        <v>275</v>
      </c>
      <c r="F7" s="4">
        <f t="shared" si="1"/>
        <v>670</v>
      </c>
      <c r="H7" s="6" t="s">
        <v>14</v>
      </c>
      <c r="I7" t="s">
        <v>22</v>
      </c>
    </row>
    <row r="8" spans="1:9" x14ac:dyDescent="0.2">
      <c r="A8" s="3">
        <v>43060</v>
      </c>
      <c r="B8" s="3" t="s">
        <v>8</v>
      </c>
      <c r="C8" s="4">
        <v>92</v>
      </c>
      <c r="D8" s="4">
        <v>0</v>
      </c>
      <c r="E8" s="4">
        <v>8</v>
      </c>
      <c r="F8" s="4">
        <f t="shared" si="1"/>
        <v>100</v>
      </c>
      <c r="H8" s="7" t="s">
        <v>6</v>
      </c>
      <c r="I8" s="8">
        <v>3713.1304347826085</v>
      </c>
    </row>
    <row r="9" spans="1:9" x14ac:dyDescent="0.2">
      <c r="A9" s="3">
        <v>43061</v>
      </c>
      <c r="B9" s="3" t="s">
        <v>9</v>
      </c>
      <c r="C9" s="4">
        <v>117</v>
      </c>
      <c r="D9" s="4">
        <v>0</v>
      </c>
      <c r="E9" s="4">
        <v>14</v>
      </c>
      <c r="F9" s="4">
        <f t="shared" si="1"/>
        <v>131</v>
      </c>
      <c r="H9" s="7" t="s">
        <v>7</v>
      </c>
      <c r="I9" s="8">
        <v>1413.3181818181818</v>
      </c>
    </row>
    <row r="10" spans="1:9" x14ac:dyDescent="0.2">
      <c r="A10" s="3">
        <v>43062</v>
      </c>
      <c r="B10" s="3" t="s">
        <v>10</v>
      </c>
      <c r="C10" s="4">
        <v>163</v>
      </c>
      <c r="D10" s="4">
        <v>0</v>
      </c>
      <c r="E10" s="4">
        <v>18</v>
      </c>
      <c r="F10" s="4">
        <f t="shared" si="1"/>
        <v>181</v>
      </c>
      <c r="H10" s="7" t="s">
        <v>8</v>
      </c>
      <c r="I10" s="8">
        <v>936.68181818181813</v>
      </c>
    </row>
    <row r="11" spans="1:9" x14ac:dyDescent="0.2">
      <c r="A11" s="3">
        <v>43063</v>
      </c>
      <c r="B11" s="3" t="s">
        <v>4</v>
      </c>
      <c r="C11" s="4">
        <v>1120</v>
      </c>
      <c r="D11" s="4">
        <v>321</v>
      </c>
      <c r="E11" s="4">
        <v>304</v>
      </c>
      <c r="F11" s="4">
        <f t="shared" si="1"/>
        <v>1745</v>
      </c>
      <c r="H11" s="7" t="s">
        <v>9</v>
      </c>
      <c r="I11" s="8">
        <v>1176.9565217391305</v>
      </c>
    </row>
    <row r="12" spans="1:9" x14ac:dyDescent="0.2">
      <c r="A12" s="3">
        <v>43064</v>
      </c>
      <c r="B12" s="3" t="s">
        <v>5</v>
      </c>
      <c r="C12" s="4">
        <v>1132</v>
      </c>
      <c r="D12" s="4">
        <v>144</v>
      </c>
      <c r="E12" s="4">
        <v>344</v>
      </c>
      <c r="F12" s="4">
        <f t="shared" si="1"/>
        <v>1620</v>
      </c>
      <c r="H12" s="7" t="s">
        <v>10</v>
      </c>
      <c r="I12" s="8">
        <v>1222.4782608695652</v>
      </c>
    </row>
    <row r="13" spans="1:9" x14ac:dyDescent="0.2">
      <c r="A13" s="3">
        <v>43065</v>
      </c>
      <c r="B13" s="3" t="s">
        <v>6</v>
      </c>
      <c r="C13" s="4">
        <v>258</v>
      </c>
      <c r="D13" s="4">
        <v>0</v>
      </c>
      <c r="E13" s="4">
        <v>304</v>
      </c>
      <c r="F13" s="4">
        <f t="shared" si="1"/>
        <v>562</v>
      </c>
      <c r="H13" s="7" t="s">
        <v>4</v>
      </c>
      <c r="I13" s="8">
        <v>1997.8695652173913</v>
      </c>
    </row>
    <row r="14" spans="1:9" x14ac:dyDescent="0.2">
      <c r="A14" s="3">
        <v>43066</v>
      </c>
      <c r="B14" s="3" t="s">
        <v>7</v>
      </c>
      <c r="C14" s="4">
        <v>80</v>
      </c>
      <c r="D14" s="4">
        <v>34</v>
      </c>
      <c r="E14" s="4">
        <v>69</v>
      </c>
      <c r="F14" s="4">
        <f t="shared" si="1"/>
        <v>183</v>
      </c>
      <c r="H14" s="7" t="s">
        <v>5</v>
      </c>
      <c r="I14" s="8">
        <v>4551.739130434783</v>
      </c>
    </row>
    <row r="15" spans="1:9" x14ac:dyDescent="0.2">
      <c r="A15" s="3">
        <v>43067</v>
      </c>
      <c r="B15" s="3" t="s">
        <v>8</v>
      </c>
      <c r="C15" s="4">
        <v>60</v>
      </c>
      <c r="D15" s="4">
        <v>16</v>
      </c>
      <c r="E15" s="4">
        <v>97</v>
      </c>
      <c r="F15" s="4">
        <f t="shared" si="1"/>
        <v>173</v>
      </c>
      <c r="H15" s="7" t="s">
        <v>15</v>
      </c>
      <c r="I15" s="8">
        <v>2156.7924528301887</v>
      </c>
    </row>
    <row r="16" spans="1:9" x14ac:dyDescent="0.2">
      <c r="A16" s="3">
        <v>43068</v>
      </c>
      <c r="B16" s="3" t="s">
        <v>9</v>
      </c>
      <c r="C16" s="4">
        <v>207</v>
      </c>
      <c r="D16" s="4">
        <v>22</v>
      </c>
      <c r="E16" s="4">
        <v>312</v>
      </c>
      <c r="F16" s="4">
        <f t="shared" si="1"/>
        <v>541</v>
      </c>
    </row>
    <row r="17" spans="1:6" x14ac:dyDescent="0.2">
      <c r="A17" s="3">
        <v>43069</v>
      </c>
      <c r="B17" s="3" t="s">
        <v>10</v>
      </c>
      <c r="C17" s="4">
        <v>158</v>
      </c>
      <c r="D17" s="4">
        <v>26</v>
      </c>
      <c r="E17" s="4">
        <v>194</v>
      </c>
      <c r="F17" s="4">
        <f t="shared" si="1"/>
        <v>378</v>
      </c>
    </row>
    <row r="18" spans="1:6" x14ac:dyDescent="0.2">
      <c r="A18" s="3">
        <v>43070</v>
      </c>
      <c r="B18" s="3" t="s">
        <v>4</v>
      </c>
      <c r="C18" s="4">
        <v>357</v>
      </c>
      <c r="D18" s="4">
        <v>48</v>
      </c>
      <c r="E18" s="4">
        <v>343</v>
      </c>
      <c r="F18" s="4">
        <f t="shared" si="1"/>
        <v>748</v>
      </c>
    </row>
    <row r="19" spans="1:6" x14ac:dyDescent="0.2">
      <c r="A19" s="3">
        <v>43071</v>
      </c>
      <c r="B19" s="3" t="s">
        <v>5</v>
      </c>
      <c r="C19" s="4">
        <v>2169</v>
      </c>
      <c r="D19" s="4">
        <v>102</v>
      </c>
      <c r="E19" s="4">
        <v>1287</v>
      </c>
      <c r="F19" s="4">
        <f t="shared" si="1"/>
        <v>3558</v>
      </c>
    </row>
    <row r="20" spans="1:6" x14ac:dyDescent="0.2">
      <c r="A20" s="3">
        <v>43072</v>
      </c>
      <c r="B20" s="3" t="s">
        <v>6</v>
      </c>
      <c r="C20" s="4">
        <v>2687</v>
      </c>
      <c r="D20" s="4">
        <v>69</v>
      </c>
      <c r="E20" s="4">
        <v>1501</v>
      </c>
      <c r="F20" s="4">
        <f t="shared" si="1"/>
        <v>4257</v>
      </c>
    </row>
    <row r="21" spans="1:6" x14ac:dyDescent="0.2">
      <c r="A21" s="3">
        <v>43073</v>
      </c>
      <c r="B21" s="3" t="s">
        <v>7</v>
      </c>
      <c r="C21" s="4">
        <v>413</v>
      </c>
      <c r="D21" s="4">
        <v>42</v>
      </c>
      <c r="E21" s="4">
        <v>343</v>
      </c>
      <c r="F21" s="4">
        <f t="shared" si="1"/>
        <v>798</v>
      </c>
    </row>
    <row r="22" spans="1:6" x14ac:dyDescent="0.2">
      <c r="A22" s="3">
        <v>43074</v>
      </c>
      <c r="B22" s="3" t="s">
        <v>8</v>
      </c>
      <c r="C22" s="4">
        <v>368</v>
      </c>
      <c r="D22" s="4">
        <v>60</v>
      </c>
      <c r="E22" s="4">
        <v>286</v>
      </c>
      <c r="F22" s="4">
        <f t="shared" si="1"/>
        <v>714</v>
      </c>
    </row>
    <row r="23" spans="1:6" x14ac:dyDescent="0.2">
      <c r="A23" s="3">
        <v>43075</v>
      </c>
      <c r="B23" s="3" t="s">
        <v>9</v>
      </c>
      <c r="C23" s="4">
        <v>289</v>
      </c>
      <c r="D23" s="4">
        <v>57</v>
      </c>
      <c r="E23" s="4">
        <v>183</v>
      </c>
      <c r="F23" s="4">
        <f t="shared" si="1"/>
        <v>529</v>
      </c>
    </row>
    <row r="24" spans="1:6" x14ac:dyDescent="0.2">
      <c r="A24" s="3">
        <v>43076</v>
      </c>
      <c r="B24" s="3" t="s">
        <v>10</v>
      </c>
      <c r="C24" s="4">
        <v>314</v>
      </c>
      <c r="D24" s="4">
        <v>59</v>
      </c>
      <c r="E24" s="4">
        <v>241</v>
      </c>
      <c r="F24" s="4">
        <f t="shared" si="1"/>
        <v>614</v>
      </c>
    </row>
    <row r="25" spans="1:6" x14ac:dyDescent="0.2">
      <c r="A25" s="3">
        <v>43077</v>
      </c>
      <c r="B25" s="3" t="s">
        <v>4</v>
      </c>
      <c r="C25" s="4">
        <v>479</v>
      </c>
      <c r="D25" s="4">
        <v>62</v>
      </c>
      <c r="E25" s="4">
        <v>312</v>
      </c>
      <c r="F25" s="4">
        <f t="shared" si="1"/>
        <v>853</v>
      </c>
    </row>
    <row r="26" spans="1:6" x14ac:dyDescent="0.2">
      <c r="A26" s="3">
        <v>43078</v>
      </c>
      <c r="B26" s="3" t="s">
        <v>5</v>
      </c>
      <c r="C26" s="4">
        <v>1848</v>
      </c>
      <c r="D26" s="4">
        <v>357</v>
      </c>
      <c r="E26" s="4">
        <v>1016</v>
      </c>
      <c r="F26" s="4">
        <f t="shared" ref="F26:F76" si="2">SUM(C26:E26)</f>
        <v>3221</v>
      </c>
    </row>
    <row r="27" spans="1:6" x14ac:dyDescent="0.2">
      <c r="A27" s="3">
        <v>43079</v>
      </c>
      <c r="B27" s="3" t="s">
        <v>6</v>
      </c>
      <c r="C27" s="4">
        <v>1468</v>
      </c>
      <c r="D27" s="4">
        <v>244</v>
      </c>
      <c r="E27" s="4">
        <v>903</v>
      </c>
      <c r="F27" s="4">
        <f t="shared" si="2"/>
        <v>2615</v>
      </c>
    </row>
    <row r="28" spans="1:6" x14ac:dyDescent="0.2">
      <c r="A28" s="3">
        <v>43080</v>
      </c>
      <c r="B28" s="3" t="s">
        <v>7</v>
      </c>
      <c r="C28" s="4">
        <v>306</v>
      </c>
      <c r="D28" s="4">
        <v>95</v>
      </c>
      <c r="E28" s="4">
        <v>151</v>
      </c>
      <c r="F28" s="4">
        <f t="shared" si="2"/>
        <v>552</v>
      </c>
    </row>
    <row r="29" spans="1:6" x14ac:dyDescent="0.2">
      <c r="A29" s="3">
        <v>43081</v>
      </c>
      <c r="B29" s="3" t="s">
        <v>8</v>
      </c>
      <c r="C29" s="4">
        <v>178</v>
      </c>
      <c r="D29" s="4">
        <v>30</v>
      </c>
      <c r="E29" s="4">
        <v>151</v>
      </c>
      <c r="F29" s="4">
        <f t="shared" si="2"/>
        <v>359</v>
      </c>
    </row>
    <row r="30" spans="1:6" x14ac:dyDescent="0.2">
      <c r="A30" s="3">
        <v>43082</v>
      </c>
      <c r="B30" s="3" t="s">
        <v>9</v>
      </c>
      <c r="C30" s="4">
        <v>201</v>
      </c>
      <c r="D30" s="4">
        <v>56</v>
      </c>
      <c r="E30" s="4">
        <v>138</v>
      </c>
      <c r="F30" s="4">
        <f t="shared" si="2"/>
        <v>395</v>
      </c>
    </row>
    <row r="31" spans="1:6" x14ac:dyDescent="0.2">
      <c r="A31" s="3">
        <v>43083</v>
      </c>
      <c r="B31" s="3" t="s">
        <v>10</v>
      </c>
      <c r="C31" s="4">
        <v>208</v>
      </c>
      <c r="D31" s="4">
        <v>59</v>
      </c>
      <c r="E31" s="4">
        <v>121</v>
      </c>
      <c r="F31" s="4">
        <f t="shared" si="2"/>
        <v>388</v>
      </c>
    </row>
    <row r="32" spans="1:6" x14ac:dyDescent="0.2">
      <c r="A32" s="3">
        <v>43084</v>
      </c>
      <c r="B32" s="3" t="s">
        <v>4</v>
      </c>
      <c r="C32" s="4">
        <v>333</v>
      </c>
      <c r="D32" s="4">
        <v>39</v>
      </c>
      <c r="E32" s="4">
        <v>163</v>
      </c>
      <c r="F32" s="4">
        <f t="shared" si="2"/>
        <v>535</v>
      </c>
    </row>
    <row r="33" spans="1:6" x14ac:dyDescent="0.2">
      <c r="A33" s="3">
        <v>43085</v>
      </c>
      <c r="B33" s="3" t="s">
        <v>5</v>
      </c>
      <c r="C33" s="4">
        <v>2059</v>
      </c>
      <c r="D33" s="4">
        <v>209</v>
      </c>
      <c r="E33" s="4">
        <v>921</v>
      </c>
      <c r="F33" s="4">
        <f t="shared" si="2"/>
        <v>3189</v>
      </c>
    </row>
    <row r="34" spans="1:6" x14ac:dyDescent="0.2">
      <c r="A34" s="3">
        <v>43086</v>
      </c>
      <c r="B34" s="3" t="s">
        <v>6</v>
      </c>
      <c r="C34" s="4">
        <v>1315</v>
      </c>
      <c r="D34" s="4">
        <v>131</v>
      </c>
      <c r="E34" s="4">
        <v>761</v>
      </c>
      <c r="F34" s="4">
        <f t="shared" si="2"/>
        <v>2207</v>
      </c>
    </row>
    <row r="35" spans="1:6" x14ac:dyDescent="0.2">
      <c r="A35" s="3">
        <v>43087</v>
      </c>
      <c r="B35" s="3" t="s">
        <v>7</v>
      </c>
      <c r="C35" s="4">
        <v>825</v>
      </c>
      <c r="D35" s="4">
        <v>51</v>
      </c>
      <c r="E35" s="4">
        <v>217</v>
      </c>
      <c r="F35" s="4">
        <f t="shared" si="2"/>
        <v>1093</v>
      </c>
    </row>
    <row r="36" spans="1:6" x14ac:dyDescent="0.2">
      <c r="A36" s="3">
        <v>43088</v>
      </c>
      <c r="B36" s="3" t="s">
        <v>8</v>
      </c>
      <c r="C36" s="4">
        <v>742</v>
      </c>
      <c r="D36" s="4">
        <v>0</v>
      </c>
      <c r="E36" s="4">
        <v>334</v>
      </c>
      <c r="F36" s="4">
        <f t="shared" si="2"/>
        <v>1076</v>
      </c>
    </row>
    <row r="37" spans="1:6" x14ac:dyDescent="0.2">
      <c r="A37" s="3">
        <v>43089</v>
      </c>
      <c r="B37" s="3" t="s">
        <v>9</v>
      </c>
      <c r="C37" s="4">
        <v>2456</v>
      </c>
      <c r="D37" s="4">
        <v>54</v>
      </c>
      <c r="E37" s="4">
        <v>1217</v>
      </c>
      <c r="F37" s="4">
        <f t="shared" si="2"/>
        <v>3727</v>
      </c>
    </row>
    <row r="38" spans="1:6" x14ac:dyDescent="0.2">
      <c r="A38" s="3">
        <v>43090</v>
      </c>
      <c r="B38" s="3" t="s">
        <v>10</v>
      </c>
      <c r="C38" s="4">
        <v>2501</v>
      </c>
      <c r="D38" s="4">
        <v>178</v>
      </c>
      <c r="E38" s="4">
        <v>922</v>
      </c>
      <c r="F38" s="4">
        <f t="shared" si="2"/>
        <v>3601</v>
      </c>
    </row>
    <row r="39" spans="1:6" x14ac:dyDescent="0.2">
      <c r="A39" s="3">
        <v>43091</v>
      </c>
      <c r="B39" s="3" t="s">
        <v>4</v>
      </c>
      <c r="C39" s="4">
        <v>2655</v>
      </c>
      <c r="D39" s="4">
        <v>66</v>
      </c>
      <c r="E39" s="4">
        <v>975</v>
      </c>
      <c r="F39" s="4">
        <f t="shared" si="2"/>
        <v>3696</v>
      </c>
    </row>
    <row r="40" spans="1:6" x14ac:dyDescent="0.2">
      <c r="A40" s="3">
        <v>43092</v>
      </c>
      <c r="B40" s="3" t="s">
        <v>5</v>
      </c>
      <c r="C40" s="4">
        <v>3239</v>
      </c>
      <c r="D40" s="4">
        <v>621</v>
      </c>
      <c r="E40" s="4">
        <v>1355</v>
      </c>
      <c r="F40" s="4">
        <f t="shared" si="2"/>
        <v>5215</v>
      </c>
    </row>
    <row r="41" spans="1:6" x14ac:dyDescent="0.2">
      <c r="A41" s="3">
        <v>43093</v>
      </c>
      <c r="B41" s="3" t="s">
        <v>6</v>
      </c>
      <c r="C41" s="4">
        <v>1587</v>
      </c>
      <c r="D41" s="4">
        <v>235</v>
      </c>
      <c r="E41" s="4">
        <v>646</v>
      </c>
      <c r="F41" s="4">
        <f t="shared" si="2"/>
        <v>2468</v>
      </c>
    </row>
    <row r="42" spans="1:6" x14ac:dyDescent="0.2">
      <c r="A42" s="3">
        <v>43094</v>
      </c>
      <c r="B42" s="3" t="s">
        <v>7</v>
      </c>
      <c r="C42" s="4">
        <v>1840</v>
      </c>
      <c r="D42" s="4">
        <v>175</v>
      </c>
      <c r="E42" s="4">
        <v>596</v>
      </c>
      <c r="F42" s="4">
        <f t="shared" si="2"/>
        <v>2611</v>
      </c>
    </row>
    <row r="43" spans="1:6" x14ac:dyDescent="0.2">
      <c r="A43" s="3">
        <v>43095</v>
      </c>
      <c r="B43" s="3" t="s">
        <v>8</v>
      </c>
      <c r="C43" s="4">
        <v>3352</v>
      </c>
      <c r="D43" s="4">
        <v>402</v>
      </c>
      <c r="E43" s="4">
        <v>833</v>
      </c>
      <c r="F43" s="4">
        <f t="shared" si="2"/>
        <v>4587</v>
      </c>
    </row>
    <row r="44" spans="1:6" x14ac:dyDescent="0.2">
      <c r="A44" s="3">
        <v>43096</v>
      </c>
      <c r="B44" s="3" t="s">
        <v>9</v>
      </c>
      <c r="C44" s="4">
        <v>3732</v>
      </c>
      <c r="D44" s="4">
        <v>191</v>
      </c>
      <c r="E44" s="4">
        <v>1162</v>
      </c>
      <c r="F44" s="4">
        <f t="shared" si="2"/>
        <v>5085</v>
      </c>
    </row>
    <row r="45" spans="1:6" x14ac:dyDescent="0.2">
      <c r="A45" s="3">
        <v>43097</v>
      </c>
      <c r="B45" s="3" t="s">
        <v>10</v>
      </c>
      <c r="C45" s="4">
        <v>4014</v>
      </c>
      <c r="D45" s="4">
        <v>214</v>
      </c>
      <c r="E45" s="4">
        <v>1247</v>
      </c>
      <c r="F45" s="4">
        <f t="shared" si="2"/>
        <v>5475</v>
      </c>
    </row>
    <row r="46" spans="1:6" x14ac:dyDescent="0.2">
      <c r="A46" s="3">
        <v>43098</v>
      </c>
      <c r="B46" s="3" t="s">
        <v>4</v>
      </c>
      <c r="C46" s="4">
        <v>2534</v>
      </c>
      <c r="D46" s="4">
        <v>20</v>
      </c>
      <c r="E46" s="4">
        <v>985</v>
      </c>
      <c r="F46" s="4">
        <f t="shared" si="2"/>
        <v>3539</v>
      </c>
    </row>
    <row r="47" spans="1:6" x14ac:dyDescent="0.2">
      <c r="A47" s="3">
        <v>43099</v>
      </c>
      <c r="B47" s="3" t="s">
        <v>5</v>
      </c>
      <c r="C47" s="4">
        <v>4989</v>
      </c>
      <c r="D47" s="4">
        <v>335</v>
      </c>
      <c r="E47" s="4">
        <v>1764</v>
      </c>
      <c r="F47" s="4">
        <f t="shared" si="2"/>
        <v>7088</v>
      </c>
    </row>
    <row r="48" spans="1:6" x14ac:dyDescent="0.2">
      <c r="A48" s="3">
        <v>43100</v>
      </c>
      <c r="B48" s="3" t="s">
        <v>6</v>
      </c>
      <c r="C48" s="4">
        <v>5156</v>
      </c>
      <c r="D48" s="4">
        <v>479</v>
      </c>
      <c r="E48" s="4">
        <v>1671</v>
      </c>
      <c r="F48" s="4">
        <f t="shared" si="2"/>
        <v>7306</v>
      </c>
    </row>
    <row r="49" spans="1:6" x14ac:dyDescent="0.2">
      <c r="A49" s="3">
        <v>43101</v>
      </c>
      <c r="B49" s="3" t="s">
        <v>7</v>
      </c>
      <c r="C49" s="4">
        <v>2713</v>
      </c>
      <c r="D49" s="4">
        <v>356</v>
      </c>
      <c r="E49" s="4">
        <v>922</v>
      </c>
      <c r="F49" s="4">
        <f t="shared" si="2"/>
        <v>3991</v>
      </c>
    </row>
    <row r="50" spans="1:6" x14ac:dyDescent="0.2">
      <c r="A50" s="3">
        <v>43102</v>
      </c>
      <c r="B50" s="3" t="s">
        <v>8</v>
      </c>
      <c r="C50" s="4">
        <f>1138+12</f>
        <v>1150</v>
      </c>
      <c r="D50" s="4">
        <v>132</v>
      </c>
      <c r="E50" s="4">
        <v>310</v>
      </c>
      <c r="F50" s="4">
        <f t="shared" si="2"/>
        <v>1592</v>
      </c>
    </row>
    <row r="51" spans="1:6" x14ac:dyDescent="0.2">
      <c r="A51" s="3">
        <v>43103</v>
      </c>
      <c r="B51" s="3" t="s">
        <v>9</v>
      </c>
      <c r="C51" s="4">
        <f>850+56</f>
        <v>906</v>
      </c>
      <c r="D51" s="4">
        <v>118</v>
      </c>
      <c r="E51" s="4">
        <v>325</v>
      </c>
      <c r="F51" s="4">
        <f t="shared" si="2"/>
        <v>1349</v>
      </c>
    </row>
    <row r="52" spans="1:6" x14ac:dyDescent="0.2">
      <c r="A52" s="3">
        <v>43104</v>
      </c>
      <c r="B52" s="3" t="s">
        <v>10</v>
      </c>
      <c r="C52" s="4">
        <f>602+41</f>
        <v>643</v>
      </c>
      <c r="D52" s="4">
        <v>90</v>
      </c>
      <c r="E52" s="4">
        <v>138</v>
      </c>
      <c r="F52" s="4">
        <f t="shared" si="2"/>
        <v>871</v>
      </c>
    </row>
    <row r="53" spans="1:6" x14ac:dyDescent="0.2">
      <c r="A53" s="3">
        <v>43105</v>
      </c>
      <c r="B53" s="3" t="s">
        <v>4</v>
      </c>
      <c r="C53" s="4">
        <v>464</v>
      </c>
      <c r="D53" s="4">
        <v>59</v>
      </c>
      <c r="E53" s="4">
        <v>100</v>
      </c>
      <c r="F53" s="4">
        <f t="shared" si="2"/>
        <v>623</v>
      </c>
    </row>
    <row r="54" spans="1:6" x14ac:dyDescent="0.2">
      <c r="A54" s="3">
        <v>43106</v>
      </c>
      <c r="B54" s="3" t="s">
        <v>5</v>
      </c>
      <c r="C54" s="4">
        <f>3085+230</f>
        <v>3315</v>
      </c>
      <c r="D54" s="4">
        <v>109</v>
      </c>
      <c r="E54" s="4">
        <v>1364</v>
      </c>
      <c r="F54" s="4">
        <f t="shared" si="2"/>
        <v>4788</v>
      </c>
    </row>
    <row r="55" spans="1:6" x14ac:dyDescent="0.2">
      <c r="A55" s="3">
        <v>43107</v>
      </c>
      <c r="B55" s="3" t="s">
        <v>6</v>
      </c>
      <c r="C55" s="4">
        <v>2713</v>
      </c>
      <c r="D55" s="4">
        <v>84</v>
      </c>
      <c r="E55" s="4">
        <v>1077</v>
      </c>
      <c r="F55" s="4">
        <f t="shared" si="2"/>
        <v>3874</v>
      </c>
    </row>
    <row r="56" spans="1:6" x14ac:dyDescent="0.2">
      <c r="A56" s="3">
        <v>43108</v>
      </c>
      <c r="B56" s="3" t="s">
        <v>7</v>
      </c>
      <c r="C56" s="4">
        <v>355</v>
      </c>
      <c r="D56" s="4">
        <v>5</v>
      </c>
      <c r="E56" s="4">
        <v>219</v>
      </c>
      <c r="F56" s="4">
        <f t="shared" si="2"/>
        <v>579</v>
      </c>
    </row>
    <row r="57" spans="1:6" x14ac:dyDescent="0.2">
      <c r="A57" s="3">
        <v>43109</v>
      </c>
      <c r="B57" s="3" t="s">
        <v>8</v>
      </c>
      <c r="C57" s="4">
        <f>354+44</f>
        <v>398</v>
      </c>
      <c r="D57" s="4">
        <v>34</v>
      </c>
      <c r="E57" s="4">
        <v>263</v>
      </c>
      <c r="F57" s="4">
        <f t="shared" si="2"/>
        <v>695</v>
      </c>
    </row>
    <row r="58" spans="1:6" x14ac:dyDescent="0.2">
      <c r="A58" s="3">
        <v>43110</v>
      </c>
      <c r="B58" s="3" t="s">
        <v>9</v>
      </c>
      <c r="C58" s="4">
        <f>864+35+44</f>
        <v>943</v>
      </c>
      <c r="D58" s="4">
        <v>43</v>
      </c>
      <c r="E58" s="4">
        <v>300</v>
      </c>
      <c r="F58" s="4">
        <f t="shared" si="2"/>
        <v>1286</v>
      </c>
    </row>
    <row r="59" spans="1:6" x14ac:dyDescent="0.2">
      <c r="A59" s="3">
        <v>43111</v>
      </c>
      <c r="B59" s="3" t="s">
        <v>10</v>
      </c>
      <c r="C59" s="4">
        <v>258</v>
      </c>
      <c r="D59" s="4">
        <v>0</v>
      </c>
      <c r="E59" s="4">
        <v>113</v>
      </c>
      <c r="F59" s="4">
        <f t="shared" si="2"/>
        <v>371</v>
      </c>
    </row>
    <row r="60" spans="1:6" x14ac:dyDescent="0.2">
      <c r="A60" s="3">
        <v>43112</v>
      </c>
      <c r="B60" s="3" t="s">
        <v>4</v>
      </c>
      <c r="C60" s="4">
        <f>486+470+2253</f>
        <v>3209</v>
      </c>
      <c r="D60" s="4">
        <v>79</v>
      </c>
      <c r="E60" s="4">
        <v>1163</v>
      </c>
      <c r="F60" s="4">
        <f t="shared" si="2"/>
        <v>4451</v>
      </c>
    </row>
    <row r="61" spans="1:6" x14ac:dyDescent="0.2">
      <c r="A61" s="3">
        <v>43113</v>
      </c>
      <c r="B61" s="3" t="s">
        <v>5</v>
      </c>
      <c r="C61" s="4">
        <f>230+4959</f>
        <v>5189</v>
      </c>
      <c r="D61" s="4">
        <v>198</v>
      </c>
      <c r="E61" s="4">
        <v>1550</v>
      </c>
      <c r="F61" s="4">
        <f t="shared" si="2"/>
        <v>6937</v>
      </c>
    </row>
    <row r="62" spans="1:6" x14ac:dyDescent="0.2">
      <c r="A62" s="3">
        <v>43114</v>
      </c>
      <c r="B62" s="3" t="s">
        <v>6</v>
      </c>
      <c r="C62" s="4">
        <v>5600</v>
      </c>
      <c r="D62" s="4">
        <v>388</v>
      </c>
      <c r="E62" s="4">
        <v>1361</v>
      </c>
      <c r="F62" s="4">
        <f t="shared" si="2"/>
        <v>7349</v>
      </c>
    </row>
    <row r="63" spans="1:6" x14ac:dyDescent="0.2">
      <c r="A63" s="3">
        <v>43115</v>
      </c>
      <c r="B63" s="3" t="s">
        <v>7</v>
      </c>
      <c r="C63" s="4">
        <v>2929</v>
      </c>
      <c r="D63" s="4">
        <v>91</v>
      </c>
      <c r="E63" s="4">
        <v>646</v>
      </c>
      <c r="F63" s="4">
        <f t="shared" si="2"/>
        <v>3666</v>
      </c>
    </row>
    <row r="64" spans="1:6" x14ac:dyDescent="0.2">
      <c r="A64" s="3">
        <v>43116</v>
      </c>
      <c r="B64" s="3" t="s">
        <v>8</v>
      </c>
      <c r="C64" s="4">
        <v>345</v>
      </c>
      <c r="D64" s="4">
        <v>29</v>
      </c>
      <c r="E64" s="4">
        <v>169</v>
      </c>
      <c r="F64" s="4">
        <f t="shared" si="2"/>
        <v>543</v>
      </c>
    </row>
    <row r="65" spans="1:6" x14ac:dyDescent="0.2">
      <c r="A65" s="3">
        <v>43117</v>
      </c>
      <c r="B65" s="3" t="s">
        <v>9</v>
      </c>
      <c r="C65" s="4">
        <v>395</v>
      </c>
      <c r="D65" s="4">
        <v>0</v>
      </c>
      <c r="E65" s="4">
        <v>121</v>
      </c>
      <c r="F65" s="4">
        <f t="shared" si="2"/>
        <v>516</v>
      </c>
    </row>
    <row r="66" spans="1:6" x14ac:dyDescent="0.2">
      <c r="A66" s="3">
        <v>43118</v>
      </c>
      <c r="B66" s="3" t="s">
        <v>10</v>
      </c>
      <c r="C66" s="4">
        <v>419</v>
      </c>
      <c r="D66" s="4">
        <v>39</v>
      </c>
      <c r="E66" s="4">
        <v>248</v>
      </c>
      <c r="F66" s="4">
        <f t="shared" si="2"/>
        <v>706</v>
      </c>
    </row>
    <row r="67" spans="1:6" x14ac:dyDescent="0.2">
      <c r="A67" s="3">
        <v>43119</v>
      </c>
      <c r="B67" s="3" t="s">
        <v>4</v>
      </c>
      <c r="C67" s="4">
        <f>486+470+957</f>
        <v>1913</v>
      </c>
      <c r="D67" s="4">
        <v>55</v>
      </c>
      <c r="E67" s="4">
        <v>584</v>
      </c>
      <c r="F67" s="4">
        <f t="shared" si="2"/>
        <v>2552</v>
      </c>
    </row>
    <row r="68" spans="1:6" x14ac:dyDescent="0.2">
      <c r="A68" s="3">
        <v>43120</v>
      </c>
      <c r="B68" s="3" t="s">
        <v>5</v>
      </c>
      <c r="C68" s="4">
        <f>230+4388</f>
        <v>4618</v>
      </c>
      <c r="D68" s="4">
        <v>153</v>
      </c>
      <c r="E68" s="4">
        <v>1265</v>
      </c>
      <c r="F68" s="4">
        <f t="shared" si="2"/>
        <v>6036</v>
      </c>
    </row>
    <row r="69" spans="1:6" x14ac:dyDescent="0.2">
      <c r="A69" s="3">
        <v>43121</v>
      </c>
      <c r="B69" s="3" t="s">
        <v>6</v>
      </c>
      <c r="C69" s="4">
        <v>3210</v>
      </c>
      <c r="D69" s="4">
        <v>0</v>
      </c>
      <c r="E69" s="4">
        <v>627</v>
      </c>
      <c r="F69" s="4">
        <f t="shared" si="2"/>
        <v>3837</v>
      </c>
    </row>
    <row r="70" spans="1:6" x14ac:dyDescent="0.2">
      <c r="A70" s="3">
        <v>43122</v>
      </c>
      <c r="B70" s="3" t="s">
        <v>7</v>
      </c>
      <c r="C70" s="4">
        <v>708</v>
      </c>
      <c r="D70" s="4">
        <v>31</v>
      </c>
      <c r="E70" s="4">
        <v>408</v>
      </c>
      <c r="F70" s="4">
        <f t="shared" si="2"/>
        <v>1147</v>
      </c>
    </row>
    <row r="71" spans="1:6" x14ac:dyDescent="0.2">
      <c r="A71" s="3">
        <v>43123</v>
      </c>
      <c r="B71" s="3" t="s">
        <v>8</v>
      </c>
      <c r="C71" s="4">
        <v>417</v>
      </c>
      <c r="D71" s="4">
        <v>0</v>
      </c>
      <c r="E71" s="4">
        <v>282</v>
      </c>
      <c r="F71" s="4">
        <f t="shared" si="2"/>
        <v>699</v>
      </c>
    </row>
    <row r="72" spans="1:6" x14ac:dyDescent="0.2">
      <c r="A72" s="3">
        <v>43124</v>
      </c>
      <c r="B72" s="3" t="s">
        <v>9</v>
      </c>
      <c r="C72" s="4">
        <v>1190</v>
      </c>
      <c r="D72" s="4">
        <v>0</v>
      </c>
      <c r="E72" s="4">
        <v>542</v>
      </c>
      <c r="F72" s="4">
        <f t="shared" si="2"/>
        <v>1732</v>
      </c>
    </row>
    <row r="73" spans="1:6" x14ac:dyDescent="0.2">
      <c r="A73" s="3">
        <v>43125</v>
      </c>
      <c r="B73" s="3" t="s">
        <v>10</v>
      </c>
      <c r="C73" s="4">
        <v>1098</v>
      </c>
      <c r="D73" s="4">
        <v>43</v>
      </c>
      <c r="E73" s="4">
        <v>523</v>
      </c>
      <c r="F73" s="4">
        <f t="shared" si="2"/>
        <v>1664</v>
      </c>
    </row>
    <row r="74" spans="1:6" x14ac:dyDescent="0.2">
      <c r="A74" s="3">
        <v>43126</v>
      </c>
      <c r="B74" s="3" t="s">
        <v>4</v>
      </c>
      <c r="C74" s="4">
        <f>486+470+2128</f>
        <v>3084</v>
      </c>
      <c r="D74" s="4">
        <v>48</v>
      </c>
      <c r="E74" s="4">
        <v>569</v>
      </c>
      <c r="F74" s="4">
        <f t="shared" si="2"/>
        <v>3701</v>
      </c>
    </row>
    <row r="75" spans="1:6" x14ac:dyDescent="0.2">
      <c r="A75" s="3">
        <v>43127</v>
      </c>
      <c r="B75" s="3" t="s">
        <v>5</v>
      </c>
      <c r="C75" s="4">
        <f>230+5454</f>
        <v>5684</v>
      </c>
      <c r="D75" s="4">
        <v>85</v>
      </c>
      <c r="E75" s="4">
        <v>2136</v>
      </c>
      <c r="F75" s="4">
        <f t="shared" si="2"/>
        <v>7905</v>
      </c>
    </row>
    <row r="76" spans="1:6" x14ac:dyDescent="0.2">
      <c r="A76" s="3">
        <v>43128</v>
      </c>
      <c r="B76" s="3" t="s">
        <v>6</v>
      </c>
      <c r="C76" s="4">
        <v>2418</v>
      </c>
      <c r="D76" s="4">
        <v>102</v>
      </c>
      <c r="E76" s="4">
        <v>892</v>
      </c>
      <c r="F76" s="4">
        <f t="shared" si="2"/>
        <v>3412</v>
      </c>
    </row>
    <row r="77" spans="1:6" x14ac:dyDescent="0.2">
      <c r="A77" s="3">
        <v>43129</v>
      </c>
      <c r="B77" s="3" t="s">
        <v>7</v>
      </c>
      <c r="C77" s="4">
        <v>394</v>
      </c>
      <c r="D77" s="4">
        <v>0</v>
      </c>
      <c r="E77" s="4">
        <v>63</v>
      </c>
      <c r="F77" s="4">
        <f t="shared" ref="F77:F107" si="3">SUM(C77:E77)</f>
        <v>457</v>
      </c>
    </row>
    <row r="78" spans="1:6" x14ac:dyDescent="0.2">
      <c r="A78" s="3">
        <v>43130</v>
      </c>
      <c r="B78" s="3" t="s">
        <v>8</v>
      </c>
      <c r="C78" s="4">
        <v>613</v>
      </c>
      <c r="D78" s="4">
        <v>17</v>
      </c>
      <c r="E78" s="4">
        <v>344</v>
      </c>
      <c r="F78" s="4">
        <f t="shared" si="3"/>
        <v>974</v>
      </c>
    </row>
    <row r="79" spans="1:6" x14ac:dyDescent="0.2">
      <c r="A79" s="3">
        <v>43131</v>
      </c>
      <c r="B79" s="3" t="s">
        <v>9</v>
      </c>
      <c r="C79" s="4">
        <v>1480</v>
      </c>
      <c r="D79" s="4">
        <v>22</v>
      </c>
      <c r="E79" s="4">
        <v>602</v>
      </c>
      <c r="F79" s="4">
        <f t="shared" si="3"/>
        <v>2104</v>
      </c>
    </row>
    <row r="80" spans="1:6" x14ac:dyDescent="0.2">
      <c r="A80" s="3">
        <v>43132</v>
      </c>
      <c r="B80" s="3" t="s">
        <v>10</v>
      </c>
      <c r="C80" s="4">
        <v>834</v>
      </c>
      <c r="D80" s="4">
        <v>21</v>
      </c>
      <c r="E80" s="4">
        <v>299</v>
      </c>
      <c r="F80" s="4">
        <f t="shared" si="3"/>
        <v>1154</v>
      </c>
    </row>
    <row r="81" spans="1:6" x14ac:dyDescent="0.2">
      <c r="A81" s="3">
        <v>43133</v>
      </c>
      <c r="B81" s="3" t="s">
        <v>4</v>
      </c>
      <c r="C81" s="4">
        <f>486+470+497</f>
        <v>1453</v>
      </c>
      <c r="D81" s="4">
        <v>10</v>
      </c>
      <c r="E81" s="4">
        <v>104</v>
      </c>
      <c r="F81" s="4">
        <f t="shared" si="3"/>
        <v>1567</v>
      </c>
    </row>
    <row r="82" spans="1:6" x14ac:dyDescent="0.2">
      <c r="A82" s="3">
        <v>43134</v>
      </c>
      <c r="B82" s="3" t="s">
        <v>5</v>
      </c>
      <c r="C82" s="4">
        <f>230+2370</f>
        <v>2600</v>
      </c>
      <c r="D82" s="4">
        <v>117</v>
      </c>
      <c r="E82" s="4">
        <v>991</v>
      </c>
      <c r="F82" s="4">
        <f t="shared" si="3"/>
        <v>3708</v>
      </c>
    </row>
    <row r="83" spans="1:6" x14ac:dyDescent="0.2">
      <c r="A83" s="3">
        <v>43135</v>
      </c>
      <c r="B83" s="3" t="s">
        <v>6</v>
      </c>
      <c r="C83" s="4">
        <v>797</v>
      </c>
      <c r="D83" s="4">
        <v>0</v>
      </c>
      <c r="E83" s="4">
        <v>386</v>
      </c>
      <c r="F83" s="4">
        <f t="shared" si="3"/>
        <v>1183</v>
      </c>
    </row>
    <row r="84" spans="1:6" x14ac:dyDescent="0.2">
      <c r="A84" s="3">
        <v>43136</v>
      </c>
      <c r="B84" s="3" t="s">
        <v>7</v>
      </c>
      <c r="C84" s="4">
        <v>391</v>
      </c>
      <c r="D84" s="4">
        <v>12</v>
      </c>
      <c r="E84" s="4">
        <v>82</v>
      </c>
      <c r="F84" s="4">
        <f t="shared" si="3"/>
        <v>485</v>
      </c>
    </row>
    <row r="85" spans="1:6" x14ac:dyDescent="0.2">
      <c r="A85" s="3">
        <v>43137</v>
      </c>
      <c r="B85" s="3" t="s">
        <v>8</v>
      </c>
      <c r="C85" s="4">
        <v>384</v>
      </c>
      <c r="D85" s="4">
        <v>30</v>
      </c>
      <c r="E85" s="4">
        <v>179</v>
      </c>
      <c r="F85" s="4">
        <f t="shared" si="3"/>
        <v>593</v>
      </c>
    </row>
    <row r="86" spans="1:6" x14ac:dyDescent="0.2">
      <c r="A86" s="3">
        <v>43138</v>
      </c>
      <c r="B86" s="3" t="s">
        <v>9</v>
      </c>
      <c r="C86" s="4">
        <v>443</v>
      </c>
      <c r="D86" s="4">
        <v>34</v>
      </c>
      <c r="E86" s="4">
        <v>208</v>
      </c>
      <c r="F86" s="4">
        <f t="shared" si="3"/>
        <v>685</v>
      </c>
    </row>
    <row r="87" spans="1:6" x14ac:dyDescent="0.2">
      <c r="A87" s="3">
        <v>43139</v>
      </c>
      <c r="B87" s="3" t="s">
        <v>10</v>
      </c>
      <c r="C87" s="4">
        <v>959</v>
      </c>
      <c r="D87" s="4">
        <v>100</v>
      </c>
      <c r="E87" s="4">
        <v>164</v>
      </c>
      <c r="F87" s="4">
        <f t="shared" si="3"/>
        <v>1223</v>
      </c>
    </row>
    <row r="88" spans="1:6" x14ac:dyDescent="0.2">
      <c r="A88" s="3">
        <v>43140</v>
      </c>
      <c r="B88" s="3" t="s">
        <v>4</v>
      </c>
      <c r="C88" s="4">
        <f>486+470+935</f>
        <v>1891</v>
      </c>
      <c r="D88" s="4">
        <v>37</v>
      </c>
      <c r="E88" s="4">
        <v>282</v>
      </c>
      <c r="F88" s="4">
        <f t="shared" si="3"/>
        <v>2210</v>
      </c>
    </row>
    <row r="89" spans="1:6" x14ac:dyDescent="0.2">
      <c r="A89" s="3">
        <v>43141</v>
      </c>
      <c r="B89" s="3" t="s">
        <v>5</v>
      </c>
      <c r="C89" s="4">
        <f>230+4343</f>
        <v>4573</v>
      </c>
      <c r="D89" s="4">
        <v>450</v>
      </c>
      <c r="E89" s="4">
        <v>1644</v>
      </c>
      <c r="F89" s="4">
        <f t="shared" si="3"/>
        <v>6667</v>
      </c>
    </row>
    <row r="90" spans="1:6" x14ac:dyDescent="0.2">
      <c r="A90" s="3">
        <v>43142</v>
      </c>
      <c r="B90" s="3" t="s">
        <v>6</v>
      </c>
      <c r="C90" s="4">
        <v>2552</v>
      </c>
      <c r="D90" s="4">
        <v>175</v>
      </c>
      <c r="E90" s="4">
        <v>907</v>
      </c>
      <c r="F90" s="4">
        <f t="shared" si="3"/>
        <v>3634</v>
      </c>
    </row>
    <row r="91" spans="1:6" x14ac:dyDescent="0.2">
      <c r="A91" s="3">
        <v>43143</v>
      </c>
      <c r="B91" s="3" t="s">
        <v>7</v>
      </c>
      <c r="C91" s="4">
        <v>584</v>
      </c>
      <c r="D91" s="4">
        <v>76</v>
      </c>
      <c r="E91" s="4">
        <v>185</v>
      </c>
      <c r="F91" s="4">
        <f t="shared" si="3"/>
        <v>845</v>
      </c>
    </row>
    <row r="92" spans="1:6" x14ac:dyDescent="0.2">
      <c r="A92" s="3">
        <v>43144</v>
      </c>
      <c r="B92" s="3" t="s">
        <v>8</v>
      </c>
      <c r="C92" s="4">
        <v>513</v>
      </c>
      <c r="D92" s="4">
        <v>62</v>
      </c>
      <c r="E92" s="4">
        <v>211</v>
      </c>
      <c r="F92" s="4">
        <f t="shared" si="3"/>
        <v>786</v>
      </c>
    </row>
    <row r="93" spans="1:6" x14ac:dyDescent="0.2">
      <c r="A93" s="3">
        <v>43145</v>
      </c>
      <c r="B93" s="3" t="s">
        <v>9</v>
      </c>
      <c r="C93" s="4">
        <v>481</v>
      </c>
      <c r="D93" s="4">
        <v>20</v>
      </c>
      <c r="E93" s="4">
        <v>59</v>
      </c>
      <c r="F93" s="4">
        <f t="shared" si="3"/>
        <v>560</v>
      </c>
    </row>
    <row r="94" spans="1:6" x14ac:dyDescent="0.2">
      <c r="A94" s="3">
        <v>43146</v>
      </c>
      <c r="B94" s="3" t="s">
        <v>10</v>
      </c>
      <c r="C94" s="4">
        <v>850</v>
      </c>
      <c r="D94" s="4">
        <v>27</v>
      </c>
      <c r="E94" s="4">
        <v>280</v>
      </c>
      <c r="F94" s="4">
        <f t="shared" si="3"/>
        <v>1157</v>
      </c>
    </row>
    <row r="95" spans="1:6" x14ac:dyDescent="0.2">
      <c r="A95" s="3">
        <v>43147</v>
      </c>
      <c r="B95" s="3" t="s">
        <v>4</v>
      </c>
      <c r="C95" s="4">
        <f>486+1375</f>
        <v>1861</v>
      </c>
      <c r="D95" s="4">
        <v>50</v>
      </c>
      <c r="E95" s="4">
        <v>547</v>
      </c>
      <c r="F95" s="4">
        <f t="shared" si="3"/>
        <v>2458</v>
      </c>
    </row>
    <row r="96" spans="1:6" x14ac:dyDescent="0.2">
      <c r="A96" s="3">
        <v>43148</v>
      </c>
      <c r="B96" s="3" t="s">
        <v>5</v>
      </c>
      <c r="C96" s="4">
        <v>3532</v>
      </c>
      <c r="D96" s="4">
        <v>0</v>
      </c>
      <c r="E96" s="4">
        <v>1311</v>
      </c>
      <c r="F96" s="4">
        <f t="shared" si="3"/>
        <v>4843</v>
      </c>
    </row>
    <row r="97" spans="1:6" x14ac:dyDescent="0.2">
      <c r="A97" s="3">
        <v>43149</v>
      </c>
      <c r="B97" s="3" t="s">
        <v>6</v>
      </c>
      <c r="C97" s="4">
        <v>5442</v>
      </c>
      <c r="D97" s="4">
        <v>101</v>
      </c>
      <c r="E97" s="4">
        <v>1535</v>
      </c>
      <c r="F97" s="4">
        <f t="shared" si="3"/>
        <v>7078</v>
      </c>
    </row>
    <row r="98" spans="1:6" x14ac:dyDescent="0.2">
      <c r="A98" s="3">
        <v>43150</v>
      </c>
      <c r="B98" s="3" t="s">
        <v>7</v>
      </c>
      <c r="C98" s="4">
        <v>4398</v>
      </c>
      <c r="D98" s="4">
        <v>249</v>
      </c>
      <c r="E98" s="4">
        <v>978</v>
      </c>
      <c r="F98" s="4">
        <f t="shared" si="3"/>
        <v>5625</v>
      </c>
    </row>
    <row r="99" spans="1:6" x14ac:dyDescent="0.2">
      <c r="A99" s="3">
        <v>43151</v>
      </c>
      <c r="B99" s="3" t="s">
        <v>8</v>
      </c>
      <c r="C99" s="4">
        <v>1542</v>
      </c>
      <c r="D99" s="4">
        <v>25</v>
      </c>
      <c r="E99" s="4">
        <v>467</v>
      </c>
      <c r="F99" s="4">
        <f t="shared" si="3"/>
        <v>2034</v>
      </c>
    </row>
    <row r="100" spans="1:6" x14ac:dyDescent="0.2">
      <c r="A100" s="3">
        <v>43152</v>
      </c>
      <c r="B100" s="3" t="s">
        <v>9</v>
      </c>
      <c r="C100" s="4">
        <v>1409</v>
      </c>
      <c r="D100" s="4">
        <v>35</v>
      </c>
      <c r="E100" s="4">
        <v>502</v>
      </c>
      <c r="F100" s="4">
        <f t="shared" si="3"/>
        <v>1946</v>
      </c>
    </row>
    <row r="101" spans="1:6" x14ac:dyDescent="0.2">
      <c r="A101" s="3">
        <v>43153</v>
      </c>
      <c r="B101" s="3" t="s">
        <v>10</v>
      </c>
      <c r="C101" s="4">
        <v>1470</v>
      </c>
      <c r="D101" s="4">
        <v>57</v>
      </c>
      <c r="E101" s="4">
        <v>564</v>
      </c>
      <c r="F101" s="4">
        <f t="shared" si="3"/>
        <v>2091</v>
      </c>
    </row>
    <row r="102" spans="1:6" x14ac:dyDescent="0.2">
      <c r="A102" s="3">
        <v>43154</v>
      </c>
      <c r="B102" s="3" t="s">
        <v>4</v>
      </c>
      <c r="C102" s="4">
        <v>2141</v>
      </c>
      <c r="D102" s="4">
        <v>26</v>
      </c>
      <c r="E102" s="4">
        <v>692</v>
      </c>
      <c r="F102" s="4">
        <f t="shared" si="3"/>
        <v>2859</v>
      </c>
    </row>
    <row r="103" spans="1:6" x14ac:dyDescent="0.2">
      <c r="A103" s="3">
        <v>43155</v>
      </c>
      <c r="B103" s="3" t="s">
        <v>5</v>
      </c>
      <c r="C103" s="4">
        <v>4608</v>
      </c>
      <c r="D103" s="4">
        <v>48</v>
      </c>
      <c r="E103" s="4">
        <v>1596</v>
      </c>
      <c r="F103" s="4">
        <f t="shared" si="3"/>
        <v>6252</v>
      </c>
    </row>
    <row r="104" spans="1:6" x14ac:dyDescent="0.2">
      <c r="A104" s="3">
        <v>43156</v>
      </c>
      <c r="B104" s="3" t="s">
        <v>6</v>
      </c>
      <c r="C104" s="4">
        <v>3700</v>
      </c>
      <c r="D104" s="4">
        <v>0</v>
      </c>
      <c r="E104" s="4">
        <v>1030</v>
      </c>
      <c r="F104" s="4">
        <f t="shared" si="3"/>
        <v>4730</v>
      </c>
    </row>
    <row r="105" spans="1:6" x14ac:dyDescent="0.2">
      <c r="A105" s="3">
        <v>43157</v>
      </c>
      <c r="B105" s="3" t="s">
        <v>7</v>
      </c>
      <c r="C105" s="4">
        <v>1201</v>
      </c>
      <c r="D105" s="4">
        <v>28</v>
      </c>
      <c r="E105" s="4">
        <v>661</v>
      </c>
      <c r="F105" s="4">
        <f t="shared" si="3"/>
        <v>1890</v>
      </c>
    </row>
    <row r="106" spans="1:6" x14ac:dyDescent="0.2">
      <c r="A106" s="3">
        <v>43158</v>
      </c>
      <c r="B106" s="3" t="s">
        <v>8</v>
      </c>
      <c r="C106" s="4">
        <v>568</v>
      </c>
      <c r="D106" s="4">
        <v>6</v>
      </c>
      <c r="E106" s="4">
        <v>282</v>
      </c>
      <c r="F106" s="4">
        <f t="shared" si="3"/>
        <v>856</v>
      </c>
    </row>
    <row r="107" spans="1:6" x14ac:dyDescent="0.2">
      <c r="A107" s="3">
        <v>43159</v>
      </c>
      <c r="B107" s="3" t="s">
        <v>9</v>
      </c>
      <c r="C107" s="4">
        <f>859+265</f>
        <v>1124</v>
      </c>
      <c r="D107" s="4">
        <f>24+5</f>
        <v>29</v>
      </c>
      <c r="E107" s="4">
        <v>252</v>
      </c>
      <c r="F107" s="4">
        <f t="shared" si="3"/>
        <v>1405</v>
      </c>
    </row>
    <row r="108" spans="1:6" x14ac:dyDescent="0.2">
      <c r="A108" s="3">
        <v>43160</v>
      </c>
      <c r="B108" s="3" t="s">
        <v>10</v>
      </c>
      <c r="C108" s="4">
        <v>1477</v>
      </c>
      <c r="D108" s="4">
        <v>44</v>
      </c>
      <c r="E108" s="4">
        <v>744</v>
      </c>
      <c r="F108" s="4">
        <f t="shared" ref="F108:F160" si="4">SUM(C108:E108)</f>
        <v>2265</v>
      </c>
    </row>
    <row r="109" spans="1:6" x14ac:dyDescent="0.2">
      <c r="A109" s="3">
        <v>43161</v>
      </c>
      <c r="B109" s="3" t="s">
        <v>4</v>
      </c>
      <c r="C109" s="4">
        <v>1541</v>
      </c>
      <c r="D109" s="4">
        <v>20</v>
      </c>
      <c r="E109" s="4">
        <v>543</v>
      </c>
      <c r="F109" s="4">
        <f t="shared" si="4"/>
        <v>2104</v>
      </c>
    </row>
    <row r="110" spans="1:6" x14ac:dyDescent="0.2">
      <c r="A110" s="3">
        <v>43162</v>
      </c>
      <c r="B110" s="3" t="s">
        <v>5</v>
      </c>
      <c r="C110" s="4">
        <v>4097</v>
      </c>
      <c r="D110" s="4">
        <v>157</v>
      </c>
      <c r="E110" s="4">
        <v>1572</v>
      </c>
      <c r="F110" s="4">
        <f t="shared" si="4"/>
        <v>5826</v>
      </c>
    </row>
    <row r="111" spans="1:6" x14ac:dyDescent="0.2">
      <c r="A111" s="3">
        <v>43163</v>
      </c>
      <c r="B111" s="3" t="s">
        <v>6</v>
      </c>
      <c r="C111" s="4">
        <v>3617</v>
      </c>
      <c r="D111" s="4">
        <v>81</v>
      </c>
      <c r="E111" s="4">
        <v>1415</v>
      </c>
      <c r="F111" s="4">
        <f t="shared" si="4"/>
        <v>5113</v>
      </c>
    </row>
    <row r="112" spans="1:6" x14ac:dyDescent="0.2">
      <c r="A112" s="3">
        <v>43164</v>
      </c>
      <c r="B112" s="3" t="s">
        <v>7</v>
      </c>
      <c r="C112" s="4">
        <v>603</v>
      </c>
      <c r="D112" s="4">
        <v>15</v>
      </c>
      <c r="E112" s="4">
        <v>271</v>
      </c>
      <c r="F112" s="4">
        <f t="shared" si="4"/>
        <v>889</v>
      </c>
    </row>
    <row r="113" spans="1:6" x14ac:dyDescent="0.2">
      <c r="A113" s="3">
        <v>43165</v>
      </c>
      <c r="B113" s="3" t="s">
        <v>8</v>
      </c>
      <c r="C113" s="4">
        <v>644</v>
      </c>
      <c r="D113" s="4">
        <v>56</v>
      </c>
      <c r="E113" s="4">
        <v>357</v>
      </c>
      <c r="F113" s="4">
        <f t="shared" si="4"/>
        <v>1057</v>
      </c>
    </row>
    <row r="114" spans="1:6" x14ac:dyDescent="0.2">
      <c r="A114" s="3">
        <v>43166</v>
      </c>
      <c r="B114" s="3" t="s">
        <v>9</v>
      </c>
      <c r="C114" s="4">
        <v>529</v>
      </c>
      <c r="D114" s="4">
        <v>27</v>
      </c>
      <c r="E114" s="4">
        <v>252</v>
      </c>
      <c r="F114" s="4">
        <f t="shared" si="4"/>
        <v>808</v>
      </c>
    </row>
    <row r="115" spans="1:6" x14ac:dyDescent="0.2">
      <c r="A115" s="3">
        <v>43167</v>
      </c>
      <c r="B115" s="3" t="s">
        <v>10</v>
      </c>
      <c r="C115" s="4">
        <v>334</v>
      </c>
      <c r="D115" s="4">
        <v>0</v>
      </c>
      <c r="E115" s="4">
        <v>80</v>
      </c>
      <c r="F115" s="4">
        <f t="shared" si="4"/>
        <v>414</v>
      </c>
    </row>
    <row r="116" spans="1:6" x14ac:dyDescent="0.2">
      <c r="A116" s="3">
        <v>43168</v>
      </c>
      <c r="B116" s="3" t="s">
        <v>4</v>
      </c>
      <c r="C116" s="4">
        <v>2513</v>
      </c>
      <c r="D116" s="4">
        <v>85</v>
      </c>
      <c r="E116" s="4">
        <v>829</v>
      </c>
      <c r="F116" s="4">
        <f t="shared" si="4"/>
        <v>3427</v>
      </c>
    </row>
    <row r="117" spans="1:6" x14ac:dyDescent="0.2">
      <c r="A117" s="3">
        <v>43169</v>
      </c>
      <c r="B117" s="3" t="s">
        <v>5</v>
      </c>
      <c r="C117" s="4">
        <v>4313</v>
      </c>
      <c r="D117" s="4">
        <v>366</v>
      </c>
      <c r="E117" s="4">
        <v>1583</v>
      </c>
      <c r="F117" s="4">
        <f t="shared" si="4"/>
        <v>6262</v>
      </c>
    </row>
    <row r="118" spans="1:6" x14ac:dyDescent="0.2">
      <c r="A118" s="3">
        <v>43170</v>
      </c>
      <c r="B118" s="3" t="s">
        <v>6</v>
      </c>
      <c r="C118" s="4">
        <v>3354</v>
      </c>
      <c r="D118" s="4">
        <v>372</v>
      </c>
      <c r="E118" s="4">
        <v>1285</v>
      </c>
      <c r="F118" s="4">
        <f t="shared" si="4"/>
        <v>5011</v>
      </c>
    </row>
    <row r="119" spans="1:6" x14ac:dyDescent="0.2">
      <c r="A119" s="3">
        <v>43171</v>
      </c>
      <c r="B119" s="3" t="s">
        <v>7</v>
      </c>
      <c r="C119" s="4">
        <v>733</v>
      </c>
      <c r="D119" s="4">
        <v>8</v>
      </c>
      <c r="E119" s="4">
        <v>285</v>
      </c>
      <c r="F119" s="4">
        <f t="shared" si="4"/>
        <v>1026</v>
      </c>
    </row>
    <row r="120" spans="1:6" x14ac:dyDescent="0.2">
      <c r="A120" s="3">
        <v>43172</v>
      </c>
      <c r="B120" s="3" t="s">
        <v>8</v>
      </c>
      <c r="C120" s="4">
        <v>269</v>
      </c>
      <c r="D120" s="4">
        <v>0</v>
      </c>
      <c r="E120" s="4">
        <v>59</v>
      </c>
      <c r="F120" s="4">
        <f t="shared" si="4"/>
        <v>328</v>
      </c>
    </row>
    <row r="121" spans="1:6" x14ac:dyDescent="0.2">
      <c r="A121" s="3">
        <v>43173</v>
      </c>
      <c r="B121" s="3" t="s">
        <v>9</v>
      </c>
      <c r="C121" s="4">
        <v>374</v>
      </c>
      <c r="D121" s="4">
        <v>9</v>
      </c>
      <c r="E121" s="4">
        <v>160</v>
      </c>
      <c r="F121" s="4">
        <f t="shared" si="4"/>
        <v>543</v>
      </c>
    </row>
    <row r="122" spans="1:6" x14ac:dyDescent="0.2">
      <c r="A122" s="3">
        <v>43174</v>
      </c>
      <c r="B122" s="3" t="s">
        <v>10</v>
      </c>
      <c r="C122" s="4">
        <v>726</v>
      </c>
      <c r="D122" s="4">
        <v>100</v>
      </c>
      <c r="E122" s="4">
        <v>322</v>
      </c>
      <c r="F122" s="4">
        <f t="shared" si="4"/>
        <v>1148</v>
      </c>
    </row>
    <row r="123" spans="1:6" x14ac:dyDescent="0.2">
      <c r="A123" s="3">
        <v>43175</v>
      </c>
      <c r="B123" s="3" t="s">
        <v>4</v>
      </c>
      <c r="C123" s="4">
        <v>1181</v>
      </c>
      <c r="D123" s="4">
        <v>69</v>
      </c>
      <c r="E123" s="4">
        <v>394</v>
      </c>
      <c r="F123" s="4">
        <f t="shared" si="4"/>
        <v>1644</v>
      </c>
    </row>
    <row r="124" spans="1:6" x14ac:dyDescent="0.2">
      <c r="A124" s="3">
        <v>43176</v>
      </c>
      <c r="B124" s="3" t="s">
        <v>5</v>
      </c>
      <c r="C124" s="4">
        <v>2569</v>
      </c>
      <c r="D124" s="4">
        <v>192</v>
      </c>
      <c r="E124" s="4">
        <v>1014</v>
      </c>
      <c r="F124" s="4">
        <f t="shared" si="4"/>
        <v>3775</v>
      </c>
    </row>
    <row r="125" spans="1:6" x14ac:dyDescent="0.2">
      <c r="A125" s="3">
        <v>43177</v>
      </c>
      <c r="B125" s="3" t="s">
        <v>6</v>
      </c>
      <c r="C125" s="4">
        <v>2116</v>
      </c>
      <c r="D125" s="4">
        <v>190</v>
      </c>
      <c r="E125" s="4">
        <v>815</v>
      </c>
      <c r="F125" s="4">
        <f t="shared" si="4"/>
        <v>3121</v>
      </c>
    </row>
    <row r="126" spans="1:6" x14ac:dyDescent="0.2">
      <c r="A126" s="3">
        <v>43178</v>
      </c>
      <c r="B126" s="3" t="s">
        <v>7</v>
      </c>
      <c r="C126" s="4">
        <v>627</v>
      </c>
      <c r="D126" s="4">
        <v>39</v>
      </c>
      <c r="E126" s="4">
        <v>208</v>
      </c>
      <c r="F126" s="4">
        <f t="shared" si="4"/>
        <v>874</v>
      </c>
    </row>
    <row r="127" spans="1:6" x14ac:dyDescent="0.2">
      <c r="A127" s="3">
        <v>43179</v>
      </c>
      <c r="B127" s="3" t="s">
        <v>8</v>
      </c>
      <c r="C127" s="4">
        <v>527</v>
      </c>
      <c r="D127" s="4">
        <v>96</v>
      </c>
      <c r="E127" s="4">
        <v>382</v>
      </c>
      <c r="F127" s="4">
        <f t="shared" si="4"/>
        <v>1005</v>
      </c>
    </row>
    <row r="128" spans="1:6" x14ac:dyDescent="0.2">
      <c r="A128" s="3">
        <v>43180</v>
      </c>
      <c r="B128" s="3" t="s">
        <v>9</v>
      </c>
      <c r="C128" s="4">
        <v>422</v>
      </c>
      <c r="D128" s="4">
        <v>31</v>
      </c>
      <c r="E128" s="4">
        <v>164</v>
      </c>
      <c r="F128" s="4">
        <f t="shared" si="4"/>
        <v>617</v>
      </c>
    </row>
    <row r="129" spans="1:6" x14ac:dyDescent="0.2">
      <c r="A129" s="3">
        <v>43181</v>
      </c>
      <c r="B129" s="3" t="s">
        <v>10</v>
      </c>
      <c r="C129" s="4">
        <v>535</v>
      </c>
      <c r="D129" s="4">
        <v>28</v>
      </c>
      <c r="E129" s="4">
        <v>234</v>
      </c>
      <c r="F129" s="4">
        <f t="shared" si="4"/>
        <v>797</v>
      </c>
    </row>
    <row r="130" spans="1:6" x14ac:dyDescent="0.2">
      <c r="A130" s="3">
        <v>43182</v>
      </c>
      <c r="B130" s="3" t="s">
        <v>4</v>
      </c>
      <c r="C130" s="4">
        <v>1308</v>
      </c>
      <c r="D130" s="4">
        <v>6</v>
      </c>
      <c r="E130" s="4">
        <v>712</v>
      </c>
      <c r="F130" s="4">
        <f t="shared" si="4"/>
        <v>2026</v>
      </c>
    </row>
    <row r="131" spans="1:6" x14ac:dyDescent="0.2">
      <c r="A131" s="3">
        <v>43183</v>
      </c>
      <c r="B131" s="3" t="s">
        <v>5</v>
      </c>
      <c r="C131" s="4">
        <v>3759</v>
      </c>
      <c r="D131" s="4">
        <v>153</v>
      </c>
      <c r="E131" s="4">
        <v>1677</v>
      </c>
      <c r="F131" s="4">
        <f t="shared" si="4"/>
        <v>5589</v>
      </c>
    </row>
    <row r="132" spans="1:6" x14ac:dyDescent="0.2">
      <c r="A132" s="3">
        <v>43184</v>
      </c>
      <c r="B132" s="3" t="s">
        <v>6</v>
      </c>
      <c r="C132" s="4">
        <v>2863</v>
      </c>
      <c r="D132" s="4">
        <v>168</v>
      </c>
      <c r="E132" s="4">
        <v>1223</v>
      </c>
      <c r="F132" s="4">
        <f t="shared" si="4"/>
        <v>4254</v>
      </c>
    </row>
    <row r="133" spans="1:6" x14ac:dyDescent="0.2">
      <c r="A133" s="3">
        <v>43185</v>
      </c>
      <c r="B133" s="3" t="s">
        <v>7</v>
      </c>
      <c r="C133" s="4">
        <v>526</v>
      </c>
      <c r="D133" s="4">
        <v>20</v>
      </c>
      <c r="E133" s="4">
        <v>260</v>
      </c>
      <c r="F133" s="4">
        <f t="shared" si="4"/>
        <v>806</v>
      </c>
    </row>
    <row r="134" spans="1:6" x14ac:dyDescent="0.2">
      <c r="A134" s="3">
        <v>43186</v>
      </c>
      <c r="B134" s="3" t="s">
        <v>8</v>
      </c>
      <c r="C134" s="4">
        <v>448</v>
      </c>
      <c r="D134" s="4">
        <v>0</v>
      </c>
      <c r="E134" s="4">
        <v>242</v>
      </c>
      <c r="F134" s="4">
        <f t="shared" si="4"/>
        <v>690</v>
      </c>
    </row>
    <row r="135" spans="1:6" x14ac:dyDescent="0.2">
      <c r="A135" s="3">
        <v>43187</v>
      </c>
      <c r="B135" s="3" t="s">
        <v>9</v>
      </c>
      <c r="C135" s="4">
        <v>673</v>
      </c>
      <c r="D135" s="4">
        <v>67</v>
      </c>
      <c r="E135" s="4">
        <v>224</v>
      </c>
      <c r="F135" s="4">
        <f t="shared" si="4"/>
        <v>964</v>
      </c>
    </row>
    <row r="136" spans="1:6" x14ac:dyDescent="0.2">
      <c r="A136" s="3">
        <v>43188</v>
      </c>
      <c r="B136" s="3" t="s">
        <v>10</v>
      </c>
      <c r="C136" s="4">
        <v>656</v>
      </c>
      <c r="D136" s="4">
        <v>50</v>
      </c>
      <c r="E136" s="4">
        <v>283</v>
      </c>
      <c r="F136" s="4">
        <f t="shared" si="4"/>
        <v>989</v>
      </c>
    </row>
    <row r="137" spans="1:6" x14ac:dyDescent="0.2">
      <c r="A137" s="3">
        <v>43189</v>
      </c>
      <c r="B137" s="3" t="s">
        <v>4</v>
      </c>
      <c r="C137" s="4">
        <v>893</v>
      </c>
      <c r="D137" s="4">
        <v>1</v>
      </c>
      <c r="E137" s="4">
        <v>288</v>
      </c>
      <c r="F137" s="4">
        <f t="shared" si="4"/>
        <v>1182</v>
      </c>
    </row>
    <row r="138" spans="1:6" x14ac:dyDescent="0.2">
      <c r="A138" s="3">
        <v>43190</v>
      </c>
      <c r="B138" s="3" t="s">
        <v>5</v>
      </c>
      <c r="C138" s="4">
        <v>2018</v>
      </c>
      <c r="D138" s="4">
        <v>273</v>
      </c>
      <c r="E138" s="4">
        <v>1187</v>
      </c>
      <c r="F138" s="4">
        <f t="shared" si="4"/>
        <v>3478</v>
      </c>
    </row>
    <row r="139" spans="1:6" x14ac:dyDescent="0.2">
      <c r="A139" s="3">
        <v>43191</v>
      </c>
      <c r="B139" s="3" t="s">
        <v>6</v>
      </c>
      <c r="C139" s="4">
        <v>1197</v>
      </c>
      <c r="D139" s="4">
        <v>171</v>
      </c>
      <c r="E139" s="4">
        <v>540</v>
      </c>
      <c r="F139" s="4">
        <f t="shared" si="4"/>
        <v>1908</v>
      </c>
    </row>
    <row r="140" spans="1:6" x14ac:dyDescent="0.2">
      <c r="A140" s="3">
        <v>43192</v>
      </c>
      <c r="B140" s="3" t="s">
        <v>7</v>
      </c>
      <c r="C140" s="4">
        <v>635</v>
      </c>
      <c r="D140" s="4">
        <v>76</v>
      </c>
      <c r="E140" s="4">
        <v>451</v>
      </c>
      <c r="F140" s="4">
        <f t="shared" si="4"/>
        <v>1162</v>
      </c>
    </row>
    <row r="141" spans="1:6" x14ac:dyDescent="0.2">
      <c r="A141" s="3">
        <v>43193</v>
      </c>
      <c r="B141" s="3" t="s">
        <v>8</v>
      </c>
      <c r="C141" s="4">
        <v>650</v>
      </c>
      <c r="D141" s="4">
        <v>49</v>
      </c>
      <c r="E141" s="4">
        <v>390</v>
      </c>
      <c r="F141" s="4">
        <f t="shared" si="4"/>
        <v>1089</v>
      </c>
    </row>
    <row r="142" spans="1:6" x14ac:dyDescent="0.2">
      <c r="A142" s="3">
        <v>43194</v>
      </c>
      <c r="B142" s="3" t="s">
        <v>9</v>
      </c>
      <c r="C142" s="4">
        <v>424</v>
      </c>
      <c r="D142" s="4">
        <v>40</v>
      </c>
      <c r="E142" s="4">
        <v>243</v>
      </c>
      <c r="F142" s="4">
        <f t="shared" si="4"/>
        <v>707</v>
      </c>
    </row>
    <row r="143" spans="1:6" x14ac:dyDescent="0.2">
      <c r="A143" s="3">
        <v>43195</v>
      </c>
      <c r="B143" s="3" t="s">
        <v>10</v>
      </c>
      <c r="C143" s="4">
        <v>230</v>
      </c>
      <c r="D143" s="4">
        <v>14</v>
      </c>
      <c r="E143" s="4">
        <v>89</v>
      </c>
      <c r="F143" s="4">
        <f t="shared" si="4"/>
        <v>333</v>
      </c>
    </row>
    <row r="144" spans="1:6" x14ac:dyDescent="0.2">
      <c r="A144" s="3">
        <v>43196</v>
      </c>
      <c r="B144" s="3" t="s">
        <v>4</v>
      </c>
      <c r="C144" s="4">
        <v>373</v>
      </c>
      <c r="D144" s="4">
        <v>61</v>
      </c>
      <c r="E144" s="4">
        <v>174</v>
      </c>
      <c r="F144" s="4">
        <f t="shared" si="4"/>
        <v>608</v>
      </c>
    </row>
    <row r="145" spans="1:6" x14ac:dyDescent="0.2">
      <c r="A145" s="3">
        <v>43197</v>
      </c>
      <c r="B145" s="3" t="s">
        <v>5</v>
      </c>
      <c r="C145" s="4">
        <v>410</v>
      </c>
      <c r="D145" s="4">
        <v>0</v>
      </c>
      <c r="E145" s="4">
        <v>83</v>
      </c>
      <c r="F145" s="4">
        <f t="shared" si="4"/>
        <v>493</v>
      </c>
    </row>
    <row r="146" spans="1:6" x14ac:dyDescent="0.2">
      <c r="A146" s="3">
        <v>43198</v>
      </c>
      <c r="B146" s="3" t="s">
        <v>6</v>
      </c>
      <c r="C146" s="4">
        <v>1887</v>
      </c>
      <c r="D146" s="4">
        <v>54</v>
      </c>
      <c r="E146" s="4">
        <v>1198</v>
      </c>
      <c r="F146" s="4">
        <f t="shared" si="4"/>
        <v>3139</v>
      </c>
    </row>
    <row r="147" spans="1:6" x14ac:dyDescent="0.2">
      <c r="A147" s="3">
        <v>43199</v>
      </c>
      <c r="B147" s="3" t="s">
        <v>7</v>
      </c>
      <c r="C147" s="4">
        <v>782</v>
      </c>
      <c r="D147" s="4">
        <v>98</v>
      </c>
      <c r="E147" s="4">
        <v>535</v>
      </c>
      <c r="F147" s="4">
        <f t="shared" si="4"/>
        <v>1415</v>
      </c>
    </row>
    <row r="148" spans="1:6" x14ac:dyDescent="0.2">
      <c r="A148" s="3">
        <v>43200</v>
      </c>
      <c r="B148" s="3" t="s">
        <v>8</v>
      </c>
      <c r="C148" s="4">
        <v>83</v>
      </c>
      <c r="D148" s="4">
        <v>0</v>
      </c>
      <c r="E148" s="4">
        <v>6</v>
      </c>
      <c r="F148" s="4">
        <f t="shared" si="4"/>
        <v>89</v>
      </c>
    </row>
    <row r="149" spans="1:6" x14ac:dyDescent="0.2">
      <c r="A149" s="3">
        <v>43201</v>
      </c>
      <c r="B149" s="3" t="s">
        <v>9</v>
      </c>
      <c r="C149" s="4">
        <v>279</v>
      </c>
      <c r="D149" s="4">
        <v>31</v>
      </c>
      <c r="E149" s="4">
        <v>177</v>
      </c>
      <c r="F149" s="4">
        <f t="shared" si="4"/>
        <v>487</v>
      </c>
    </row>
    <row r="150" spans="1:6" x14ac:dyDescent="0.2">
      <c r="A150" s="3">
        <v>43202</v>
      </c>
      <c r="B150" s="3" t="s">
        <v>10</v>
      </c>
      <c r="C150" s="4">
        <v>608</v>
      </c>
      <c r="D150" s="4">
        <v>42</v>
      </c>
      <c r="E150" s="4">
        <v>322</v>
      </c>
      <c r="F150" s="4">
        <f t="shared" si="4"/>
        <v>972</v>
      </c>
    </row>
    <row r="151" spans="1:6" x14ac:dyDescent="0.2">
      <c r="A151" s="3">
        <v>43203</v>
      </c>
      <c r="B151" s="3" t="s">
        <v>4</v>
      </c>
      <c r="C151" s="4">
        <v>687</v>
      </c>
      <c r="D151" s="4">
        <v>76</v>
      </c>
      <c r="E151" s="4">
        <v>377</v>
      </c>
      <c r="F151" s="4">
        <f t="shared" si="4"/>
        <v>1140</v>
      </c>
    </row>
    <row r="152" spans="1:6" x14ac:dyDescent="0.2">
      <c r="A152" s="3">
        <v>43204</v>
      </c>
      <c r="B152" s="3" t="s">
        <v>5</v>
      </c>
      <c r="C152" s="4">
        <v>1451</v>
      </c>
      <c r="D152" s="4">
        <v>111</v>
      </c>
      <c r="E152" s="4">
        <v>905</v>
      </c>
      <c r="F152" s="4">
        <f t="shared" si="4"/>
        <v>2467</v>
      </c>
    </row>
    <row r="153" spans="1:6" x14ac:dyDescent="0.2">
      <c r="A153" s="3">
        <v>43205</v>
      </c>
      <c r="B153" s="3" t="s">
        <v>6</v>
      </c>
      <c r="C153" s="4">
        <v>1130</v>
      </c>
      <c r="D153" s="4">
        <v>76</v>
      </c>
      <c r="E153" s="4">
        <v>832</v>
      </c>
      <c r="F153" s="4">
        <f t="shared" si="4"/>
        <v>2038</v>
      </c>
    </row>
    <row r="154" spans="1:6" x14ac:dyDescent="0.2">
      <c r="A154" s="3">
        <v>43206</v>
      </c>
      <c r="B154" s="3" t="s">
        <v>7</v>
      </c>
      <c r="C154" s="4">
        <v>160</v>
      </c>
      <c r="D154" s="4">
        <v>17</v>
      </c>
      <c r="E154" s="4">
        <v>152</v>
      </c>
      <c r="F154" s="4">
        <f t="shared" si="4"/>
        <v>329</v>
      </c>
    </row>
    <row r="155" spans="1:6" x14ac:dyDescent="0.2">
      <c r="A155" s="3">
        <v>43207</v>
      </c>
      <c r="B155" s="3" t="s">
        <v>8</v>
      </c>
      <c r="C155" s="4">
        <v>275</v>
      </c>
      <c r="D155" s="4">
        <v>19</v>
      </c>
      <c r="E155" s="4">
        <v>274</v>
      </c>
      <c r="F155" s="4">
        <f t="shared" si="4"/>
        <v>568</v>
      </c>
    </row>
    <row r="156" spans="1:6" x14ac:dyDescent="0.2">
      <c r="A156" s="3">
        <v>43208</v>
      </c>
      <c r="B156" s="3" t="s">
        <v>9</v>
      </c>
      <c r="C156" s="4">
        <v>218</v>
      </c>
      <c r="D156" s="4">
        <v>37</v>
      </c>
      <c r="E156" s="4">
        <v>101</v>
      </c>
      <c r="F156" s="4">
        <f t="shared" si="4"/>
        <v>356</v>
      </c>
    </row>
    <row r="157" spans="1:6" x14ac:dyDescent="0.2">
      <c r="A157" s="3">
        <v>43209</v>
      </c>
      <c r="B157" s="3" t="s">
        <v>10</v>
      </c>
      <c r="C157" s="4">
        <v>548</v>
      </c>
      <c r="D157" s="4">
        <v>79</v>
      </c>
      <c r="E157" s="4">
        <v>198</v>
      </c>
      <c r="F157" s="4">
        <f t="shared" si="4"/>
        <v>825</v>
      </c>
    </row>
    <row r="158" spans="1:6" x14ac:dyDescent="0.2">
      <c r="A158" s="3">
        <v>43210</v>
      </c>
      <c r="B158" s="3" t="s">
        <v>4</v>
      </c>
      <c r="C158" s="4">
        <v>449</v>
      </c>
      <c r="D158" s="4">
        <v>89</v>
      </c>
      <c r="E158" s="4">
        <v>365</v>
      </c>
      <c r="F158" s="4">
        <f t="shared" si="4"/>
        <v>903</v>
      </c>
    </row>
    <row r="159" spans="1:6" x14ac:dyDescent="0.2">
      <c r="A159" s="3">
        <v>43211</v>
      </c>
      <c r="B159" s="3" t="s">
        <v>5</v>
      </c>
      <c r="C159" s="4">
        <v>1009</v>
      </c>
      <c r="D159" s="4">
        <v>232</v>
      </c>
      <c r="E159" s="4">
        <v>882</v>
      </c>
      <c r="F159" s="4">
        <f t="shared" si="4"/>
        <v>2123</v>
      </c>
    </row>
    <row r="160" spans="1:6" x14ac:dyDescent="0.2">
      <c r="A160" s="3">
        <v>43212</v>
      </c>
      <c r="B160" s="3" t="s">
        <v>6</v>
      </c>
      <c r="C160" s="4">
        <v>1437</v>
      </c>
      <c r="D160" s="4">
        <v>223</v>
      </c>
      <c r="E160" s="4">
        <v>1398</v>
      </c>
      <c r="F160" s="4">
        <f t="shared" si="4"/>
        <v>3058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3"/>
  <sheetViews>
    <sheetView workbookViewId="0">
      <selection activeCell="C21" sqref="C21"/>
    </sheetView>
  </sheetViews>
  <sheetFormatPr baseColWidth="10" defaultColWidth="8.83203125" defaultRowHeight="15" x14ac:dyDescent="0.2"/>
  <cols>
    <col min="1" max="1" width="12.1640625" bestFit="1" customWidth="1"/>
    <col min="2" max="2" width="11.5" bestFit="1" customWidth="1"/>
    <col min="8" max="8" width="13.1640625" customWidth="1"/>
    <col min="9" max="9" width="30.1640625" bestFit="1" customWidth="1"/>
  </cols>
  <sheetData>
    <row r="1" spans="1:6" ht="46" x14ac:dyDescent="0.2">
      <c r="A1" s="1" t="s">
        <v>0</v>
      </c>
      <c r="B1" s="1" t="s">
        <v>13</v>
      </c>
      <c r="C1" s="2" t="s">
        <v>1</v>
      </c>
      <c r="D1" s="2" t="s">
        <v>2</v>
      </c>
      <c r="E1" s="2" t="s">
        <v>3</v>
      </c>
      <c r="F1" s="2" t="s">
        <v>12</v>
      </c>
    </row>
    <row r="2" spans="1:6" x14ac:dyDescent="0.2">
      <c r="A2" s="3">
        <v>43087</v>
      </c>
      <c r="B2" s="3" t="s">
        <v>7</v>
      </c>
      <c r="C2" s="4">
        <v>825</v>
      </c>
      <c r="D2" s="4">
        <v>51</v>
      </c>
      <c r="E2" s="4">
        <v>217</v>
      </c>
      <c r="F2" s="4">
        <f t="shared" ref="F2:F24" si="0">SUM(C2:E2)</f>
        <v>1093</v>
      </c>
    </row>
    <row r="3" spans="1:6" x14ac:dyDescent="0.2">
      <c r="A3" s="3">
        <v>43088</v>
      </c>
      <c r="B3" s="3" t="s">
        <v>8</v>
      </c>
      <c r="C3" s="4">
        <v>742</v>
      </c>
      <c r="D3" s="4">
        <v>0</v>
      </c>
      <c r="E3" s="4">
        <v>334</v>
      </c>
      <c r="F3" s="4">
        <f t="shared" si="0"/>
        <v>1076</v>
      </c>
    </row>
    <row r="4" spans="1:6" x14ac:dyDescent="0.2">
      <c r="A4" s="3">
        <v>43089</v>
      </c>
      <c r="B4" s="3" t="s">
        <v>9</v>
      </c>
      <c r="C4" s="4">
        <v>2456</v>
      </c>
      <c r="D4" s="4">
        <v>54</v>
      </c>
      <c r="E4" s="4">
        <v>1217</v>
      </c>
      <c r="F4" s="4">
        <f t="shared" si="0"/>
        <v>3727</v>
      </c>
    </row>
    <row r="5" spans="1:6" x14ac:dyDescent="0.2">
      <c r="A5" s="3">
        <v>43090</v>
      </c>
      <c r="B5" s="3" t="s">
        <v>10</v>
      </c>
      <c r="C5" s="4">
        <v>2501</v>
      </c>
      <c r="D5" s="4">
        <v>178</v>
      </c>
      <c r="E5" s="4">
        <v>922</v>
      </c>
      <c r="F5" s="4">
        <f t="shared" si="0"/>
        <v>3601</v>
      </c>
    </row>
    <row r="6" spans="1:6" x14ac:dyDescent="0.2">
      <c r="A6" s="3">
        <v>43091</v>
      </c>
      <c r="B6" s="3" t="s">
        <v>4</v>
      </c>
      <c r="C6" s="4">
        <v>2655</v>
      </c>
      <c r="D6" s="4">
        <v>66</v>
      </c>
      <c r="E6" s="4">
        <v>975</v>
      </c>
      <c r="F6" s="4">
        <f t="shared" si="0"/>
        <v>3696</v>
      </c>
    </row>
    <row r="7" spans="1:6" x14ac:dyDescent="0.2">
      <c r="A7" s="3">
        <v>43092</v>
      </c>
      <c r="B7" s="3" t="s">
        <v>5</v>
      </c>
      <c r="C7" s="4">
        <v>3239</v>
      </c>
      <c r="D7" s="4">
        <v>621</v>
      </c>
      <c r="E7" s="4">
        <v>1355</v>
      </c>
      <c r="F7" s="4">
        <f t="shared" si="0"/>
        <v>5215</v>
      </c>
    </row>
    <row r="8" spans="1:6" x14ac:dyDescent="0.2">
      <c r="A8" s="3">
        <v>43093</v>
      </c>
      <c r="B8" s="3" t="s">
        <v>6</v>
      </c>
      <c r="C8" s="4">
        <v>1587</v>
      </c>
      <c r="D8" s="4">
        <v>235</v>
      </c>
      <c r="E8" s="4">
        <v>646</v>
      </c>
      <c r="F8" s="4">
        <f t="shared" si="0"/>
        <v>2468</v>
      </c>
    </row>
    <row r="9" spans="1:6" x14ac:dyDescent="0.2">
      <c r="A9" s="3">
        <v>43094</v>
      </c>
      <c r="B9" s="3" t="s">
        <v>7</v>
      </c>
      <c r="C9" s="4">
        <v>1840</v>
      </c>
      <c r="D9" s="4">
        <v>175</v>
      </c>
      <c r="E9" s="4">
        <v>596</v>
      </c>
      <c r="F9" s="4">
        <f t="shared" si="0"/>
        <v>2611</v>
      </c>
    </row>
    <row r="10" spans="1:6" x14ac:dyDescent="0.2">
      <c r="A10" s="3">
        <v>43095</v>
      </c>
      <c r="B10" s="3" t="s">
        <v>8</v>
      </c>
      <c r="C10" s="4">
        <v>3352</v>
      </c>
      <c r="D10" s="4">
        <v>402</v>
      </c>
      <c r="E10" s="4">
        <v>833</v>
      </c>
      <c r="F10" s="4">
        <f t="shared" si="0"/>
        <v>4587</v>
      </c>
    </row>
    <row r="11" spans="1:6" x14ac:dyDescent="0.2">
      <c r="A11" s="3">
        <v>43096</v>
      </c>
      <c r="B11" s="3" t="s">
        <v>9</v>
      </c>
      <c r="C11" s="4">
        <v>3732</v>
      </c>
      <c r="D11" s="4">
        <v>191</v>
      </c>
      <c r="E11" s="4">
        <v>1162</v>
      </c>
      <c r="F11" s="4">
        <f t="shared" si="0"/>
        <v>5085</v>
      </c>
    </row>
    <row r="12" spans="1:6" x14ac:dyDescent="0.2">
      <c r="A12" s="3">
        <v>43097</v>
      </c>
      <c r="B12" s="3" t="s">
        <v>10</v>
      </c>
      <c r="C12" s="4">
        <v>4014</v>
      </c>
      <c r="D12" s="4">
        <v>214</v>
      </c>
      <c r="E12" s="4">
        <v>1247</v>
      </c>
      <c r="F12" s="4">
        <f t="shared" si="0"/>
        <v>5475</v>
      </c>
    </row>
    <row r="13" spans="1:6" x14ac:dyDescent="0.2">
      <c r="A13" s="3">
        <v>43098</v>
      </c>
      <c r="B13" s="3" t="s">
        <v>4</v>
      </c>
      <c r="C13" s="4">
        <v>2534</v>
      </c>
      <c r="D13" s="4">
        <v>20</v>
      </c>
      <c r="E13" s="4">
        <v>985</v>
      </c>
      <c r="F13" s="4">
        <f t="shared" si="0"/>
        <v>3539</v>
      </c>
    </row>
    <row r="14" spans="1:6" x14ac:dyDescent="0.2">
      <c r="A14" s="3">
        <v>43099</v>
      </c>
      <c r="B14" s="3" t="s">
        <v>5</v>
      </c>
      <c r="C14" s="4">
        <v>4989</v>
      </c>
      <c r="D14" s="4">
        <v>335</v>
      </c>
      <c r="E14" s="4">
        <v>1764</v>
      </c>
      <c r="F14" s="4">
        <f t="shared" si="0"/>
        <v>7088</v>
      </c>
    </row>
    <row r="15" spans="1:6" x14ac:dyDescent="0.2">
      <c r="A15" s="3">
        <v>43100</v>
      </c>
      <c r="B15" s="3" t="s">
        <v>6</v>
      </c>
      <c r="C15" s="4">
        <v>5156</v>
      </c>
      <c r="D15" s="4">
        <v>479</v>
      </c>
      <c r="E15" s="4">
        <v>1671</v>
      </c>
      <c r="F15" s="4">
        <f t="shared" si="0"/>
        <v>7306</v>
      </c>
    </row>
    <row r="16" spans="1:6" x14ac:dyDescent="0.2">
      <c r="A16" s="3">
        <v>43101</v>
      </c>
      <c r="B16" s="3" t="s">
        <v>7</v>
      </c>
      <c r="C16" s="4">
        <v>2713</v>
      </c>
      <c r="D16" s="4">
        <v>356</v>
      </c>
      <c r="E16" s="4">
        <v>922</v>
      </c>
      <c r="F16" s="4">
        <f t="shared" si="0"/>
        <v>3991</v>
      </c>
    </row>
    <row r="17" spans="1:6" x14ac:dyDescent="0.2">
      <c r="A17" s="3">
        <v>43102</v>
      </c>
      <c r="B17" s="3" t="s">
        <v>8</v>
      </c>
      <c r="C17" s="4">
        <f>1138+12</f>
        <v>1150</v>
      </c>
      <c r="D17" s="4">
        <v>132</v>
      </c>
      <c r="E17" s="4">
        <v>310</v>
      </c>
      <c r="F17" s="4">
        <f t="shared" si="0"/>
        <v>1592</v>
      </c>
    </row>
    <row r="18" spans="1:6" x14ac:dyDescent="0.2">
      <c r="A18" s="3">
        <v>43112</v>
      </c>
      <c r="B18" s="3" t="s">
        <v>4</v>
      </c>
      <c r="C18" s="4">
        <f>486+470+2253</f>
        <v>3209</v>
      </c>
      <c r="D18" s="4">
        <v>79</v>
      </c>
      <c r="E18" s="4">
        <v>1163</v>
      </c>
      <c r="F18" s="4">
        <f t="shared" si="0"/>
        <v>4451</v>
      </c>
    </row>
    <row r="19" spans="1:6" x14ac:dyDescent="0.2">
      <c r="A19" s="3">
        <v>43113</v>
      </c>
      <c r="B19" s="3" t="s">
        <v>5</v>
      </c>
      <c r="C19" s="4">
        <f>230+4959</f>
        <v>5189</v>
      </c>
      <c r="D19" s="4">
        <v>198</v>
      </c>
      <c r="E19" s="4">
        <v>1550</v>
      </c>
      <c r="F19" s="4">
        <f t="shared" si="0"/>
        <v>6937</v>
      </c>
    </row>
    <row r="20" spans="1:6" x14ac:dyDescent="0.2">
      <c r="A20" s="3">
        <v>43114</v>
      </c>
      <c r="B20" s="3" t="s">
        <v>6</v>
      </c>
      <c r="C20" s="4">
        <v>5600</v>
      </c>
      <c r="D20" s="4">
        <v>388</v>
      </c>
      <c r="E20" s="4">
        <v>1361</v>
      </c>
      <c r="F20" s="4">
        <f t="shared" si="0"/>
        <v>7349</v>
      </c>
    </row>
    <row r="21" spans="1:6" x14ac:dyDescent="0.2">
      <c r="A21" s="3">
        <v>43115</v>
      </c>
      <c r="B21" s="3" t="s">
        <v>7</v>
      </c>
      <c r="C21" s="4">
        <v>2929</v>
      </c>
      <c r="D21" s="4">
        <v>91</v>
      </c>
      <c r="E21" s="4">
        <v>646</v>
      </c>
      <c r="F21" s="4">
        <f t="shared" si="0"/>
        <v>3666</v>
      </c>
    </row>
    <row r="22" spans="1:6" x14ac:dyDescent="0.2">
      <c r="A22" s="3">
        <v>43116</v>
      </c>
      <c r="B22" s="3" t="s">
        <v>8</v>
      </c>
      <c r="C22" s="4">
        <v>345</v>
      </c>
      <c r="D22" s="4">
        <v>29</v>
      </c>
      <c r="E22" s="4">
        <v>169</v>
      </c>
      <c r="F22" s="4">
        <f t="shared" si="0"/>
        <v>543</v>
      </c>
    </row>
    <row r="23" spans="1:6" x14ac:dyDescent="0.2">
      <c r="A23" s="3">
        <v>43117</v>
      </c>
      <c r="B23" s="3" t="s">
        <v>9</v>
      </c>
      <c r="C23" s="4">
        <v>395</v>
      </c>
      <c r="D23" s="4">
        <v>0</v>
      </c>
      <c r="E23" s="4">
        <v>121</v>
      </c>
      <c r="F23" s="4">
        <f t="shared" si="0"/>
        <v>516</v>
      </c>
    </row>
    <row r="24" spans="1:6" x14ac:dyDescent="0.2">
      <c r="A24" s="3">
        <v>43118</v>
      </c>
      <c r="B24" s="3" t="s">
        <v>10</v>
      </c>
      <c r="C24" s="4">
        <v>419</v>
      </c>
      <c r="D24" s="4">
        <v>39</v>
      </c>
      <c r="E24" s="4">
        <v>248</v>
      </c>
      <c r="F24" s="4">
        <f t="shared" si="0"/>
        <v>706</v>
      </c>
    </row>
    <row r="25" spans="1:6" x14ac:dyDescent="0.2">
      <c r="A25" s="3">
        <v>43119</v>
      </c>
      <c r="B25" s="3" t="s">
        <v>4</v>
      </c>
      <c r="C25" s="4">
        <f>486+470+957</f>
        <v>1913</v>
      </c>
      <c r="D25" s="4">
        <v>55</v>
      </c>
      <c r="E25" s="4">
        <v>584</v>
      </c>
      <c r="F25" s="4">
        <f t="shared" ref="F25:F88" si="1">SUM(C25:E25)</f>
        <v>2552</v>
      </c>
    </row>
    <row r="26" spans="1:6" x14ac:dyDescent="0.2">
      <c r="A26" s="3">
        <v>43120</v>
      </c>
      <c r="B26" s="3" t="s">
        <v>5</v>
      </c>
      <c r="C26" s="4">
        <f>230+4388</f>
        <v>4618</v>
      </c>
      <c r="D26" s="4">
        <v>153</v>
      </c>
      <c r="E26" s="4">
        <v>1265</v>
      </c>
      <c r="F26" s="4">
        <f t="shared" si="1"/>
        <v>6036</v>
      </c>
    </row>
    <row r="27" spans="1:6" x14ac:dyDescent="0.2">
      <c r="A27" s="3">
        <v>43121</v>
      </c>
      <c r="B27" s="3" t="s">
        <v>6</v>
      </c>
      <c r="C27" s="4">
        <v>3210</v>
      </c>
      <c r="D27" s="4">
        <v>0</v>
      </c>
      <c r="E27" s="4">
        <v>627</v>
      </c>
      <c r="F27" s="4">
        <f t="shared" si="1"/>
        <v>3837</v>
      </c>
    </row>
    <row r="28" spans="1:6" x14ac:dyDescent="0.2">
      <c r="A28" s="3">
        <v>43122</v>
      </c>
      <c r="B28" s="3" t="s">
        <v>7</v>
      </c>
      <c r="C28" s="4">
        <v>708</v>
      </c>
      <c r="D28" s="4">
        <v>31</v>
      </c>
      <c r="E28" s="4">
        <v>408</v>
      </c>
      <c r="F28" s="4">
        <f t="shared" si="1"/>
        <v>1147</v>
      </c>
    </row>
    <row r="29" spans="1:6" x14ac:dyDescent="0.2">
      <c r="A29" s="3">
        <v>43123</v>
      </c>
      <c r="B29" s="3" t="s">
        <v>8</v>
      </c>
      <c r="C29" s="4">
        <v>417</v>
      </c>
      <c r="D29" s="4">
        <v>0</v>
      </c>
      <c r="E29" s="4">
        <v>282</v>
      </c>
      <c r="F29" s="4">
        <f t="shared" si="1"/>
        <v>699</v>
      </c>
    </row>
    <row r="30" spans="1:6" x14ac:dyDescent="0.2">
      <c r="A30" s="3">
        <v>43124</v>
      </c>
      <c r="B30" s="3" t="s">
        <v>9</v>
      </c>
      <c r="C30" s="4">
        <v>1190</v>
      </c>
      <c r="D30" s="4">
        <v>0</v>
      </c>
      <c r="E30" s="4">
        <v>542</v>
      </c>
      <c r="F30" s="4">
        <f t="shared" si="1"/>
        <v>1732</v>
      </c>
    </row>
    <row r="31" spans="1:6" x14ac:dyDescent="0.2">
      <c r="A31" s="3">
        <v>43125</v>
      </c>
      <c r="B31" s="3" t="s">
        <v>10</v>
      </c>
      <c r="C31" s="4">
        <v>1098</v>
      </c>
      <c r="D31" s="4">
        <v>43</v>
      </c>
      <c r="E31" s="4">
        <v>523</v>
      </c>
      <c r="F31" s="4">
        <f t="shared" si="1"/>
        <v>1664</v>
      </c>
    </row>
    <row r="32" spans="1:6" x14ac:dyDescent="0.2">
      <c r="A32" s="3">
        <v>43126</v>
      </c>
      <c r="B32" s="3" t="s">
        <v>4</v>
      </c>
      <c r="C32" s="4">
        <f>486+470+2128</f>
        <v>3084</v>
      </c>
      <c r="D32" s="4">
        <v>48</v>
      </c>
      <c r="E32" s="4">
        <v>569</v>
      </c>
      <c r="F32" s="4">
        <f t="shared" si="1"/>
        <v>3701</v>
      </c>
    </row>
    <row r="33" spans="1:6" x14ac:dyDescent="0.2">
      <c r="A33" s="3">
        <v>43127</v>
      </c>
      <c r="B33" s="3" t="s">
        <v>5</v>
      </c>
      <c r="C33" s="4">
        <f>230+5454</f>
        <v>5684</v>
      </c>
      <c r="D33" s="4">
        <v>85</v>
      </c>
      <c r="E33" s="4">
        <v>2136</v>
      </c>
      <c r="F33" s="4">
        <f t="shared" si="1"/>
        <v>7905</v>
      </c>
    </row>
    <row r="34" spans="1:6" x14ac:dyDescent="0.2">
      <c r="A34" s="3">
        <v>43128</v>
      </c>
      <c r="B34" s="3" t="s">
        <v>6</v>
      </c>
      <c r="C34" s="4">
        <v>2418</v>
      </c>
      <c r="D34" s="4">
        <v>102</v>
      </c>
      <c r="E34" s="4">
        <v>892</v>
      </c>
      <c r="F34" s="4">
        <f t="shared" si="1"/>
        <v>3412</v>
      </c>
    </row>
    <row r="35" spans="1:6" x14ac:dyDescent="0.2">
      <c r="A35" s="3">
        <v>43129</v>
      </c>
      <c r="B35" s="3" t="s">
        <v>7</v>
      </c>
      <c r="C35" s="4">
        <v>394</v>
      </c>
      <c r="D35" s="4">
        <v>0</v>
      </c>
      <c r="E35" s="4">
        <v>63</v>
      </c>
      <c r="F35" s="4">
        <f t="shared" si="1"/>
        <v>457</v>
      </c>
    </row>
    <row r="36" spans="1:6" x14ac:dyDescent="0.2">
      <c r="A36" s="3">
        <v>43130</v>
      </c>
      <c r="B36" s="3" t="s">
        <v>8</v>
      </c>
      <c r="C36" s="4">
        <v>613</v>
      </c>
      <c r="D36" s="4">
        <v>17</v>
      </c>
      <c r="E36" s="4">
        <v>344</v>
      </c>
      <c r="F36" s="4">
        <f t="shared" si="1"/>
        <v>974</v>
      </c>
    </row>
    <row r="37" spans="1:6" x14ac:dyDescent="0.2">
      <c r="A37" s="3">
        <v>43131</v>
      </c>
      <c r="B37" s="3" t="s">
        <v>9</v>
      </c>
      <c r="C37" s="4">
        <v>1480</v>
      </c>
      <c r="D37" s="4">
        <v>22</v>
      </c>
      <c r="E37" s="4">
        <v>602</v>
      </c>
      <c r="F37" s="4">
        <f t="shared" si="1"/>
        <v>2104</v>
      </c>
    </row>
    <row r="38" spans="1:6" x14ac:dyDescent="0.2">
      <c r="A38" s="3">
        <v>43132</v>
      </c>
      <c r="B38" s="3" t="s">
        <v>10</v>
      </c>
      <c r="C38" s="4">
        <v>834</v>
      </c>
      <c r="D38" s="4">
        <v>21</v>
      </c>
      <c r="E38" s="4">
        <v>299</v>
      </c>
      <c r="F38" s="4">
        <f t="shared" si="1"/>
        <v>1154</v>
      </c>
    </row>
    <row r="39" spans="1:6" x14ac:dyDescent="0.2">
      <c r="A39" s="3">
        <v>43133</v>
      </c>
      <c r="B39" s="3" t="s">
        <v>4</v>
      </c>
      <c r="C39" s="4">
        <f>486+470+497</f>
        <v>1453</v>
      </c>
      <c r="D39" s="4">
        <v>10</v>
      </c>
      <c r="E39" s="4">
        <v>104</v>
      </c>
      <c r="F39" s="4">
        <f t="shared" si="1"/>
        <v>1567</v>
      </c>
    </row>
    <row r="40" spans="1:6" x14ac:dyDescent="0.2">
      <c r="A40" s="3">
        <v>43134</v>
      </c>
      <c r="B40" s="3" t="s">
        <v>5</v>
      </c>
      <c r="C40" s="4">
        <f>230+2370</f>
        <v>2600</v>
      </c>
      <c r="D40" s="4">
        <v>117</v>
      </c>
      <c r="E40" s="4">
        <v>991</v>
      </c>
      <c r="F40" s="4">
        <f t="shared" si="1"/>
        <v>3708</v>
      </c>
    </row>
    <row r="41" spans="1:6" x14ac:dyDescent="0.2">
      <c r="A41" s="3">
        <v>43135</v>
      </c>
      <c r="B41" s="3" t="s">
        <v>6</v>
      </c>
      <c r="C41" s="4">
        <v>797</v>
      </c>
      <c r="D41" s="4">
        <v>0</v>
      </c>
      <c r="E41" s="4">
        <v>386</v>
      </c>
      <c r="F41" s="4">
        <f t="shared" si="1"/>
        <v>1183</v>
      </c>
    </row>
    <row r="42" spans="1:6" x14ac:dyDescent="0.2">
      <c r="A42" s="3">
        <v>43136</v>
      </c>
      <c r="B42" s="3" t="s">
        <v>7</v>
      </c>
      <c r="C42" s="4">
        <v>391</v>
      </c>
      <c r="D42" s="4">
        <v>12</v>
      </c>
      <c r="E42" s="4">
        <v>82</v>
      </c>
      <c r="F42" s="4">
        <f t="shared" si="1"/>
        <v>485</v>
      </c>
    </row>
    <row r="43" spans="1:6" x14ac:dyDescent="0.2">
      <c r="A43" s="3">
        <v>43137</v>
      </c>
      <c r="B43" s="3" t="s">
        <v>8</v>
      </c>
      <c r="C43" s="4">
        <v>384</v>
      </c>
      <c r="D43" s="4">
        <v>30</v>
      </c>
      <c r="E43" s="4">
        <v>179</v>
      </c>
      <c r="F43" s="4">
        <f t="shared" si="1"/>
        <v>593</v>
      </c>
    </row>
    <row r="44" spans="1:6" x14ac:dyDescent="0.2">
      <c r="A44" s="3">
        <v>43138</v>
      </c>
      <c r="B44" s="3" t="s">
        <v>9</v>
      </c>
      <c r="C44" s="4">
        <v>443</v>
      </c>
      <c r="D44" s="4">
        <v>34</v>
      </c>
      <c r="E44" s="4">
        <v>208</v>
      </c>
      <c r="F44" s="4">
        <f t="shared" si="1"/>
        <v>685</v>
      </c>
    </row>
    <row r="45" spans="1:6" x14ac:dyDescent="0.2">
      <c r="A45" s="3">
        <v>43139</v>
      </c>
      <c r="B45" s="3" t="s">
        <v>10</v>
      </c>
      <c r="C45" s="4">
        <v>959</v>
      </c>
      <c r="D45" s="4">
        <v>100</v>
      </c>
      <c r="E45" s="4">
        <v>164</v>
      </c>
      <c r="F45" s="4">
        <f t="shared" si="1"/>
        <v>1223</v>
      </c>
    </row>
    <row r="46" spans="1:6" x14ac:dyDescent="0.2">
      <c r="A46" s="3">
        <v>43140</v>
      </c>
      <c r="B46" s="3" t="s">
        <v>4</v>
      </c>
      <c r="C46" s="4">
        <f>486+470+935</f>
        <v>1891</v>
      </c>
      <c r="D46" s="4">
        <v>37</v>
      </c>
      <c r="E46" s="4">
        <v>282</v>
      </c>
      <c r="F46" s="4">
        <f t="shared" si="1"/>
        <v>2210</v>
      </c>
    </row>
    <row r="47" spans="1:6" x14ac:dyDescent="0.2">
      <c r="A47" s="3">
        <v>43141</v>
      </c>
      <c r="B47" s="3" t="s">
        <v>5</v>
      </c>
      <c r="C47" s="4">
        <f>230+4343</f>
        <v>4573</v>
      </c>
      <c r="D47" s="4">
        <v>450</v>
      </c>
      <c r="E47" s="4">
        <v>1644</v>
      </c>
      <c r="F47" s="4">
        <f t="shared" si="1"/>
        <v>6667</v>
      </c>
    </row>
    <row r="48" spans="1:6" x14ac:dyDescent="0.2">
      <c r="A48" s="3">
        <v>43142</v>
      </c>
      <c r="B48" s="3" t="s">
        <v>6</v>
      </c>
      <c r="C48" s="4">
        <v>2552</v>
      </c>
      <c r="D48" s="4">
        <v>175</v>
      </c>
      <c r="E48" s="4">
        <v>907</v>
      </c>
      <c r="F48" s="4">
        <f t="shared" si="1"/>
        <v>3634</v>
      </c>
    </row>
    <row r="49" spans="1:6" x14ac:dyDescent="0.2">
      <c r="A49" s="3">
        <v>43143</v>
      </c>
      <c r="B49" s="3" t="s">
        <v>7</v>
      </c>
      <c r="C49" s="4">
        <v>584</v>
      </c>
      <c r="D49" s="4">
        <v>76</v>
      </c>
      <c r="E49" s="4">
        <v>185</v>
      </c>
      <c r="F49" s="4">
        <f t="shared" si="1"/>
        <v>845</v>
      </c>
    </row>
    <row r="50" spans="1:6" x14ac:dyDescent="0.2">
      <c r="A50" s="3">
        <v>43144</v>
      </c>
      <c r="B50" s="3" t="s">
        <v>8</v>
      </c>
      <c r="C50" s="4">
        <v>513</v>
      </c>
      <c r="D50" s="4">
        <v>62</v>
      </c>
      <c r="E50" s="4">
        <v>211</v>
      </c>
      <c r="F50" s="4">
        <f t="shared" si="1"/>
        <v>786</v>
      </c>
    </row>
    <row r="51" spans="1:6" x14ac:dyDescent="0.2">
      <c r="A51" s="3">
        <v>43145</v>
      </c>
      <c r="B51" s="3" t="s">
        <v>9</v>
      </c>
      <c r="C51" s="4">
        <v>481</v>
      </c>
      <c r="D51" s="4">
        <v>20</v>
      </c>
      <c r="E51" s="4">
        <v>59</v>
      </c>
      <c r="F51" s="4">
        <f t="shared" si="1"/>
        <v>560</v>
      </c>
    </row>
    <row r="52" spans="1:6" x14ac:dyDescent="0.2">
      <c r="A52" s="3">
        <v>43146</v>
      </c>
      <c r="B52" s="3" t="s">
        <v>10</v>
      </c>
      <c r="C52" s="4">
        <v>850</v>
      </c>
      <c r="D52" s="4">
        <v>27</v>
      </c>
      <c r="E52" s="4">
        <v>280</v>
      </c>
      <c r="F52" s="4">
        <f t="shared" si="1"/>
        <v>1157</v>
      </c>
    </row>
    <row r="53" spans="1:6" x14ac:dyDescent="0.2">
      <c r="A53" s="3">
        <v>43147</v>
      </c>
      <c r="B53" s="3" t="s">
        <v>4</v>
      </c>
      <c r="C53" s="4">
        <f>486+1375</f>
        <v>1861</v>
      </c>
      <c r="D53" s="4">
        <v>50</v>
      </c>
      <c r="E53" s="4">
        <v>547</v>
      </c>
      <c r="F53" s="4">
        <f t="shared" si="1"/>
        <v>2458</v>
      </c>
    </row>
    <row r="54" spans="1:6" x14ac:dyDescent="0.2">
      <c r="A54" s="3">
        <v>43148</v>
      </c>
      <c r="B54" s="3" t="s">
        <v>5</v>
      </c>
      <c r="C54" s="4">
        <v>3532</v>
      </c>
      <c r="D54" s="4">
        <v>0</v>
      </c>
      <c r="E54" s="4">
        <v>1311</v>
      </c>
      <c r="F54" s="4">
        <f t="shared" si="1"/>
        <v>4843</v>
      </c>
    </row>
    <row r="55" spans="1:6" x14ac:dyDescent="0.2">
      <c r="A55" s="3">
        <v>43149</v>
      </c>
      <c r="B55" s="3" t="s">
        <v>6</v>
      </c>
      <c r="C55" s="4">
        <v>5442</v>
      </c>
      <c r="D55" s="4">
        <v>101</v>
      </c>
      <c r="E55" s="4">
        <v>1535</v>
      </c>
      <c r="F55" s="4">
        <f t="shared" si="1"/>
        <v>7078</v>
      </c>
    </row>
    <row r="56" spans="1:6" x14ac:dyDescent="0.2">
      <c r="A56" s="3">
        <v>43150</v>
      </c>
      <c r="B56" s="3" t="s">
        <v>7</v>
      </c>
      <c r="C56" s="4">
        <v>4398</v>
      </c>
      <c r="D56" s="4">
        <v>249</v>
      </c>
      <c r="E56" s="4">
        <v>978</v>
      </c>
      <c r="F56" s="4">
        <f t="shared" si="1"/>
        <v>5625</v>
      </c>
    </row>
    <row r="57" spans="1:6" x14ac:dyDescent="0.2">
      <c r="A57" s="3">
        <v>43151</v>
      </c>
      <c r="B57" s="3" t="s">
        <v>8</v>
      </c>
      <c r="C57" s="4">
        <v>1542</v>
      </c>
      <c r="D57" s="4">
        <v>25</v>
      </c>
      <c r="E57" s="4">
        <v>467</v>
      </c>
      <c r="F57" s="4">
        <f t="shared" si="1"/>
        <v>2034</v>
      </c>
    </row>
    <row r="58" spans="1:6" x14ac:dyDescent="0.2">
      <c r="A58" s="3">
        <v>43152</v>
      </c>
      <c r="B58" s="3" t="s">
        <v>9</v>
      </c>
      <c r="C58" s="4">
        <v>1409</v>
      </c>
      <c r="D58" s="4">
        <v>35</v>
      </c>
      <c r="E58" s="4">
        <v>502</v>
      </c>
      <c r="F58" s="4">
        <f t="shared" si="1"/>
        <v>1946</v>
      </c>
    </row>
    <row r="59" spans="1:6" x14ac:dyDescent="0.2">
      <c r="A59" s="3">
        <v>43153</v>
      </c>
      <c r="B59" s="3" t="s">
        <v>10</v>
      </c>
      <c r="C59" s="4">
        <v>1470</v>
      </c>
      <c r="D59" s="4">
        <v>57</v>
      </c>
      <c r="E59" s="4">
        <v>564</v>
      </c>
      <c r="F59" s="4">
        <f t="shared" si="1"/>
        <v>2091</v>
      </c>
    </row>
    <row r="60" spans="1:6" x14ac:dyDescent="0.2">
      <c r="A60" s="3">
        <v>43154</v>
      </c>
      <c r="B60" s="3" t="s">
        <v>4</v>
      </c>
      <c r="C60" s="4">
        <v>2141</v>
      </c>
      <c r="D60" s="4">
        <v>26</v>
      </c>
      <c r="E60" s="4">
        <v>692</v>
      </c>
      <c r="F60" s="4">
        <f t="shared" si="1"/>
        <v>2859</v>
      </c>
    </row>
    <row r="61" spans="1:6" x14ac:dyDescent="0.2">
      <c r="A61" s="3">
        <v>43155</v>
      </c>
      <c r="B61" s="3" t="s">
        <v>5</v>
      </c>
      <c r="C61" s="4">
        <v>4608</v>
      </c>
      <c r="D61" s="4">
        <v>48</v>
      </c>
      <c r="E61" s="4">
        <v>1596</v>
      </c>
      <c r="F61" s="4">
        <f t="shared" si="1"/>
        <v>6252</v>
      </c>
    </row>
    <row r="62" spans="1:6" x14ac:dyDescent="0.2">
      <c r="A62" s="3">
        <v>43156</v>
      </c>
      <c r="B62" s="3" t="s">
        <v>6</v>
      </c>
      <c r="C62" s="4">
        <v>3700</v>
      </c>
      <c r="D62" s="4">
        <v>0</v>
      </c>
      <c r="E62" s="4">
        <v>1030</v>
      </c>
      <c r="F62" s="4">
        <f t="shared" si="1"/>
        <v>4730</v>
      </c>
    </row>
    <row r="63" spans="1:6" x14ac:dyDescent="0.2">
      <c r="A63" s="3">
        <v>43157</v>
      </c>
      <c r="B63" s="3" t="s">
        <v>7</v>
      </c>
      <c r="C63" s="4">
        <v>1201</v>
      </c>
      <c r="D63" s="4">
        <v>28</v>
      </c>
      <c r="E63" s="4">
        <v>661</v>
      </c>
      <c r="F63" s="4">
        <f t="shared" si="1"/>
        <v>1890</v>
      </c>
    </row>
    <row r="64" spans="1:6" x14ac:dyDescent="0.2">
      <c r="A64" s="3">
        <v>43158</v>
      </c>
      <c r="B64" s="3" t="s">
        <v>8</v>
      </c>
      <c r="C64" s="4">
        <v>568</v>
      </c>
      <c r="D64" s="4">
        <v>6</v>
      </c>
      <c r="E64" s="4">
        <v>282</v>
      </c>
      <c r="F64" s="4">
        <f t="shared" si="1"/>
        <v>856</v>
      </c>
    </row>
    <row r="65" spans="1:6" x14ac:dyDescent="0.2">
      <c r="A65" s="3">
        <v>43159</v>
      </c>
      <c r="B65" s="3" t="s">
        <v>9</v>
      </c>
      <c r="C65" s="4">
        <f>859+265</f>
        <v>1124</v>
      </c>
      <c r="D65" s="4">
        <f>24+5</f>
        <v>29</v>
      </c>
      <c r="E65" s="4">
        <v>252</v>
      </c>
      <c r="F65" s="4">
        <f t="shared" si="1"/>
        <v>1405</v>
      </c>
    </row>
    <row r="66" spans="1:6" x14ac:dyDescent="0.2">
      <c r="A66" s="3">
        <v>43160</v>
      </c>
      <c r="B66" s="3" t="s">
        <v>10</v>
      </c>
      <c r="C66" s="4">
        <v>1477</v>
      </c>
      <c r="D66" s="4">
        <v>44</v>
      </c>
      <c r="E66" s="4">
        <v>744</v>
      </c>
      <c r="F66" s="4">
        <f t="shared" si="1"/>
        <v>2265</v>
      </c>
    </row>
    <row r="67" spans="1:6" x14ac:dyDescent="0.2">
      <c r="A67" s="3">
        <v>43161</v>
      </c>
      <c r="B67" s="3" t="s">
        <v>4</v>
      </c>
      <c r="C67" s="4">
        <v>1541</v>
      </c>
      <c r="D67" s="4">
        <v>20</v>
      </c>
      <c r="E67" s="4">
        <v>543</v>
      </c>
      <c r="F67" s="4">
        <f t="shared" si="1"/>
        <v>2104</v>
      </c>
    </row>
    <row r="68" spans="1:6" x14ac:dyDescent="0.2">
      <c r="A68" s="3">
        <v>43162</v>
      </c>
      <c r="B68" s="3" t="s">
        <v>5</v>
      </c>
      <c r="C68" s="4">
        <v>4097</v>
      </c>
      <c r="D68" s="4">
        <v>157</v>
      </c>
      <c r="E68" s="4">
        <v>1572</v>
      </c>
      <c r="F68" s="4">
        <f t="shared" si="1"/>
        <v>5826</v>
      </c>
    </row>
    <row r="69" spans="1:6" x14ac:dyDescent="0.2">
      <c r="A69" s="3">
        <v>43163</v>
      </c>
      <c r="B69" s="3" t="s">
        <v>6</v>
      </c>
      <c r="C69" s="4">
        <v>3617</v>
      </c>
      <c r="D69" s="4">
        <v>81</v>
      </c>
      <c r="E69" s="4">
        <v>1415</v>
      </c>
      <c r="F69" s="4">
        <f t="shared" si="1"/>
        <v>5113</v>
      </c>
    </row>
    <row r="70" spans="1:6" x14ac:dyDescent="0.2">
      <c r="A70" s="3">
        <v>43164</v>
      </c>
      <c r="B70" s="3" t="s">
        <v>7</v>
      </c>
      <c r="C70" s="4">
        <v>603</v>
      </c>
      <c r="D70" s="4">
        <v>15</v>
      </c>
      <c r="E70" s="4">
        <v>271</v>
      </c>
      <c r="F70" s="4">
        <f t="shared" si="1"/>
        <v>889</v>
      </c>
    </row>
    <row r="71" spans="1:6" x14ac:dyDescent="0.2">
      <c r="A71" s="3">
        <v>43165</v>
      </c>
      <c r="B71" s="3" t="s">
        <v>8</v>
      </c>
      <c r="C71" s="4">
        <v>644</v>
      </c>
      <c r="D71" s="4">
        <v>56</v>
      </c>
      <c r="E71" s="4">
        <v>357</v>
      </c>
      <c r="F71" s="4">
        <f t="shared" si="1"/>
        <v>1057</v>
      </c>
    </row>
    <row r="72" spans="1:6" x14ac:dyDescent="0.2">
      <c r="A72" s="3">
        <v>43166</v>
      </c>
      <c r="B72" s="3" t="s">
        <v>9</v>
      </c>
      <c r="C72" s="4">
        <v>529</v>
      </c>
      <c r="D72" s="4">
        <v>27</v>
      </c>
      <c r="E72" s="4">
        <v>252</v>
      </c>
      <c r="F72" s="4">
        <f t="shared" si="1"/>
        <v>808</v>
      </c>
    </row>
    <row r="73" spans="1:6" x14ac:dyDescent="0.2">
      <c r="A73" s="3">
        <v>43167</v>
      </c>
      <c r="B73" s="3" t="s">
        <v>10</v>
      </c>
      <c r="C73" s="4">
        <v>334</v>
      </c>
      <c r="D73" s="4">
        <v>0</v>
      </c>
      <c r="E73" s="4">
        <v>80</v>
      </c>
      <c r="F73" s="4">
        <f t="shared" si="1"/>
        <v>414</v>
      </c>
    </row>
    <row r="74" spans="1:6" x14ac:dyDescent="0.2">
      <c r="A74" s="3">
        <v>43168</v>
      </c>
      <c r="B74" s="3" t="s">
        <v>4</v>
      </c>
      <c r="C74" s="4">
        <v>2513</v>
      </c>
      <c r="D74" s="4">
        <v>85</v>
      </c>
      <c r="E74" s="4">
        <v>829</v>
      </c>
      <c r="F74" s="4">
        <f t="shared" si="1"/>
        <v>3427</v>
      </c>
    </row>
    <row r="75" spans="1:6" x14ac:dyDescent="0.2">
      <c r="A75" s="3">
        <v>43169</v>
      </c>
      <c r="B75" s="3" t="s">
        <v>5</v>
      </c>
      <c r="C75" s="4">
        <v>4313</v>
      </c>
      <c r="D75" s="4">
        <v>366</v>
      </c>
      <c r="E75" s="4">
        <v>1583</v>
      </c>
      <c r="F75" s="4">
        <f t="shared" si="1"/>
        <v>6262</v>
      </c>
    </row>
    <row r="76" spans="1:6" x14ac:dyDescent="0.2">
      <c r="A76" s="3">
        <v>43170</v>
      </c>
      <c r="B76" s="3" t="s">
        <v>6</v>
      </c>
      <c r="C76" s="4">
        <v>3354</v>
      </c>
      <c r="D76" s="4">
        <v>372</v>
      </c>
      <c r="E76" s="4">
        <v>1285</v>
      </c>
      <c r="F76" s="4">
        <f t="shared" si="1"/>
        <v>5011</v>
      </c>
    </row>
    <row r="77" spans="1:6" x14ac:dyDescent="0.2">
      <c r="A77" s="3">
        <v>43171</v>
      </c>
      <c r="B77" s="3" t="s">
        <v>7</v>
      </c>
      <c r="C77" s="4">
        <v>733</v>
      </c>
      <c r="D77" s="4">
        <v>8</v>
      </c>
      <c r="E77" s="4">
        <v>285</v>
      </c>
      <c r="F77" s="4">
        <f t="shared" si="1"/>
        <v>1026</v>
      </c>
    </row>
    <row r="78" spans="1:6" x14ac:dyDescent="0.2">
      <c r="A78" s="3">
        <v>43172</v>
      </c>
      <c r="B78" s="3" t="s">
        <v>8</v>
      </c>
      <c r="C78" s="4">
        <v>269</v>
      </c>
      <c r="D78" s="4">
        <v>0</v>
      </c>
      <c r="E78" s="4">
        <v>59</v>
      </c>
      <c r="F78" s="4">
        <f t="shared" si="1"/>
        <v>328</v>
      </c>
    </row>
    <row r="79" spans="1:6" x14ac:dyDescent="0.2">
      <c r="A79" s="3">
        <v>43173</v>
      </c>
      <c r="B79" s="3" t="s">
        <v>9</v>
      </c>
      <c r="C79" s="4">
        <v>374</v>
      </c>
      <c r="D79" s="4">
        <v>9</v>
      </c>
      <c r="E79" s="4">
        <v>160</v>
      </c>
      <c r="F79" s="4">
        <f t="shared" si="1"/>
        <v>543</v>
      </c>
    </row>
    <row r="80" spans="1:6" x14ac:dyDescent="0.2">
      <c r="A80" s="3">
        <v>43174</v>
      </c>
      <c r="B80" s="3" t="s">
        <v>10</v>
      </c>
      <c r="C80" s="4">
        <v>726</v>
      </c>
      <c r="D80" s="4">
        <v>100</v>
      </c>
      <c r="E80" s="4">
        <v>322</v>
      </c>
      <c r="F80" s="4">
        <f t="shared" si="1"/>
        <v>1148</v>
      </c>
    </row>
    <row r="81" spans="1:6" x14ac:dyDescent="0.2">
      <c r="A81" s="3">
        <v>43175</v>
      </c>
      <c r="B81" s="3" t="s">
        <v>4</v>
      </c>
      <c r="C81" s="4">
        <v>1181</v>
      </c>
      <c r="D81" s="4">
        <v>69</v>
      </c>
      <c r="E81" s="4">
        <v>394</v>
      </c>
      <c r="F81" s="4">
        <f t="shared" si="1"/>
        <v>1644</v>
      </c>
    </row>
    <row r="82" spans="1:6" x14ac:dyDescent="0.2">
      <c r="A82" s="3">
        <v>43176</v>
      </c>
      <c r="B82" s="3" t="s">
        <v>5</v>
      </c>
      <c r="C82" s="4">
        <v>2569</v>
      </c>
      <c r="D82" s="4">
        <v>192</v>
      </c>
      <c r="E82" s="4">
        <v>1014</v>
      </c>
      <c r="F82" s="4">
        <f t="shared" si="1"/>
        <v>3775</v>
      </c>
    </row>
    <row r="83" spans="1:6" x14ac:dyDescent="0.2">
      <c r="A83" s="3">
        <v>43177</v>
      </c>
      <c r="B83" s="3" t="s">
        <v>6</v>
      </c>
      <c r="C83" s="4">
        <v>2116</v>
      </c>
      <c r="D83" s="4">
        <v>190</v>
      </c>
      <c r="E83" s="4">
        <v>815</v>
      </c>
      <c r="F83" s="4">
        <f t="shared" si="1"/>
        <v>3121</v>
      </c>
    </row>
    <row r="84" spans="1:6" x14ac:dyDescent="0.2">
      <c r="A84" s="3">
        <v>43178</v>
      </c>
      <c r="B84" s="3" t="s">
        <v>7</v>
      </c>
      <c r="C84" s="4">
        <v>627</v>
      </c>
      <c r="D84" s="4">
        <v>39</v>
      </c>
      <c r="E84" s="4">
        <v>208</v>
      </c>
      <c r="F84" s="4">
        <f t="shared" si="1"/>
        <v>874</v>
      </c>
    </row>
    <row r="85" spans="1:6" x14ac:dyDescent="0.2">
      <c r="A85" s="3">
        <v>43179</v>
      </c>
      <c r="B85" s="3" t="s">
        <v>8</v>
      </c>
      <c r="C85" s="4">
        <v>527</v>
      </c>
      <c r="D85" s="4">
        <v>96</v>
      </c>
      <c r="E85" s="4">
        <v>382</v>
      </c>
      <c r="F85" s="4">
        <f t="shared" si="1"/>
        <v>1005</v>
      </c>
    </row>
    <row r="86" spans="1:6" x14ac:dyDescent="0.2">
      <c r="A86" s="3">
        <v>43180</v>
      </c>
      <c r="B86" s="3" t="s">
        <v>9</v>
      </c>
      <c r="C86" s="4">
        <v>422</v>
      </c>
      <c r="D86" s="4">
        <v>31</v>
      </c>
      <c r="E86" s="4">
        <v>164</v>
      </c>
      <c r="F86" s="4">
        <f t="shared" si="1"/>
        <v>617</v>
      </c>
    </row>
    <row r="87" spans="1:6" x14ac:dyDescent="0.2">
      <c r="A87" s="3">
        <v>43181</v>
      </c>
      <c r="B87" s="3" t="s">
        <v>10</v>
      </c>
      <c r="C87" s="4">
        <v>535</v>
      </c>
      <c r="D87" s="4">
        <v>28</v>
      </c>
      <c r="E87" s="4">
        <v>234</v>
      </c>
      <c r="F87" s="4">
        <f t="shared" si="1"/>
        <v>797</v>
      </c>
    </row>
    <row r="88" spans="1:6" x14ac:dyDescent="0.2">
      <c r="A88" s="3">
        <v>43182</v>
      </c>
      <c r="B88" s="3" t="s">
        <v>4</v>
      </c>
      <c r="C88" s="4">
        <v>1308</v>
      </c>
      <c r="D88" s="4">
        <v>6</v>
      </c>
      <c r="E88" s="4">
        <v>712</v>
      </c>
      <c r="F88" s="4">
        <f t="shared" si="1"/>
        <v>2026</v>
      </c>
    </row>
    <row r="89" spans="1:6" x14ac:dyDescent="0.2">
      <c r="A89" s="3">
        <v>43183</v>
      </c>
      <c r="B89" s="3" t="s">
        <v>5</v>
      </c>
      <c r="C89" s="4">
        <v>3759</v>
      </c>
      <c r="D89" s="4">
        <v>153</v>
      </c>
      <c r="E89" s="4">
        <v>1677</v>
      </c>
      <c r="F89" s="4">
        <f t="shared" ref="F89:F102" si="2">SUM(C89:E89)</f>
        <v>5589</v>
      </c>
    </row>
    <row r="90" spans="1:6" x14ac:dyDescent="0.2">
      <c r="A90" s="3">
        <v>43184</v>
      </c>
      <c r="B90" s="3" t="s">
        <v>6</v>
      </c>
      <c r="C90" s="4">
        <v>2863</v>
      </c>
      <c r="D90" s="4">
        <v>168</v>
      </c>
      <c r="E90" s="4">
        <v>1223</v>
      </c>
      <c r="F90" s="4">
        <f t="shared" si="2"/>
        <v>4254</v>
      </c>
    </row>
    <row r="91" spans="1:6" x14ac:dyDescent="0.2">
      <c r="A91" s="3">
        <v>43185</v>
      </c>
      <c r="B91" s="3" t="s">
        <v>7</v>
      </c>
      <c r="C91" s="4">
        <v>526</v>
      </c>
      <c r="D91" s="4">
        <v>20</v>
      </c>
      <c r="E91" s="4">
        <v>260</v>
      </c>
      <c r="F91" s="4">
        <f t="shared" si="2"/>
        <v>806</v>
      </c>
    </row>
    <row r="92" spans="1:6" x14ac:dyDescent="0.2">
      <c r="A92" s="3">
        <v>43186</v>
      </c>
      <c r="B92" s="3" t="s">
        <v>8</v>
      </c>
      <c r="C92" s="4">
        <v>448</v>
      </c>
      <c r="D92" s="4">
        <v>0</v>
      </c>
      <c r="E92" s="4">
        <v>242</v>
      </c>
      <c r="F92" s="4">
        <f t="shared" si="2"/>
        <v>690</v>
      </c>
    </row>
    <row r="93" spans="1:6" x14ac:dyDescent="0.2">
      <c r="A93" s="3">
        <v>43187</v>
      </c>
      <c r="B93" s="3" t="s">
        <v>9</v>
      </c>
      <c r="C93" s="4">
        <v>673</v>
      </c>
      <c r="D93" s="4">
        <v>67</v>
      </c>
      <c r="E93" s="4">
        <v>224</v>
      </c>
      <c r="F93" s="4">
        <f t="shared" si="2"/>
        <v>964</v>
      </c>
    </row>
    <row r="94" spans="1:6" x14ac:dyDescent="0.2">
      <c r="A94" s="3">
        <v>43188</v>
      </c>
      <c r="B94" s="3" t="s">
        <v>10</v>
      </c>
      <c r="C94" s="4">
        <v>656</v>
      </c>
      <c r="D94" s="4">
        <v>50</v>
      </c>
      <c r="E94" s="4">
        <v>283</v>
      </c>
      <c r="F94" s="4">
        <f t="shared" si="2"/>
        <v>989</v>
      </c>
    </row>
    <row r="95" spans="1:6" x14ac:dyDescent="0.2">
      <c r="A95" s="3">
        <v>43189</v>
      </c>
      <c r="B95" s="3" t="s">
        <v>4</v>
      </c>
      <c r="C95" s="4">
        <v>893</v>
      </c>
      <c r="D95" s="4">
        <v>1</v>
      </c>
      <c r="E95" s="4">
        <v>288</v>
      </c>
      <c r="F95" s="4">
        <f t="shared" si="2"/>
        <v>1182</v>
      </c>
    </row>
    <row r="96" spans="1:6" x14ac:dyDescent="0.2">
      <c r="A96" s="3">
        <v>43190</v>
      </c>
      <c r="B96" s="3" t="s">
        <v>5</v>
      </c>
      <c r="C96" s="4">
        <v>2018</v>
      </c>
      <c r="D96" s="4">
        <v>273</v>
      </c>
      <c r="E96" s="4">
        <v>1187</v>
      </c>
      <c r="F96" s="4">
        <f t="shared" si="2"/>
        <v>3478</v>
      </c>
    </row>
    <row r="97" spans="1:11" x14ac:dyDescent="0.2">
      <c r="A97" s="3">
        <v>43191</v>
      </c>
      <c r="B97" s="3" t="s">
        <v>6</v>
      </c>
      <c r="C97" s="4">
        <v>1197</v>
      </c>
      <c r="D97" s="4">
        <v>171</v>
      </c>
      <c r="E97" s="4">
        <v>540</v>
      </c>
      <c r="F97" s="4">
        <f t="shared" si="2"/>
        <v>1908</v>
      </c>
      <c r="I97" s="26"/>
      <c r="J97" s="26"/>
      <c r="K97" s="26"/>
    </row>
    <row r="98" spans="1:11" x14ac:dyDescent="0.2">
      <c r="A98" s="3">
        <v>43193</v>
      </c>
      <c r="B98" s="3" t="s">
        <v>8</v>
      </c>
      <c r="C98" s="4">
        <v>650</v>
      </c>
      <c r="D98" s="4">
        <v>49</v>
      </c>
      <c r="E98" s="4">
        <v>390</v>
      </c>
      <c r="F98" s="4">
        <f t="shared" si="2"/>
        <v>1089</v>
      </c>
      <c r="G98" s="28"/>
      <c r="H98" s="12"/>
      <c r="I98" s="27"/>
      <c r="J98" s="27"/>
      <c r="K98" s="27"/>
    </row>
    <row r="99" spans="1:11" x14ac:dyDescent="0.2">
      <c r="A99" s="3">
        <v>43194</v>
      </c>
      <c r="B99" s="3" t="s">
        <v>9</v>
      </c>
      <c r="C99" s="4">
        <v>424</v>
      </c>
      <c r="D99" s="4">
        <v>40</v>
      </c>
      <c r="E99" s="4">
        <v>243</v>
      </c>
      <c r="F99" s="4">
        <f t="shared" si="2"/>
        <v>707</v>
      </c>
      <c r="G99" s="28"/>
      <c r="H99" s="12"/>
      <c r="I99" s="27"/>
      <c r="J99" s="27"/>
      <c r="K99" s="27"/>
    </row>
    <row r="100" spans="1:11" x14ac:dyDescent="0.2">
      <c r="A100" s="3">
        <v>43195</v>
      </c>
      <c r="B100" s="3" t="s">
        <v>10</v>
      </c>
      <c r="C100" s="4">
        <v>230</v>
      </c>
      <c r="D100" s="4">
        <v>14</v>
      </c>
      <c r="E100" s="4">
        <v>89</v>
      </c>
      <c r="F100" s="4">
        <f t="shared" si="2"/>
        <v>333</v>
      </c>
      <c r="G100" s="28"/>
      <c r="H100" s="12"/>
      <c r="I100" s="27"/>
      <c r="J100" s="27"/>
      <c r="K100" s="27"/>
    </row>
    <row r="101" spans="1:11" x14ac:dyDescent="0.2">
      <c r="A101" s="3">
        <v>43196</v>
      </c>
      <c r="B101" s="3" t="s">
        <v>4</v>
      </c>
      <c r="C101" s="4">
        <v>373</v>
      </c>
      <c r="D101" s="4">
        <v>61</v>
      </c>
      <c r="E101" s="4">
        <v>174</v>
      </c>
      <c r="F101" s="4">
        <f t="shared" si="2"/>
        <v>608</v>
      </c>
      <c r="G101" s="28"/>
      <c r="H101" s="12"/>
      <c r="I101" s="27"/>
      <c r="J101" s="27"/>
      <c r="K101" s="27"/>
    </row>
    <row r="102" spans="1:11" x14ac:dyDescent="0.2">
      <c r="A102" s="3">
        <v>43197</v>
      </c>
      <c r="B102" s="3" t="s">
        <v>5</v>
      </c>
      <c r="C102" s="4">
        <v>410</v>
      </c>
      <c r="D102" s="4">
        <v>0</v>
      </c>
      <c r="E102" s="4">
        <v>83</v>
      </c>
      <c r="F102" s="4">
        <f t="shared" si="2"/>
        <v>493</v>
      </c>
      <c r="G102" s="28"/>
      <c r="H102" s="12"/>
      <c r="I102" s="27"/>
      <c r="J102" s="27"/>
      <c r="K102" s="27"/>
    </row>
    <row r="103" spans="1:11" x14ac:dyDescent="0.2">
      <c r="I103" s="26"/>
      <c r="J103" s="26"/>
      <c r="K103" s="2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4"/>
  <sheetViews>
    <sheetView workbookViewId="0">
      <selection activeCell="L27" sqref="L27"/>
    </sheetView>
  </sheetViews>
  <sheetFormatPr baseColWidth="10" defaultColWidth="8.83203125" defaultRowHeight="15" x14ac:dyDescent="0.2"/>
  <cols>
    <col min="1" max="1" width="26.5" bestFit="1" customWidth="1"/>
    <col min="2" max="2" width="9" bestFit="1" customWidth="1"/>
    <col min="3" max="3" width="10.83203125" customWidth="1"/>
    <col min="4" max="4" width="11" customWidth="1"/>
  </cols>
  <sheetData>
    <row r="1" spans="1:4" x14ac:dyDescent="0.2">
      <c r="A1" t="s">
        <v>16</v>
      </c>
    </row>
    <row r="2" spans="1:4" x14ac:dyDescent="0.2">
      <c r="A2" t="s">
        <v>14</v>
      </c>
      <c r="B2" t="s">
        <v>19</v>
      </c>
      <c r="C2" t="s">
        <v>20</v>
      </c>
      <c r="D2" t="s">
        <v>21</v>
      </c>
    </row>
    <row r="3" spans="1:4" x14ac:dyDescent="0.2">
      <c r="A3" s="9">
        <v>42702</v>
      </c>
      <c r="B3" s="8">
        <v>650</v>
      </c>
    </row>
    <row r="4" spans="1:4" x14ac:dyDescent="0.2">
      <c r="A4" s="9">
        <v>42709</v>
      </c>
      <c r="B4" s="8">
        <v>1313</v>
      </c>
      <c r="C4">
        <v>0.53</v>
      </c>
    </row>
    <row r="5" spans="1:4" x14ac:dyDescent="0.2">
      <c r="A5" s="9">
        <v>42716</v>
      </c>
      <c r="B5" s="8">
        <v>831</v>
      </c>
    </row>
    <row r="6" spans="1:4" x14ac:dyDescent="0.2">
      <c r="A6" s="9">
        <v>42723</v>
      </c>
      <c r="B6" s="8">
        <v>2031</v>
      </c>
    </row>
    <row r="7" spans="1:4" x14ac:dyDescent="0.2">
      <c r="A7" s="9">
        <v>42730</v>
      </c>
      <c r="B7" s="8">
        <v>5608</v>
      </c>
    </row>
    <row r="8" spans="1:4" x14ac:dyDescent="0.2">
      <c r="A8" s="9">
        <v>42737</v>
      </c>
      <c r="B8" s="8">
        <v>4523</v>
      </c>
    </row>
    <row r="9" spans="1:4" x14ac:dyDescent="0.2">
      <c r="A9" s="9">
        <v>42744</v>
      </c>
      <c r="B9" s="8">
        <v>1031</v>
      </c>
    </row>
    <row r="10" spans="1:4" x14ac:dyDescent="0.2">
      <c r="A10" s="9">
        <v>42751</v>
      </c>
      <c r="B10" s="8">
        <v>4251</v>
      </c>
    </row>
    <row r="11" spans="1:4" x14ac:dyDescent="0.2">
      <c r="A11" s="9">
        <v>42758</v>
      </c>
      <c r="B11" s="8">
        <v>1139</v>
      </c>
    </row>
    <row r="12" spans="1:4" x14ac:dyDescent="0.2">
      <c r="A12" s="9">
        <v>42765</v>
      </c>
      <c r="B12" s="8">
        <v>1186</v>
      </c>
    </row>
    <row r="13" spans="1:4" x14ac:dyDescent="0.2">
      <c r="A13" s="9">
        <v>42772</v>
      </c>
      <c r="B13" s="8">
        <v>2387</v>
      </c>
    </row>
    <row r="14" spans="1:4" x14ac:dyDescent="0.2">
      <c r="A14" s="9">
        <v>42779</v>
      </c>
      <c r="B14" s="8">
        <v>1076</v>
      </c>
    </row>
    <row r="15" spans="1:4" x14ac:dyDescent="0.2">
      <c r="A15" s="9">
        <v>42786</v>
      </c>
      <c r="B15" s="8">
        <v>3993</v>
      </c>
    </row>
    <row r="16" spans="1:4" x14ac:dyDescent="0.2">
      <c r="A16" s="9">
        <v>42793</v>
      </c>
      <c r="B16" s="8">
        <v>925</v>
      </c>
    </row>
    <row r="17" spans="1:2" x14ac:dyDescent="0.2">
      <c r="A17" s="9">
        <v>42800</v>
      </c>
      <c r="B17" s="8">
        <v>1142</v>
      </c>
    </row>
    <row r="18" spans="1:2" x14ac:dyDescent="0.2">
      <c r="A18" s="9">
        <v>42807</v>
      </c>
      <c r="B18" s="8">
        <v>240</v>
      </c>
    </row>
    <row r="19" spans="1:2" x14ac:dyDescent="0.2">
      <c r="A19" s="9">
        <v>42814</v>
      </c>
      <c r="B19" s="8">
        <v>751</v>
      </c>
    </row>
    <row r="20" spans="1:2" x14ac:dyDescent="0.2">
      <c r="A20" s="9">
        <v>42821</v>
      </c>
      <c r="B20" s="8">
        <v>696</v>
      </c>
    </row>
    <row r="21" spans="1:2" x14ac:dyDescent="0.2">
      <c r="A21" s="9">
        <v>42828</v>
      </c>
      <c r="B21" s="8">
        <v>941</v>
      </c>
    </row>
    <row r="22" spans="1:2" x14ac:dyDescent="0.2">
      <c r="A22" s="9">
        <v>42835</v>
      </c>
      <c r="B22" s="8">
        <v>624</v>
      </c>
    </row>
    <row r="23" spans="1:2" x14ac:dyDescent="0.2">
      <c r="A23" s="9">
        <v>42842</v>
      </c>
      <c r="B23" s="8">
        <v>343</v>
      </c>
    </row>
    <row r="24" spans="1:2" x14ac:dyDescent="0.2">
      <c r="A24" s="7"/>
      <c r="B24" s="8"/>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23"/>
  <sheetViews>
    <sheetView workbookViewId="0">
      <selection activeCell="N24" sqref="N24"/>
    </sheetView>
  </sheetViews>
  <sheetFormatPr baseColWidth="10" defaultColWidth="8.83203125" defaultRowHeight="15" x14ac:dyDescent="0.2"/>
  <cols>
    <col min="1" max="1" width="10.6640625" bestFit="1" customWidth="1"/>
  </cols>
  <sheetData>
    <row r="1" spans="1:2" ht="46.5" customHeight="1" x14ac:dyDescent="0.2">
      <c r="A1" s="10" t="s">
        <v>18</v>
      </c>
      <c r="B1" s="11" t="s">
        <v>17</v>
      </c>
    </row>
    <row r="2" spans="1:2" x14ac:dyDescent="0.2">
      <c r="A2" s="9">
        <v>42701</v>
      </c>
      <c r="B2" s="8">
        <v>1845</v>
      </c>
    </row>
    <row r="3" spans="1:2" x14ac:dyDescent="0.2">
      <c r="A3" s="9">
        <v>42708</v>
      </c>
      <c r="B3" s="8">
        <v>4574</v>
      </c>
    </row>
    <row r="4" spans="1:2" x14ac:dyDescent="0.2">
      <c r="A4" s="9">
        <v>42715</v>
      </c>
      <c r="B4" s="8">
        <v>4599</v>
      </c>
    </row>
    <row r="5" spans="1:2" x14ac:dyDescent="0.2">
      <c r="A5" s="9">
        <v>42722</v>
      </c>
      <c r="B5" s="8">
        <v>4016</v>
      </c>
    </row>
    <row r="6" spans="1:2" x14ac:dyDescent="0.2">
      <c r="A6" s="9">
        <v>42729</v>
      </c>
      <c r="B6" s="8">
        <v>3293</v>
      </c>
    </row>
    <row r="7" spans="1:2" x14ac:dyDescent="0.2">
      <c r="A7" s="9">
        <v>42736</v>
      </c>
      <c r="B7" s="8">
        <v>4195</v>
      </c>
    </row>
    <row r="8" spans="1:2" x14ac:dyDescent="0.2">
      <c r="A8" s="9">
        <v>42743</v>
      </c>
      <c r="B8" s="8">
        <v>4572</v>
      </c>
    </row>
    <row r="9" spans="1:2" x14ac:dyDescent="0.2">
      <c r="A9" s="9">
        <v>42750</v>
      </c>
      <c r="B9" s="8">
        <v>7197</v>
      </c>
    </row>
    <row r="10" spans="1:2" x14ac:dyDescent="0.2">
      <c r="A10" s="9">
        <v>42757</v>
      </c>
      <c r="B10" s="8">
        <v>4422</v>
      </c>
    </row>
    <row r="11" spans="1:2" x14ac:dyDescent="0.2">
      <c r="A11" s="9">
        <v>42764</v>
      </c>
      <c r="B11" s="8">
        <v>4525</v>
      </c>
    </row>
    <row r="12" spans="1:2" x14ac:dyDescent="0.2">
      <c r="A12" s="9">
        <v>42771</v>
      </c>
      <c r="B12" s="8">
        <v>6190</v>
      </c>
    </row>
    <row r="13" spans="1:2" x14ac:dyDescent="0.2">
      <c r="A13" s="9">
        <v>42778</v>
      </c>
      <c r="B13" s="8">
        <v>5441</v>
      </c>
    </row>
    <row r="14" spans="1:2" x14ac:dyDescent="0.2">
      <c r="A14" s="9">
        <v>42785</v>
      </c>
      <c r="B14" s="8">
        <v>5042</v>
      </c>
    </row>
    <row r="15" spans="1:2" x14ac:dyDescent="0.2">
      <c r="A15" s="9">
        <v>42792</v>
      </c>
      <c r="B15" s="8">
        <v>3901</v>
      </c>
    </row>
    <row r="16" spans="1:2" x14ac:dyDescent="0.2">
      <c r="A16" s="9">
        <v>42799</v>
      </c>
      <c r="B16" s="8">
        <v>5205</v>
      </c>
    </row>
    <row r="17" spans="1:2" x14ac:dyDescent="0.2">
      <c r="A17" s="9">
        <v>42806</v>
      </c>
      <c r="B17" s="8">
        <v>3038</v>
      </c>
    </row>
    <row r="18" spans="1:2" x14ac:dyDescent="0.2">
      <c r="A18" s="9">
        <v>42813</v>
      </c>
      <c r="B18" s="8">
        <v>3949</v>
      </c>
    </row>
    <row r="19" spans="1:2" x14ac:dyDescent="0.2">
      <c r="A19" s="9">
        <v>42820</v>
      </c>
      <c r="B19" s="8">
        <v>2161</v>
      </c>
    </row>
    <row r="20" spans="1:2" x14ac:dyDescent="0.2">
      <c r="A20" s="9">
        <v>42827</v>
      </c>
      <c r="B20" s="8">
        <v>2154</v>
      </c>
    </row>
    <row r="21" spans="1:2" x14ac:dyDescent="0.2">
      <c r="A21" s="9">
        <v>42834</v>
      </c>
      <c r="B21" s="8">
        <v>3248</v>
      </c>
    </row>
    <row r="22" spans="1:2" x14ac:dyDescent="0.2">
      <c r="A22" s="9">
        <v>42841</v>
      </c>
      <c r="B22" s="8">
        <v>1949</v>
      </c>
    </row>
    <row r="23" spans="1:2" x14ac:dyDescent="0.2">
      <c r="A23" s="9">
        <v>42848</v>
      </c>
      <c r="B23" s="8">
        <v>1625</v>
      </c>
    </row>
  </sheetData>
  <dataConsolidate/>
  <pageMargins left="0.7" right="0.7" top="0.75" bottom="0.75" header="0.3" footer="0.3"/>
  <pageSetup orientation="portrait" horizontalDpi="30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9"/>
  <sheetViews>
    <sheetView topLeftCell="F1" workbookViewId="0">
      <selection activeCell="G25" sqref="G25"/>
    </sheetView>
  </sheetViews>
  <sheetFormatPr baseColWidth="10" defaultColWidth="8.83203125" defaultRowHeight="15" x14ac:dyDescent="0.2"/>
  <cols>
    <col min="1" max="1" width="13.1640625" customWidth="1"/>
    <col min="2" max="2" width="30.1640625" customWidth="1"/>
    <col min="3" max="3" width="18.6640625" customWidth="1"/>
    <col min="4" max="4" width="8.33203125" customWidth="1"/>
    <col min="5" max="5" width="11.5" bestFit="1" customWidth="1"/>
    <col min="6" max="6" width="9" customWidth="1"/>
    <col min="7" max="7" width="6.5" customWidth="1"/>
    <col min="8" max="8" width="8.6640625" customWidth="1"/>
    <col min="9" max="9" width="11.33203125" bestFit="1" customWidth="1"/>
  </cols>
  <sheetData>
    <row r="1" spans="1:2" x14ac:dyDescent="0.2">
      <c r="A1" s="6" t="s">
        <v>14</v>
      </c>
      <c r="B1" t="s">
        <v>22</v>
      </c>
    </row>
    <row r="2" spans="1:2" x14ac:dyDescent="0.2">
      <c r="A2" s="7" t="s">
        <v>6</v>
      </c>
      <c r="B2" s="8">
        <v>3960.9545454545455</v>
      </c>
    </row>
    <row r="3" spans="1:2" x14ac:dyDescent="0.2">
      <c r="A3" s="7" t="s">
        <v>7</v>
      </c>
      <c r="B3" s="8">
        <v>1699.0952380952381</v>
      </c>
    </row>
    <row r="4" spans="1:2" x14ac:dyDescent="0.2">
      <c r="A4" s="7" t="s">
        <v>8</v>
      </c>
      <c r="B4" s="8">
        <v>1163.5714285714287</v>
      </c>
    </row>
    <row r="5" spans="1:2" x14ac:dyDescent="0.2">
      <c r="A5" s="7" t="s">
        <v>9</v>
      </c>
      <c r="B5" s="8">
        <v>1279.7142857142858</v>
      </c>
    </row>
    <row r="6" spans="1:2" x14ac:dyDescent="0.2">
      <c r="A6" s="7" t="s">
        <v>10</v>
      </c>
      <c r="B6" s="8">
        <v>1189</v>
      </c>
    </row>
    <row r="7" spans="1:2" x14ac:dyDescent="0.2">
      <c r="A7" s="7" t="s">
        <v>4</v>
      </c>
      <c r="B7" s="8">
        <v>2109.6363636363635</v>
      </c>
    </row>
    <row r="8" spans="1:2" x14ac:dyDescent="0.2">
      <c r="A8" s="7" t="s">
        <v>5</v>
      </c>
      <c r="B8" s="8">
        <v>3992.909090909091</v>
      </c>
    </row>
    <row r="9" spans="1:2" x14ac:dyDescent="0.2">
      <c r="A9" s="7" t="s">
        <v>15</v>
      </c>
      <c r="B9" s="8">
        <v>2222.3733333333334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152"/>
  <sheetViews>
    <sheetView workbookViewId="0">
      <selection activeCell="J13" sqref="J13"/>
    </sheetView>
  </sheetViews>
  <sheetFormatPr baseColWidth="10" defaultColWidth="8.83203125" defaultRowHeight="15" x14ac:dyDescent="0.2"/>
  <cols>
    <col min="1" max="1" width="12.83203125" customWidth="1"/>
    <col min="2" max="2" width="11.5" bestFit="1" customWidth="1"/>
    <col min="3" max="3" width="10.5" bestFit="1" customWidth="1"/>
    <col min="4" max="4" width="9.5" bestFit="1" customWidth="1"/>
    <col min="5" max="6" width="10.5" bestFit="1" customWidth="1"/>
    <col min="10" max="10" width="12.5" customWidth="1"/>
    <col min="11" max="11" width="12" customWidth="1"/>
  </cols>
  <sheetData>
    <row r="1" spans="1:14" ht="46" x14ac:dyDescent="0.2">
      <c r="A1" s="1" t="s">
        <v>0</v>
      </c>
      <c r="B1" s="1" t="s">
        <v>13</v>
      </c>
      <c r="C1" s="2" t="s">
        <v>1</v>
      </c>
      <c r="D1" s="2" t="s">
        <v>2</v>
      </c>
      <c r="E1" s="2" t="s">
        <v>3</v>
      </c>
      <c r="F1" s="2" t="s">
        <v>12</v>
      </c>
      <c r="H1" s="2" t="s">
        <v>7</v>
      </c>
      <c r="I1" s="2" t="s">
        <v>8</v>
      </c>
      <c r="J1" s="2" t="s">
        <v>9</v>
      </c>
      <c r="K1" s="2" t="s">
        <v>10</v>
      </c>
      <c r="L1" s="2" t="s">
        <v>11</v>
      </c>
      <c r="M1" s="2" t="s">
        <v>5</v>
      </c>
      <c r="N1" s="2" t="s">
        <v>6</v>
      </c>
    </row>
    <row r="2" spans="1:14" x14ac:dyDescent="0.2">
      <c r="A2" s="3">
        <v>42699</v>
      </c>
      <c r="B2" s="3" t="s">
        <v>4</v>
      </c>
      <c r="C2" s="4">
        <v>1673</v>
      </c>
      <c r="D2" s="4">
        <v>221</v>
      </c>
      <c r="E2" s="4">
        <v>569</v>
      </c>
      <c r="F2" s="4">
        <f t="shared" ref="F2:F7" si="0">SUM(C2:E2)</f>
        <v>2463</v>
      </c>
      <c r="H2">
        <f>IF(B:B="Monday",F:F,)</f>
        <v>0</v>
      </c>
    </row>
    <row r="3" spans="1:14" x14ac:dyDescent="0.2">
      <c r="A3" s="3">
        <v>42700</v>
      </c>
      <c r="B3" s="3" t="s">
        <v>5</v>
      </c>
      <c r="C3" s="4">
        <v>1851</v>
      </c>
      <c r="D3" s="4">
        <v>336</v>
      </c>
      <c r="E3" s="4">
        <v>608</v>
      </c>
      <c r="F3" s="4">
        <f t="shared" si="0"/>
        <v>2795</v>
      </c>
      <c r="H3">
        <f t="shared" ref="H3:H66" si="1">IF(B:B="Monday",F:F,)</f>
        <v>0</v>
      </c>
    </row>
    <row r="4" spans="1:14" x14ac:dyDescent="0.2">
      <c r="A4" s="3">
        <v>42701</v>
      </c>
      <c r="B4" s="3" t="s">
        <v>6</v>
      </c>
      <c r="C4" s="4">
        <v>1242</v>
      </c>
      <c r="D4" s="4">
        <v>119</v>
      </c>
      <c r="E4" s="4">
        <v>484</v>
      </c>
      <c r="F4" s="4">
        <f t="shared" si="0"/>
        <v>1845</v>
      </c>
      <c r="H4">
        <f t="shared" si="1"/>
        <v>0</v>
      </c>
    </row>
    <row r="5" spans="1:14" x14ac:dyDescent="0.2">
      <c r="A5" s="3">
        <v>42702</v>
      </c>
      <c r="B5" s="3" t="s">
        <v>7</v>
      </c>
      <c r="C5" s="4">
        <v>337</v>
      </c>
      <c r="D5" s="4">
        <v>28</v>
      </c>
      <c r="E5" s="4">
        <v>285</v>
      </c>
      <c r="F5" s="4">
        <f t="shared" si="0"/>
        <v>650</v>
      </c>
      <c r="H5">
        <f t="shared" si="1"/>
        <v>650</v>
      </c>
    </row>
    <row r="6" spans="1:14" x14ac:dyDescent="0.2">
      <c r="A6" s="3">
        <v>42703</v>
      </c>
      <c r="B6" s="3" t="s">
        <v>8</v>
      </c>
      <c r="C6" s="4">
        <v>221</v>
      </c>
      <c r="D6" s="4">
        <v>36</v>
      </c>
      <c r="E6" s="4">
        <v>204</v>
      </c>
      <c r="F6" s="4">
        <f t="shared" si="0"/>
        <v>461</v>
      </c>
      <c r="H6">
        <f t="shared" si="1"/>
        <v>0</v>
      </c>
    </row>
    <row r="7" spans="1:14" x14ac:dyDescent="0.2">
      <c r="A7" s="3">
        <v>42704</v>
      </c>
      <c r="B7" s="3" t="s">
        <v>9</v>
      </c>
      <c r="C7" s="4">
        <v>247</v>
      </c>
      <c r="D7" s="4">
        <v>18</v>
      </c>
      <c r="E7" s="4">
        <v>189</v>
      </c>
      <c r="F7" s="4">
        <f t="shared" si="0"/>
        <v>454</v>
      </c>
      <c r="H7">
        <f t="shared" si="1"/>
        <v>0</v>
      </c>
    </row>
    <row r="8" spans="1:14" x14ac:dyDescent="0.2">
      <c r="A8" s="3">
        <v>42705</v>
      </c>
      <c r="B8" s="3" t="s">
        <v>10</v>
      </c>
      <c r="C8" s="4">
        <v>328</v>
      </c>
      <c r="D8" s="4">
        <v>22</v>
      </c>
      <c r="E8" s="4">
        <v>276</v>
      </c>
      <c r="F8" s="4">
        <f t="shared" ref="F8:F71" si="2">SUM(C8:E8)</f>
        <v>626</v>
      </c>
      <c r="H8">
        <f t="shared" si="1"/>
        <v>0</v>
      </c>
    </row>
    <row r="9" spans="1:14" x14ac:dyDescent="0.2">
      <c r="A9" s="3">
        <v>42706</v>
      </c>
      <c r="B9" s="3" t="s">
        <v>4</v>
      </c>
      <c r="C9" s="4">
        <v>455</v>
      </c>
      <c r="D9" s="4">
        <v>14</v>
      </c>
      <c r="E9" s="4">
        <v>228</v>
      </c>
      <c r="F9" s="4">
        <f t="shared" si="2"/>
        <v>697</v>
      </c>
      <c r="H9">
        <f t="shared" si="1"/>
        <v>0</v>
      </c>
    </row>
    <row r="10" spans="1:14" x14ac:dyDescent="0.2">
      <c r="A10" s="3">
        <v>42707</v>
      </c>
      <c r="B10" s="3" t="s">
        <v>5</v>
      </c>
      <c r="C10" s="4">
        <v>2635</v>
      </c>
      <c r="D10" s="4">
        <v>115</v>
      </c>
      <c r="E10" s="4">
        <v>868</v>
      </c>
      <c r="F10" s="4">
        <f t="shared" si="2"/>
        <v>3618</v>
      </c>
      <c r="H10">
        <f t="shared" si="1"/>
        <v>0</v>
      </c>
    </row>
    <row r="11" spans="1:14" x14ac:dyDescent="0.2">
      <c r="A11" s="3">
        <v>42708</v>
      </c>
      <c r="B11" s="3" t="s">
        <v>6</v>
      </c>
      <c r="C11" s="4">
        <v>3274</v>
      </c>
      <c r="D11" s="4">
        <v>104</v>
      </c>
      <c r="E11" s="4">
        <v>1196</v>
      </c>
      <c r="F11" s="4">
        <f t="shared" si="2"/>
        <v>4574</v>
      </c>
      <c r="H11">
        <f t="shared" si="1"/>
        <v>0</v>
      </c>
    </row>
    <row r="12" spans="1:14" x14ac:dyDescent="0.2">
      <c r="A12" s="3">
        <v>42709</v>
      </c>
      <c r="B12" s="3" t="s">
        <v>7</v>
      </c>
      <c r="C12" s="4">
        <v>922</v>
      </c>
      <c r="D12" s="4">
        <v>12</v>
      </c>
      <c r="E12" s="4">
        <v>379</v>
      </c>
      <c r="F12" s="4">
        <f t="shared" si="2"/>
        <v>1313</v>
      </c>
      <c r="H12">
        <f t="shared" si="1"/>
        <v>1313</v>
      </c>
    </row>
    <row r="13" spans="1:14" x14ac:dyDescent="0.2">
      <c r="A13" s="3">
        <v>42710</v>
      </c>
      <c r="B13" s="3" t="s">
        <v>8</v>
      </c>
      <c r="C13" s="4">
        <v>555</v>
      </c>
      <c r="D13" s="4">
        <v>47</v>
      </c>
      <c r="E13" s="4">
        <v>349</v>
      </c>
      <c r="F13" s="4">
        <f t="shared" si="2"/>
        <v>951</v>
      </c>
      <c r="H13">
        <f t="shared" si="1"/>
        <v>0</v>
      </c>
    </row>
    <row r="14" spans="1:14" x14ac:dyDescent="0.2">
      <c r="A14" s="3">
        <v>42711</v>
      </c>
      <c r="B14" s="3" t="s">
        <v>9</v>
      </c>
      <c r="C14" s="4">
        <v>411</v>
      </c>
      <c r="D14" s="4">
        <v>34</v>
      </c>
      <c r="E14" s="4">
        <v>267</v>
      </c>
      <c r="F14" s="4">
        <f t="shared" si="2"/>
        <v>712</v>
      </c>
      <c r="H14">
        <f t="shared" si="1"/>
        <v>0</v>
      </c>
    </row>
    <row r="15" spans="1:14" x14ac:dyDescent="0.2">
      <c r="A15" s="3">
        <v>42712</v>
      </c>
      <c r="B15" s="3" t="s">
        <v>10</v>
      </c>
      <c r="C15" s="4">
        <v>271</v>
      </c>
      <c r="D15" s="4">
        <v>0</v>
      </c>
      <c r="E15" s="4">
        <v>145</v>
      </c>
      <c r="F15" s="4">
        <f t="shared" si="2"/>
        <v>416</v>
      </c>
      <c r="H15">
        <f t="shared" si="1"/>
        <v>0</v>
      </c>
    </row>
    <row r="16" spans="1:14" x14ac:dyDescent="0.2">
      <c r="A16" s="3">
        <v>42713</v>
      </c>
      <c r="B16" s="3" t="s">
        <v>4</v>
      </c>
      <c r="C16" s="4">
        <v>1357</v>
      </c>
      <c r="D16" s="4">
        <v>10</v>
      </c>
      <c r="E16" s="4">
        <v>615</v>
      </c>
      <c r="F16" s="4">
        <f t="shared" si="2"/>
        <v>1982</v>
      </c>
      <c r="H16">
        <f t="shared" si="1"/>
        <v>0</v>
      </c>
    </row>
    <row r="17" spans="1:8" x14ac:dyDescent="0.2">
      <c r="A17" s="3">
        <v>42714</v>
      </c>
      <c r="B17" s="3" t="s">
        <v>5</v>
      </c>
      <c r="C17" s="4">
        <v>4272</v>
      </c>
      <c r="D17" s="4">
        <v>102</v>
      </c>
      <c r="E17" s="4">
        <v>1371</v>
      </c>
      <c r="F17" s="4">
        <f t="shared" si="2"/>
        <v>5745</v>
      </c>
      <c r="H17">
        <f t="shared" si="1"/>
        <v>0</v>
      </c>
    </row>
    <row r="18" spans="1:8" x14ac:dyDescent="0.2">
      <c r="A18" s="3">
        <v>42715</v>
      </c>
      <c r="B18" s="3" t="s">
        <v>6</v>
      </c>
      <c r="C18" s="4">
        <v>3344</v>
      </c>
      <c r="D18" s="4">
        <v>98</v>
      </c>
      <c r="E18" s="4">
        <v>1157</v>
      </c>
      <c r="F18" s="4">
        <f t="shared" si="2"/>
        <v>4599</v>
      </c>
      <c r="H18">
        <f t="shared" si="1"/>
        <v>0</v>
      </c>
    </row>
    <row r="19" spans="1:8" x14ac:dyDescent="0.2">
      <c r="A19" s="3">
        <v>42716</v>
      </c>
      <c r="B19" s="3" t="s">
        <v>7</v>
      </c>
      <c r="C19" s="4">
        <v>713</v>
      </c>
      <c r="D19" s="4">
        <v>30</v>
      </c>
      <c r="E19" s="4">
        <v>88</v>
      </c>
      <c r="F19" s="4">
        <f t="shared" si="2"/>
        <v>831</v>
      </c>
      <c r="H19">
        <f t="shared" si="1"/>
        <v>831</v>
      </c>
    </row>
    <row r="20" spans="1:8" x14ac:dyDescent="0.2">
      <c r="A20" s="3">
        <v>42717</v>
      </c>
      <c r="B20" s="3" t="s">
        <v>8</v>
      </c>
      <c r="C20" s="4">
        <v>640</v>
      </c>
      <c r="D20" s="4">
        <v>43</v>
      </c>
      <c r="E20" s="4">
        <v>355</v>
      </c>
      <c r="F20" s="4">
        <f t="shared" si="2"/>
        <v>1038</v>
      </c>
      <c r="H20">
        <f t="shared" si="1"/>
        <v>0</v>
      </c>
    </row>
    <row r="21" spans="1:8" x14ac:dyDescent="0.2">
      <c r="A21" s="3">
        <v>42718</v>
      </c>
      <c r="B21" s="3" t="s">
        <v>9</v>
      </c>
      <c r="C21" s="4">
        <v>669</v>
      </c>
      <c r="D21" s="4">
        <v>11</v>
      </c>
      <c r="E21" s="4">
        <v>285</v>
      </c>
      <c r="F21" s="4">
        <f t="shared" si="2"/>
        <v>965</v>
      </c>
      <c r="H21">
        <f t="shared" si="1"/>
        <v>0</v>
      </c>
    </row>
    <row r="22" spans="1:8" x14ac:dyDescent="0.2">
      <c r="A22" s="3">
        <v>42719</v>
      </c>
      <c r="B22" s="3" t="s">
        <v>10</v>
      </c>
      <c r="C22" s="4">
        <v>550</v>
      </c>
      <c r="D22" s="4">
        <v>33</v>
      </c>
      <c r="E22" s="4">
        <v>276</v>
      </c>
      <c r="F22" s="4">
        <f t="shared" si="2"/>
        <v>859</v>
      </c>
      <c r="H22">
        <f t="shared" si="1"/>
        <v>0</v>
      </c>
    </row>
    <row r="23" spans="1:8" x14ac:dyDescent="0.2">
      <c r="A23" s="3">
        <v>42720</v>
      </c>
      <c r="B23" s="3" t="s">
        <v>4</v>
      </c>
      <c r="C23" s="4">
        <v>920</v>
      </c>
      <c r="D23" s="4">
        <v>55</v>
      </c>
      <c r="E23" s="4">
        <v>308</v>
      </c>
      <c r="F23" s="4">
        <f t="shared" si="2"/>
        <v>1283</v>
      </c>
      <c r="H23">
        <f t="shared" si="1"/>
        <v>0</v>
      </c>
    </row>
    <row r="24" spans="1:8" x14ac:dyDescent="0.2">
      <c r="A24" s="3">
        <v>42721</v>
      </c>
      <c r="B24" s="3" t="s">
        <v>5</v>
      </c>
      <c r="C24" s="4">
        <v>2640</v>
      </c>
      <c r="D24" s="4">
        <v>190</v>
      </c>
      <c r="E24" s="4">
        <v>867</v>
      </c>
      <c r="F24" s="4">
        <f t="shared" si="2"/>
        <v>3697</v>
      </c>
      <c r="H24">
        <f t="shared" si="1"/>
        <v>0</v>
      </c>
    </row>
    <row r="25" spans="1:8" x14ac:dyDescent="0.2">
      <c r="A25" s="3">
        <v>42722</v>
      </c>
      <c r="B25" s="3" t="s">
        <v>6</v>
      </c>
      <c r="C25" s="4">
        <v>2819</v>
      </c>
      <c r="D25" s="4">
        <v>236</v>
      </c>
      <c r="E25" s="4">
        <v>961</v>
      </c>
      <c r="F25" s="4">
        <f t="shared" si="2"/>
        <v>4016</v>
      </c>
      <c r="H25">
        <f t="shared" si="1"/>
        <v>0</v>
      </c>
    </row>
    <row r="26" spans="1:8" x14ac:dyDescent="0.2">
      <c r="A26" s="3">
        <v>42723</v>
      </c>
      <c r="B26" s="3" t="s">
        <v>7</v>
      </c>
      <c r="C26" s="4">
        <v>1492</v>
      </c>
      <c r="D26" s="4">
        <v>54</v>
      </c>
      <c r="E26" s="4">
        <v>485</v>
      </c>
      <c r="F26" s="4">
        <f t="shared" si="2"/>
        <v>2031</v>
      </c>
      <c r="H26">
        <f t="shared" si="1"/>
        <v>2031</v>
      </c>
    </row>
    <row r="27" spans="1:8" x14ac:dyDescent="0.2">
      <c r="A27" s="3">
        <v>42724</v>
      </c>
      <c r="B27" s="3" t="s">
        <v>8</v>
      </c>
      <c r="C27" s="4">
        <v>1756</v>
      </c>
      <c r="D27" s="4">
        <v>0</v>
      </c>
      <c r="E27" s="4">
        <v>629</v>
      </c>
      <c r="F27" s="4">
        <f t="shared" si="2"/>
        <v>2385</v>
      </c>
      <c r="H27">
        <f t="shared" si="1"/>
        <v>0</v>
      </c>
    </row>
    <row r="28" spans="1:8" x14ac:dyDescent="0.2">
      <c r="A28" s="3">
        <v>42725</v>
      </c>
      <c r="B28" s="3" t="s">
        <v>9</v>
      </c>
      <c r="C28" s="4">
        <v>3189</v>
      </c>
      <c r="D28" s="4">
        <v>201</v>
      </c>
      <c r="E28" s="4">
        <v>854</v>
      </c>
      <c r="F28" s="4">
        <f t="shared" si="2"/>
        <v>4244</v>
      </c>
      <c r="H28">
        <f t="shared" si="1"/>
        <v>0</v>
      </c>
    </row>
    <row r="29" spans="1:8" x14ac:dyDescent="0.2">
      <c r="A29" s="3">
        <v>42726</v>
      </c>
      <c r="B29" s="3" t="s">
        <v>10</v>
      </c>
      <c r="C29" s="4">
        <v>2207</v>
      </c>
      <c r="D29" s="4">
        <v>99</v>
      </c>
      <c r="E29" s="4">
        <v>605</v>
      </c>
      <c r="F29" s="4">
        <f t="shared" si="2"/>
        <v>2911</v>
      </c>
      <c r="H29">
        <f t="shared" si="1"/>
        <v>0</v>
      </c>
    </row>
    <row r="30" spans="1:8" x14ac:dyDescent="0.2">
      <c r="A30" s="3">
        <v>42727</v>
      </c>
      <c r="B30" s="3" t="s">
        <v>4</v>
      </c>
      <c r="C30" s="4">
        <v>3664</v>
      </c>
      <c r="D30" s="4">
        <v>37</v>
      </c>
      <c r="E30" s="4">
        <v>815</v>
      </c>
      <c r="F30" s="4">
        <f t="shared" si="2"/>
        <v>4516</v>
      </c>
      <c r="H30">
        <f t="shared" si="1"/>
        <v>0</v>
      </c>
    </row>
    <row r="31" spans="1:8" x14ac:dyDescent="0.2">
      <c r="A31" s="3">
        <v>42728</v>
      </c>
      <c r="B31" s="3" t="s">
        <v>5</v>
      </c>
      <c r="C31" s="4">
        <v>1731</v>
      </c>
      <c r="D31" s="4">
        <v>149</v>
      </c>
      <c r="E31" s="4">
        <v>609</v>
      </c>
      <c r="F31" s="4">
        <f t="shared" si="2"/>
        <v>2489</v>
      </c>
      <c r="H31">
        <f t="shared" si="1"/>
        <v>0</v>
      </c>
    </row>
    <row r="32" spans="1:8" x14ac:dyDescent="0.2">
      <c r="A32" s="3">
        <v>42729</v>
      </c>
      <c r="B32" s="3" t="s">
        <v>6</v>
      </c>
      <c r="C32" s="4">
        <v>2262</v>
      </c>
      <c r="D32" s="4">
        <v>574</v>
      </c>
      <c r="E32" s="4">
        <v>457</v>
      </c>
      <c r="F32" s="4">
        <f t="shared" si="2"/>
        <v>3293</v>
      </c>
      <c r="H32">
        <f t="shared" si="1"/>
        <v>0</v>
      </c>
    </row>
    <row r="33" spans="1:8" x14ac:dyDescent="0.2">
      <c r="A33" s="3">
        <v>42730</v>
      </c>
      <c r="B33" s="3" t="s">
        <v>7</v>
      </c>
      <c r="C33" s="4">
        <v>4403</v>
      </c>
      <c r="D33" s="4">
        <v>457</v>
      </c>
      <c r="E33" s="4">
        <v>748</v>
      </c>
      <c r="F33" s="4">
        <f t="shared" si="2"/>
        <v>5608</v>
      </c>
      <c r="H33">
        <f t="shared" si="1"/>
        <v>5608</v>
      </c>
    </row>
    <row r="34" spans="1:8" x14ac:dyDescent="0.2">
      <c r="A34" s="3">
        <v>42731</v>
      </c>
      <c r="B34" s="3" t="s">
        <v>8</v>
      </c>
      <c r="C34" s="4">
        <v>3549</v>
      </c>
      <c r="D34" s="4">
        <v>136</v>
      </c>
      <c r="E34" s="4">
        <v>1115</v>
      </c>
      <c r="F34" s="4">
        <f t="shared" si="2"/>
        <v>4800</v>
      </c>
      <c r="H34">
        <f t="shared" si="1"/>
        <v>0</v>
      </c>
    </row>
    <row r="35" spans="1:8" x14ac:dyDescent="0.2">
      <c r="A35" s="3">
        <v>42732</v>
      </c>
      <c r="B35" s="3" t="s">
        <v>9</v>
      </c>
      <c r="C35" s="4">
        <v>5421</v>
      </c>
      <c r="D35" s="4">
        <v>265</v>
      </c>
      <c r="E35" s="4">
        <v>1297</v>
      </c>
      <c r="F35" s="4">
        <f t="shared" si="2"/>
        <v>6983</v>
      </c>
      <c r="H35">
        <f t="shared" si="1"/>
        <v>0</v>
      </c>
    </row>
    <row r="36" spans="1:8" x14ac:dyDescent="0.2">
      <c r="A36" s="3">
        <v>42733</v>
      </c>
      <c r="B36" s="3" t="s">
        <v>10</v>
      </c>
      <c r="C36" s="4">
        <v>4002</v>
      </c>
      <c r="D36" s="4">
        <v>195</v>
      </c>
      <c r="E36" s="4">
        <v>1021</v>
      </c>
      <c r="F36" s="4">
        <f t="shared" si="2"/>
        <v>5218</v>
      </c>
      <c r="H36">
        <f t="shared" si="1"/>
        <v>0</v>
      </c>
    </row>
    <row r="37" spans="1:8" x14ac:dyDescent="0.2">
      <c r="A37" s="3">
        <v>42734</v>
      </c>
      <c r="B37" s="3" t="s">
        <v>4</v>
      </c>
      <c r="C37" s="4">
        <v>5296</v>
      </c>
      <c r="D37" s="4">
        <v>344</v>
      </c>
      <c r="E37" s="4">
        <v>1340</v>
      </c>
      <c r="F37" s="4">
        <f t="shared" si="2"/>
        <v>6980</v>
      </c>
      <c r="H37">
        <f t="shared" si="1"/>
        <v>0</v>
      </c>
    </row>
    <row r="38" spans="1:8" x14ac:dyDescent="0.2">
      <c r="A38" s="3">
        <v>42735</v>
      </c>
      <c r="B38" s="3" t="s">
        <v>5</v>
      </c>
      <c r="C38" s="4">
        <v>2825</v>
      </c>
      <c r="D38" s="4">
        <v>265</v>
      </c>
      <c r="E38" s="4">
        <v>1145</v>
      </c>
      <c r="F38" s="4">
        <f t="shared" si="2"/>
        <v>4235</v>
      </c>
      <c r="H38">
        <f t="shared" si="1"/>
        <v>0</v>
      </c>
    </row>
    <row r="39" spans="1:8" x14ac:dyDescent="0.2">
      <c r="A39" s="3">
        <v>42736</v>
      </c>
      <c r="B39" s="3" t="s">
        <v>6</v>
      </c>
      <c r="C39" s="4">
        <v>2857</v>
      </c>
      <c r="D39" s="4">
        <v>203</v>
      </c>
      <c r="E39" s="4">
        <v>1135</v>
      </c>
      <c r="F39" s="4">
        <f t="shared" si="2"/>
        <v>4195</v>
      </c>
      <c r="H39">
        <f t="shared" si="1"/>
        <v>0</v>
      </c>
    </row>
    <row r="40" spans="1:8" x14ac:dyDescent="0.2">
      <c r="A40" s="3">
        <v>42737</v>
      </c>
      <c r="B40" s="3" t="s">
        <v>7</v>
      </c>
      <c r="C40" s="4">
        <v>3909</v>
      </c>
      <c r="D40" s="4">
        <v>0</v>
      </c>
      <c r="E40" s="4">
        <v>614</v>
      </c>
      <c r="F40" s="4">
        <f t="shared" si="2"/>
        <v>4523</v>
      </c>
      <c r="H40">
        <f t="shared" si="1"/>
        <v>4523</v>
      </c>
    </row>
    <row r="41" spans="1:8" x14ac:dyDescent="0.2">
      <c r="A41" s="3">
        <v>42738</v>
      </c>
      <c r="B41" s="3" t="s">
        <v>8</v>
      </c>
      <c r="C41" s="4">
        <v>750</v>
      </c>
      <c r="D41" s="4">
        <v>112</v>
      </c>
      <c r="E41" s="4">
        <v>189</v>
      </c>
      <c r="F41" s="4">
        <f t="shared" si="2"/>
        <v>1051</v>
      </c>
      <c r="H41">
        <f t="shared" si="1"/>
        <v>0</v>
      </c>
    </row>
    <row r="42" spans="1:8" x14ac:dyDescent="0.2">
      <c r="A42" s="3">
        <v>42739</v>
      </c>
      <c r="B42" s="3" t="s">
        <v>9</v>
      </c>
      <c r="C42" s="4">
        <v>619</v>
      </c>
      <c r="D42" s="4">
        <v>0</v>
      </c>
      <c r="E42" s="4">
        <v>104</v>
      </c>
      <c r="F42" s="4">
        <f t="shared" si="2"/>
        <v>723</v>
      </c>
      <c r="H42">
        <f t="shared" si="1"/>
        <v>0</v>
      </c>
    </row>
    <row r="43" spans="1:8" x14ac:dyDescent="0.2">
      <c r="A43" s="3">
        <v>42740</v>
      </c>
      <c r="B43" s="3" t="s">
        <v>10</v>
      </c>
      <c r="C43" s="4">
        <v>742</v>
      </c>
      <c r="D43" s="4">
        <v>39</v>
      </c>
      <c r="E43" s="4">
        <v>285</v>
      </c>
      <c r="F43" s="4">
        <f t="shared" si="2"/>
        <v>1066</v>
      </c>
      <c r="H43">
        <f t="shared" si="1"/>
        <v>0</v>
      </c>
    </row>
    <row r="44" spans="1:8" x14ac:dyDescent="0.2">
      <c r="A44" s="3">
        <v>42741</v>
      </c>
      <c r="B44" s="3" t="s">
        <v>4</v>
      </c>
      <c r="C44" s="4">
        <f>822+259</f>
        <v>1081</v>
      </c>
      <c r="D44" s="4">
        <v>90</v>
      </c>
      <c r="E44" s="4">
        <v>230</v>
      </c>
      <c r="F44" s="4">
        <f t="shared" si="2"/>
        <v>1401</v>
      </c>
      <c r="H44">
        <f t="shared" si="1"/>
        <v>0</v>
      </c>
    </row>
    <row r="45" spans="1:8" x14ac:dyDescent="0.2">
      <c r="A45" s="3">
        <v>42742</v>
      </c>
      <c r="B45" s="3" t="s">
        <v>5</v>
      </c>
      <c r="C45" s="4">
        <v>2583</v>
      </c>
      <c r="D45" s="4">
        <v>125</v>
      </c>
      <c r="E45" s="4">
        <v>944</v>
      </c>
      <c r="F45" s="4">
        <f t="shared" si="2"/>
        <v>3652</v>
      </c>
      <c r="H45">
        <f t="shared" si="1"/>
        <v>0</v>
      </c>
    </row>
    <row r="46" spans="1:8" x14ac:dyDescent="0.2">
      <c r="A46" s="3">
        <v>42743</v>
      </c>
      <c r="B46" s="3" t="s">
        <v>6</v>
      </c>
      <c r="C46" s="4">
        <f>3449+25</f>
        <v>3474</v>
      </c>
      <c r="D46" s="4">
        <v>0</v>
      </c>
      <c r="E46" s="4">
        <v>1098</v>
      </c>
      <c r="F46" s="4">
        <f t="shared" si="2"/>
        <v>4572</v>
      </c>
      <c r="H46">
        <f t="shared" si="1"/>
        <v>0</v>
      </c>
    </row>
    <row r="47" spans="1:8" x14ac:dyDescent="0.2">
      <c r="A47" s="3">
        <v>42744</v>
      </c>
      <c r="B47" s="3" t="s">
        <v>7</v>
      </c>
      <c r="C47" s="4">
        <v>650</v>
      </c>
      <c r="D47" s="4">
        <v>1</v>
      </c>
      <c r="E47" s="4">
        <v>380</v>
      </c>
      <c r="F47" s="4">
        <f t="shared" si="2"/>
        <v>1031</v>
      </c>
      <c r="H47">
        <f t="shared" si="1"/>
        <v>1031</v>
      </c>
    </row>
    <row r="48" spans="1:8" x14ac:dyDescent="0.2">
      <c r="A48" s="3">
        <v>42745</v>
      </c>
      <c r="B48" s="3" t="s">
        <v>8</v>
      </c>
      <c r="C48" s="4">
        <v>612</v>
      </c>
      <c r="D48" s="4">
        <v>13</v>
      </c>
      <c r="E48" s="4">
        <v>307</v>
      </c>
      <c r="F48" s="4">
        <f t="shared" si="2"/>
        <v>932</v>
      </c>
      <c r="H48">
        <f t="shared" si="1"/>
        <v>0</v>
      </c>
    </row>
    <row r="49" spans="1:8" x14ac:dyDescent="0.2">
      <c r="A49" s="3">
        <v>42746</v>
      </c>
      <c r="B49" s="3" t="s">
        <v>9</v>
      </c>
      <c r="C49" s="4">
        <v>1193</v>
      </c>
      <c r="D49" s="4">
        <v>22</v>
      </c>
      <c r="E49" s="4">
        <v>327</v>
      </c>
      <c r="F49" s="4">
        <f t="shared" si="2"/>
        <v>1542</v>
      </c>
      <c r="H49">
        <f t="shared" si="1"/>
        <v>0</v>
      </c>
    </row>
    <row r="50" spans="1:8" x14ac:dyDescent="0.2">
      <c r="A50" s="3">
        <v>42747</v>
      </c>
      <c r="B50" s="3" t="s">
        <v>10</v>
      </c>
      <c r="C50" s="4">
        <v>995</v>
      </c>
      <c r="D50" s="4">
        <v>60</v>
      </c>
      <c r="E50" s="4">
        <v>328</v>
      </c>
      <c r="F50" s="4">
        <f t="shared" si="2"/>
        <v>1383</v>
      </c>
      <c r="H50">
        <f t="shared" si="1"/>
        <v>0</v>
      </c>
    </row>
    <row r="51" spans="1:8" x14ac:dyDescent="0.2">
      <c r="A51" s="3">
        <v>42748</v>
      </c>
      <c r="B51" s="3" t="s">
        <v>4</v>
      </c>
      <c r="C51" s="4">
        <f>1380+259+350</f>
        <v>1989</v>
      </c>
      <c r="D51" s="4">
        <v>79</v>
      </c>
      <c r="E51" s="4">
        <v>295</v>
      </c>
      <c r="F51" s="4">
        <f t="shared" si="2"/>
        <v>2363</v>
      </c>
      <c r="H51">
        <f t="shared" si="1"/>
        <v>0</v>
      </c>
    </row>
    <row r="52" spans="1:8" x14ac:dyDescent="0.2">
      <c r="A52" s="3">
        <v>42749</v>
      </c>
      <c r="B52" s="3" t="s">
        <v>5</v>
      </c>
      <c r="C52" s="4">
        <v>3625</v>
      </c>
      <c r="D52" s="4">
        <v>226</v>
      </c>
      <c r="E52" s="4">
        <v>1310</v>
      </c>
      <c r="F52" s="4">
        <f t="shared" si="2"/>
        <v>5161</v>
      </c>
      <c r="H52">
        <f t="shared" si="1"/>
        <v>0</v>
      </c>
    </row>
    <row r="53" spans="1:8" x14ac:dyDescent="0.2">
      <c r="A53" s="3">
        <v>42750</v>
      </c>
      <c r="B53" s="3" t="s">
        <v>6</v>
      </c>
      <c r="C53" s="4">
        <f>5374+25</f>
        <v>5399</v>
      </c>
      <c r="D53" s="4">
        <v>354</v>
      </c>
      <c r="E53" s="4">
        <v>1444</v>
      </c>
      <c r="F53" s="4">
        <f t="shared" si="2"/>
        <v>7197</v>
      </c>
      <c r="H53">
        <f t="shared" si="1"/>
        <v>0</v>
      </c>
    </row>
    <row r="54" spans="1:8" x14ac:dyDescent="0.2">
      <c r="A54" s="3">
        <v>42751</v>
      </c>
      <c r="B54" s="3" t="s">
        <v>7</v>
      </c>
      <c r="C54" s="4">
        <v>3264</v>
      </c>
      <c r="D54" s="4">
        <v>202</v>
      </c>
      <c r="E54" s="4">
        <v>785</v>
      </c>
      <c r="F54" s="4">
        <f t="shared" si="2"/>
        <v>4251</v>
      </c>
      <c r="H54">
        <f t="shared" si="1"/>
        <v>4251</v>
      </c>
    </row>
    <row r="55" spans="1:8" x14ac:dyDescent="0.2">
      <c r="A55" s="3">
        <v>42752</v>
      </c>
      <c r="B55" s="3" t="s">
        <v>8</v>
      </c>
      <c r="C55" s="4">
        <v>148</v>
      </c>
      <c r="D55" s="4">
        <v>0</v>
      </c>
      <c r="E55" s="4">
        <v>16</v>
      </c>
      <c r="F55" s="4">
        <f t="shared" si="2"/>
        <v>164</v>
      </c>
      <c r="H55">
        <f t="shared" si="1"/>
        <v>0</v>
      </c>
    </row>
    <row r="56" spans="1:8" x14ac:dyDescent="0.2">
      <c r="A56" s="3">
        <v>42753</v>
      </c>
      <c r="B56" s="3" t="s">
        <v>9</v>
      </c>
      <c r="C56" s="4">
        <v>148</v>
      </c>
      <c r="D56" s="4">
        <v>0</v>
      </c>
      <c r="E56" s="4">
        <v>12</v>
      </c>
      <c r="F56" s="4">
        <f t="shared" si="2"/>
        <v>160</v>
      </c>
      <c r="H56">
        <f t="shared" si="1"/>
        <v>0</v>
      </c>
    </row>
    <row r="57" spans="1:8" x14ac:dyDescent="0.2">
      <c r="A57" s="3">
        <v>42754</v>
      </c>
      <c r="B57" s="3" t="s">
        <v>10</v>
      </c>
      <c r="C57" s="4">
        <v>462</v>
      </c>
      <c r="D57" s="4">
        <v>43</v>
      </c>
      <c r="E57" s="4">
        <v>209</v>
      </c>
      <c r="F57" s="4">
        <f t="shared" si="2"/>
        <v>714</v>
      </c>
      <c r="H57">
        <f t="shared" si="1"/>
        <v>0</v>
      </c>
    </row>
    <row r="58" spans="1:8" x14ac:dyDescent="0.2">
      <c r="A58" s="3">
        <v>42755</v>
      </c>
      <c r="B58" s="3" t="s">
        <v>4</v>
      </c>
      <c r="C58" s="4">
        <f>913+350+259</f>
        <v>1522</v>
      </c>
      <c r="D58" s="4">
        <v>51</v>
      </c>
      <c r="E58" s="4">
        <v>238</v>
      </c>
      <c r="F58" s="4">
        <f t="shared" si="2"/>
        <v>1811</v>
      </c>
      <c r="H58">
        <f t="shared" si="1"/>
        <v>0</v>
      </c>
    </row>
    <row r="59" spans="1:8" x14ac:dyDescent="0.2">
      <c r="A59" s="3">
        <v>42756</v>
      </c>
      <c r="B59" s="3" t="s">
        <v>5</v>
      </c>
      <c r="C59" s="4">
        <f>3724+105</f>
        <v>3829</v>
      </c>
      <c r="D59" s="4">
        <v>156</v>
      </c>
      <c r="E59" s="4">
        <v>1141</v>
      </c>
      <c r="F59" s="4">
        <f t="shared" si="2"/>
        <v>5126</v>
      </c>
      <c r="H59">
        <f t="shared" si="1"/>
        <v>0</v>
      </c>
    </row>
    <row r="60" spans="1:8" x14ac:dyDescent="0.2">
      <c r="A60" s="3">
        <v>42757</v>
      </c>
      <c r="B60" s="3" t="s">
        <v>6</v>
      </c>
      <c r="C60" s="4">
        <f>3194+25</f>
        <v>3219</v>
      </c>
      <c r="D60" s="4">
        <v>94</v>
      </c>
      <c r="E60" s="4">
        <v>1109</v>
      </c>
      <c r="F60" s="4">
        <f t="shared" si="2"/>
        <v>4422</v>
      </c>
      <c r="H60">
        <f t="shared" si="1"/>
        <v>0</v>
      </c>
    </row>
    <row r="61" spans="1:8" x14ac:dyDescent="0.2">
      <c r="A61" s="3">
        <v>42758</v>
      </c>
      <c r="B61" s="3" t="s">
        <v>7</v>
      </c>
      <c r="C61" s="4">
        <v>753</v>
      </c>
      <c r="D61" s="4">
        <v>61</v>
      </c>
      <c r="E61" s="4">
        <v>325</v>
      </c>
      <c r="F61" s="4">
        <f t="shared" si="2"/>
        <v>1139</v>
      </c>
      <c r="H61">
        <f t="shared" si="1"/>
        <v>1139</v>
      </c>
    </row>
    <row r="62" spans="1:8" x14ac:dyDescent="0.2">
      <c r="A62" s="3">
        <v>42759</v>
      </c>
      <c r="B62" s="3" t="s">
        <v>8</v>
      </c>
      <c r="C62" s="4">
        <v>620</v>
      </c>
      <c r="D62" s="4">
        <v>74</v>
      </c>
      <c r="E62" s="4">
        <v>302</v>
      </c>
      <c r="F62" s="4">
        <f t="shared" si="2"/>
        <v>996</v>
      </c>
      <c r="H62">
        <f t="shared" si="1"/>
        <v>0</v>
      </c>
    </row>
    <row r="63" spans="1:8" x14ac:dyDescent="0.2">
      <c r="A63" s="3">
        <v>42760</v>
      </c>
      <c r="B63" s="3" t="s">
        <v>9</v>
      </c>
      <c r="C63" s="4">
        <f>650+72</f>
        <v>722</v>
      </c>
      <c r="D63" s="4">
        <v>14</v>
      </c>
      <c r="E63" s="4">
        <v>255</v>
      </c>
      <c r="F63" s="4">
        <f t="shared" si="2"/>
        <v>991</v>
      </c>
      <c r="H63">
        <f t="shared" si="1"/>
        <v>0</v>
      </c>
    </row>
    <row r="64" spans="1:8" x14ac:dyDescent="0.2">
      <c r="A64" s="3">
        <v>42761</v>
      </c>
      <c r="B64" s="3" t="s">
        <v>10</v>
      </c>
      <c r="C64" s="4">
        <v>778</v>
      </c>
      <c r="D64" s="4">
        <v>59</v>
      </c>
      <c r="E64" s="4">
        <v>258</v>
      </c>
      <c r="F64" s="4">
        <f t="shared" si="2"/>
        <v>1095</v>
      </c>
      <c r="H64">
        <f t="shared" si="1"/>
        <v>0</v>
      </c>
    </row>
    <row r="65" spans="1:8" x14ac:dyDescent="0.2">
      <c r="A65" s="3">
        <v>42762</v>
      </c>
      <c r="B65" s="3" t="s">
        <v>4</v>
      </c>
      <c r="C65" s="4">
        <f>1500+259+350</f>
        <v>2109</v>
      </c>
      <c r="D65" s="4">
        <v>58</v>
      </c>
      <c r="E65" s="4">
        <v>379</v>
      </c>
      <c r="F65" s="4">
        <f t="shared" si="2"/>
        <v>2546</v>
      </c>
      <c r="H65">
        <f t="shared" si="1"/>
        <v>0</v>
      </c>
    </row>
    <row r="66" spans="1:8" x14ac:dyDescent="0.2">
      <c r="A66" s="3">
        <v>42763</v>
      </c>
      <c r="B66" s="3" t="s">
        <v>5</v>
      </c>
      <c r="C66" s="4">
        <f>4470+105</f>
        <v>4575</v>
      </c>
      <c r="D66" s="4">
        <v>272</v>
      </c>
      <c r="E66" s="4">
        <v>1413</v>
      </c>
      <c r="F66" s="4">
        <f t="shared" si="2"/>
        <v>6260</v>
      </c>
      <c r="H66">
        <f t="shared" si="1"/>
        <v>0</v>
      </c>
    </row>
    <row r="67" spans="1:8" x14ac:dyDescent="0.2">
      <c r="A67" s="3">
        <v>42764</v>
      </c>
      <c r="B67" s="3" t="s">
        <v>6</v>
      </c>
      <c r="C67" s="4">
        <f>3171+25</f>
        <v>3196</v>
      </c>
      <c r="D67" s="4">
        <v>225</v>
      </c>
      <c r="E67" s="4">
        <v>1104</v>
      </c>
      <c r="F67" s="4">
        <f t="shared" si="2"/>
        <v>4525</v>
      </c>
      <c r="H67">
        <f t="shared" ref="H67:H130" si="3">IF(B:B="Monday",F:F,)</f>
        <v>0</v>
      </c>
    </row>
    <row r="68" spans="1:8" x14ac:dyDescent="0.2">
      <c r="A68" s="3">
        <v>42765</v>
      </c>
      <c r="B68" s="3" t="s">
        <v>7</v>
      </c>
      <c r="C68" s="4">
        <f>851+46</f>
        <v>897</v>
      </c>
      <c r="D68" s="4">
        <v>83</v>
      </c>
      <c r="E68" s="4">
        <v>206</v>
      </c>
      <c r="F68" s="4">
        <f t="shared" si="2"/>
        <v>1186</v>
      </c>
      <c r="H68">
        <f t="shared" si="3"/>
        <v>1186</v>
      </c>
    </row>
    <row r="69" spans="1:8" x14ac:dyDescent="0.2">
      <c r="A69" s="3">
        <v>42766</v>
      </c>
      <c r="B69" s="3" t="s">
        <v>8</v>
      </c>
      <c r="C69" s="4">
        <v>476</v>
      </c>
      <c r="D69" s="4">
        <v>39</v>
      </c>
      <c r="E69" s="4">
        <v>195</v>
      </c>
      <c r="F69" s="4">
        <f t="shared" si="2"/>
        <v>710</v>
      </c>
      <c r="H69">
        <f t="shared" si="3"/>
        <v>0</v>
      </c>
    </row>
    <row r="70" spans="1:8" x14ac:dyDescent="0.2">
      <c r="A70" s="3">
        <v>42767</v>
      </c>
      <c r="B70" s="3" t="s">
        <v>9</v>
      </c>
      <c r="C70" s="4">
        <f>944+72</f>
        <v>1016</v>
      </c>
      <c r="D70" s="4">
        <v>0</v>
      </c>
      <c r="E70" s="4">
        <v>245</v>
      </c>
      <c r="F70" s="4">
        <f t="shared" si="2"/>
        <v>1261</v>
      </c>
      <c r="H70">
        <f t="shared" si="3"/>
        <v>0</v>
      </c>
    </row>
    <row r="71" spans="1:8" x14ac:dyDescent="0.2">
      <c r="A71" s="3">
        <v>42768</v>
      </c>
      <c r="B71" s="3" t="s">
        <v>10</v>
      </c>
      <c r="C71" s="4">
        <f>495+36</f>
        <v>531</v>
      </c>
      <c r="D71" s="4">
        <v>0</v>
      </c>
      <c r="E71" s="4">
        <v>143</v>
      </c>
      <c r="F71" s="4">
        <f t="shared" si="2"/>
        <v>674</v>
      </c>
      <c r="H71">
        <f t="shared" si="3"/>
        <v>0</v>
      </c>
    </row>
    <row r="72" spans="1:8" x14ac:dyDescent="0.2">
      <c r="A72" s="3">
        <v>42769</v>
      </c>
      <c r="B72" s="3" t="s">
        <v>4</v>
      </c>
      <c r="C72" s="4">
        <f>1069+609</f>
        <v>1678</v>
      </c>
      <c r="D72" s="4">
        <v>22</v>
      </c>
      <c r="E72" s="4">
        <v>320</v>
      </c>
      <c r="F72" s="4">
        <f t="shared" ref="F72:F90" si="4">SUM(C72:E72)</f>
        <v>2020</v>
      </c>
      <c r="H72">
        <f t="shared" si="3"/>
        <v>0</v>
      </c>
    </row>
    <row r="73" spans="1:8" x14ac:dyDescent="0.2">
      <c r="A73" s="3">
        <v>42770</v>
      </c>
      <c r="B73" s="3" t="s">
        <v>5</v>
      </c>
      <c r="C73" s="4">
        <f>4854+105</f>
        <v>4959</v>
      </c>
      <c r="D73" s="4">
        <v>62</v>
      </c>
      <c r="E73" s="4">
        <v>1416</v>
      </c>
      <c r="F73" s="4">
        <f t="shared" si="4"/>
        <v>6437</v>
      </c>
      <c r="H73">
        <f t="shared" si="3"/>
        <v>0</v>
      </c>
    </row>
    <row r="74" spans="1:8" x14ac:dyDescent="0.2">
      <c r="A74" s="3">
        <v>42771</v>
      </c>
      <c r="B74" s="3" t="s">
        <v>6</v>
      </c>
      <c r="C74" s="4">
        <f>4628+25</f>
        <v>4653</v>
      </c>
      <c r="D74" s="4">
        <v>26</v>
      </c>
      <c r="E74" s="4">
        <v>1511</v>
      </c>
      <c r="F74" s="4">
        <f t="shared" si="4"/>
        <v>6190</v>
      </c>
      <c r="H74">
        <f t="shared" si="3"/>
        <v>0</v>
      </c>
    </row>
    <row r="75" spans="1:8" x14ac:dyDescent="0.2">
      <c r="A75" s="3">
        <v>42772</v>
      </c>
      <c r="B75" s="3" t="s">
        <v>7</v>
      </c>
      <c r="C75" s="4">
        <f>1776+46</f>
        <v>1822</v>
      </c>
      <c r="D75" s="4">
        <v>5</v>
      </c>
      <c r="E75" s="4">
        <v>560</v>
      </c>
      <c r="F75" s="4">
        <f t="shared" si="4"/>
        <v>2387</v>
      </c>
      <c r="H75">
        <f t="shared" si="3"/>
        <v>2387</v>
      </c>
    </row>
    <row r="76" spans="1:8" x14ac:dyDescent="0.2">
      <c r="A76" s="3">
        <v>42773</v>
      </c>
      <c r="B76" s="3" t="s">
        <v>8</v>
      </c>
      <c r="C76" s="4">
        <v>1380</v>
      </c>
      <c r="D76" s="4">
        <v>33</v>
      </c>
      <c r="E76" s="4">
        <v>527</v>
      </c>
      <c r="F76" s="4">
        <f t="shared" si="4"/>
        <v>1940</v>
      </c>
      <c r="H76">
        <f t="shared" si="3"/>
        <v>0</v>
      </c>
    </row>
    <row r="77" spans="1:8" x14ac:dyDescent="0.2">
      <c r="A77" s="3">
        <v>42774</v>
      </c>
      <c r="B77" s="3" t="s">
        <v>9</v>
      </c>
      <c r="C77" s="4">
        <f>908+72</f>
        <v>980</v>
      </c>
      <c r="D77" s="4">
        <v>0</v>
      </c>
      <c r="E77" s="4">
        <v>307</v>
      </c>
      <c r="F77" s="4">
        <f t="shared" si="4"/>
        <v>1287</v>
      </c>
      <c r="H77">
        <f t="shared" si="3"/>
        <v>0</v>
      </c>
    </row>
    <row r="78" spans="1:8" x14ac:dyDescent="0.2">
      <c r="A78" s="3">
        <v>42775</v>
      </c>
      <c r="B78" s="3" t="s">
        <v>10</v>
      </c>
      <c r="C78" s="4">
        <f>36+450</f>
        <v>486</v>
      </c>
      <c r="D78" s="4">
        <v>0</v>
      </c>
      <c r="E78" s="4">
        <v>10</v>
      </c>
      <c r="F78" s="4">
        <f t="shared" si="4"/>
        <v>496</v>
      </c>
      <c r="H78">
        <f t="shared" si="3"/>
        <v>0</v>
      </c>
    </row>
    <row r="79" spans="1:8" x14ac:dyDescent="0.2">
      <c r="A79" s="3">
        <v>42776</v>
      </c>
      <c r="B79" s="3" t="s">
        <v>4</v>
      </c>
      <c r="C79" s="4">
        <f>350+826</f>
        <v>1176</v>
      </c>
      <c r="D79" s="4">
        <v>0</v>
      </c>
      <c r="E79" s="4">
        <v>129</v>
      </c>
      <c r="F79" s="4">
        <f t="shared" si="4"/>
        <v>1305</v>
      </c>
      <c r="H79">
        <f t="shared" si="3"/>
        <v>0</v>
      </c>
    </row>
    <row r="80" spans="1:8" x14ac:dyDescent="0.2">
      <c r="A80" s="3">
        <v>42777</v>
      </c>
      <c r="B80" s="3" t="s">
        <v>5</v>
      </c>
      <c r="C80" s="4">
        <f>105+3589</f>
        <v>3694</v>
      </c>
      <c r="D80" s="4">
        <v>123</v>
      </c>
      <c r="E80" s="4">
        <v>1131</v>
      </c>
      <c r="F80" s="4">
        <f t="shared" si="4"/>
        <v>4948</v>
      </c>
      <c r="H80">
        <f t="shared" si="3"/>
        <v>0</v>
      </c>
    </row>
    <row r="81" spans="1:8" x14ac:dyDescent="0.2">
      <c r="A81" s="3">
        <v>42778</v>
      </c>
      <c r="B81" s="3" t="s">
        <v>6</v>
      </c>
      <c r="C81" s="4">
        <f>25+3983</f>
        <v>4008</v>
      </c>
      <c r="D81" s="4">
        <v>179</v>
      </c>
      <c r="E81" s="4">
        <v>1254</v>
      </c>
      <c r="F81" s="4">
        <f t="shared" si="4"/>
        <v>5441</v>
      </c>
      <c r="H81">
        <f t="shared" si="3"/>
        <v>0</v>
      </c>
    </row>
    <row r="82" spans="1:8" x14ac:dyDescent="0.2">
      <c r="A82" s="3">
        <v>42779</v>
      </c>
      <c r="B82" s="3" t="s">
        <v>7</v>
      </c>
      <c r="C82" s="4">
        <f>746+46</f>
        <v>792</v>
      </c>
      <c r="D82" s="4">
        <v>1</v>
      </c>
      <c r="E82" s="4">
        <v>283</v>
      </c>
      <c r="F82" s="4">
        <f t="shared" si="4"/>
        <v>1076</v>
      </c>
      <c r="H82">
        <f t="shared" si="3"/>
        <v>1076</v>
      </c>
    </row>
    <row r="83" spans="1:8" x14ac:dyDescent="0.2">
      <c r="A83" s="3">
        <v>42780</v>
      </c>
      <c r="B83" s="3" t="s">
        <v>8</v>
      </c>
      <c r="C83" s="4">
        <v>653</v>
      </c>
      <c r="D83" s="4">
        <v>48</v>
      </c>
      <c r="E83" s="4">
        <v>255</v>
      </c>
      <c r="F83" s="4">
        <f t="shared" si="4"/>
        <v>956</v>
      </c>
      <c r="H83">
        <f t="shared" si="3"/>
        <v>0</v>
      </c>
    </row>
    <row r="84" spans="1:8" x14ac:dyDescent="0.2">
      <c r="A84" s="3">
        <v>42781</v>
      </c>
      <c r="B84" s="3" t="s">
        <v>9</v>
      </c>
      <c r="C84" s="4">
        <v>155</v>
      </c>
      <c r="D84" s="4">
        <v>0</v>
      </c>
      <c r="E84" s="4">
        <v>13</v>
      </c>
      <c r="F84" s="4">
        <f t="shared" si="4"/>
        <v>168</v>
      </c>
      <c r="H84">
        <f t="shared" si="3"/>
        <v>0</v>
      </c>
    </row>
    <row r="85" spans="1:8" x14ac:dyDescent="0.2">
      <c r="A85" s="3">
        <v>42782</v>
      </c>
      <c r="B85" s="3" t="s">
        <v>10</v>
      </c>
      <c r="C85" s="4">
        <v>635</v>
      </c>
      <c r="D85" s="4">
        <v>50</v>
      </c>
      <c r="E85" s="4">
        <v>118</v>
      </c>
      <c r="F85" s="4">
        <f t="shared" si="4"/>
        <v>803</v>
      </c>
      <c r="H85">
        <f t="shared" si="3"/>
        <v>0</v>
      </c>
    </row>
    <row r="86" spans="1:8" x14ac:dyDescent="0.2">
      <c r="A86" s="3">
        <v>42783</v>
      </c>
      <c r="B86" s="3" t="s">
        <v>4</v>
      </c>
      <c r="C86" s="4">
        <f>1565+350</f>
        <v>1915</v>
      </c>
      <c r="D86" s="4">
        <v>76</v>
      </c>
      <c r="E86" s="4">
        <v>369</v>
      </c>
      <c r="F86" s="4">
        <f t="shared" si="4"/>
        <v>2360</v>
      </c>
      <c r="H86">
        <f t="shared" si="3"/>
        <v>0</v>
      </c>
    </row>
    <row r="87" spans="1:8" x14ac:dyDescent="0.2">
      <c r="A87" s="3">
        <v>42784</v>
      </c>
      <c r="B87" s="3" t="s">
        <v>5</v>
      </c>
      <c r="C87" s="4">
        <v>3495</v>
      </c>
      <c r="D87" s="4">
        <v>130</v>
      </c>
      <c r="E87" s="4">
        <v>911</v>
      </c>
      <c r="F87" s="4">
        <f t="shared" si="4"/>
        <v>4536</v>
      </c>
      <c r="H87">
        <f t="shared" si="3"/>
        <v>0</v>
      </c>
    </row>
    <row r="88" spans="1:8" x14ac:dyDescent="0.2">
      <c r="A88" s="3">
        <v>42785</v>
      </c>
      <c r="B88" s="3" t="s">
        <v>6</v>
      </c>
      <c r="C88" s="4">
        <v>4041</v>
      </c>
      <c r="D88" s="4">
        <v>9</v>
      </c>
      <c r="E88" s="4">
        <v>992</v>
      </c>
      <c r="F88" s="4">
        <f t="shared" si="4"/>
        <v>5042</v>
      </c>
      <c r="H88">
        <f t="shared" si="3"/>
        <v>0</v>
      </c>
    </row>
    <row r="89" spans="1:8" x14ac:dyDescent="0.2">
      <c r="A89" s="3">
        <v>42786</v>
      </c>
      <c r="B89" s="3" t="s">
        <v>7</v>
      </c>
      <c r="C89" s="4">
        <v>3218</v>
      </c>
      <c r="D89" s="4">
        <v>36</v>
      </c>
      <c r="E89" s="4">
        <v>739</v>
      </c>
      <c r="F89" s="4">
        <f t="shared" si="4"/>
        <v>3993</v>
      </c>
      <c r="H89">
        <f t="shared" si="3"/>
        <v>3993</v>
      </c>
    </row>
    <row r="90" spans="1:8" x14ac:dyDescent="0.2">
      <c r="A90" s="3">
        <v>42787</v>
      </c>
      <c r="B90" s="3" t="s">
        <v>8</v>
      </c>
      <c r="C90" s="4">
        <v>1803</v>
      </c>
      <c r="D90" s="4">
        <v>43</v>
      </c>
      <c r="E90" s="4">
        <v>605</v>
      </c>
      <c r="F90" s="4">
        <f t="shared" si="4"/>
        <v>2451</v>
      </c>
      <c r="H90">
        <f t="shared" si="3"/>
        <v>0</v>
      </c>
    </row>
    <row r="91" spans="1:8" x14ac:dyDescent="0.2">
      <c r="A91" s="3">
        <v>42788</v>
      </c>
      <c r="B91" s="3" t="s">
        <v>9</v>
      </c>
      <c r="C91" s="4">
        <v>1645</v>
      </c>
      <c r="D91" s="4">
        <v>53</v>
      </c>
      <c r="E91" s="4">
        <v>534</v>
      </c>
      <c r="F91" s="4">
        <f t="shared" ref="F91:F151" si="5">SUM(C91:E91)</f>
        <v>2232</v>
      </c>
      <c r="H91">
        <f t="shared" si="3"/>
        <v>0</v>
      </c>
    </row>
    <row r="92" spans="1:8" x14ac:dyDescent="0.2">
      <c r="A92" s="3">
        <v>42789</v>
      </c>
      <c r="B92" s="3" t="s">
        <v>10</v>
      </c>
      <c r="C92" s="4">
        <v>1794</v>
      </c>
      <c r="D92" s="4">
        <v>55</v>
      </c>
      <c r="E92" s="4">
        <v>451</v>
      </c>
      <c r="F92" s="4">
        <f t="shared" si="5"/>
        <v>2300</v>
      </c>
      <c r="H92">
        <f t="shared" si="3"/>
        <v>0</v>
      </c>
    </row>
    <row r="93" spans="1:8" x14ac:dyDescent="0.2">
      <c r="A93" s="3">
        <v>42790</v>
      </c>
      <c r="B93" s="3" t="s">
        <v>4</v>
      </c>
      <c r="C93" s="4">
        <f>2013+350</f>
        <v>2363</v>
      </c>
      <c r="D93" s="4">
        <v>74</v>
      </c>
      <c r="E93" s="4">
        <v>405</v>
      </c>
      <c r="F93" s="4">
        <f t="shared" si="5"/>
        <v>2842</v>
      </c>
      <c r="H93">
        <f t="shared" si="3"/>
        <v>0</v>
      </c>
    </row>
    <row r="94" spans="1:8" x14ac:dyDescent="0.2">
      <c r="A94" s="3">
        <v>42791</v>
      </c>
      <c r="B94" s="3" t="s">
        <v>5</v>
      </c>
      <c r="C94" s="4">
        <f>4277+105</f>
        <v>4382</v>
      </c>
      <c r="D94" s="4">
        <v>161</v>
      </c>
      <c r="E94" s="4">
        <v>1132</v>
      </c>
      <c r="F94" s="4">
        <f t="shared" si="5"/>
        <v>5675</v>
      </c>
      <c r="H94">
        <f t="shared" si="3"/>
        <v>0</v>
      </c>
    </row>
    <row r="95" spans="1:8" x14ac:dyDescent="0.2">
      <c r="A95" s="3">
        <v>42792</v>
      </c>
      <c r="B95" s="3" t="s">
        <v>6</v>
      </c>
      <c r="C95" s="4">
        <v>2829</v>
      </c>
      <c r="D95" s="4">
        <v>61</v>
      </c>
      <c r="E95" s="4">
        <v>1011</v>
      </c>
      <c r="F95" s="4">
        <f t="shared" si="5"/>
        <v>3901</v>
      </c>
      <c r="H95">
        <f t="shared" si="3"/>
        <v>0</v>
      </c>
    </row>
    <row r="96" spans="1:8" x14ac:dyDescent="0.2">
      <c r="A96" s="3">
        <v>42793</v>
      </c>
      <c r="B96" s="3" t="s">
        <v>7</v>
      </c>
      <c r="C96" s="4">
        <v>645</v>
      </c>
      <c r="D96" s="4">
        <v>27</v>
      </c>
      <c r="E96" s="4">
        <v>253</v>
      </c>
      <c r="F96" s="4">
        <f t="shared" si="5"/>
        <v>925</v>
      </c>
      <c r="H96">
        <f t="shared" si="3"/>
        <v>925</v>
      </c>
    </row>
    <row r="97" spans="1:8" x14ac:dyDescent="0.2">
      <c r="A97" s="3">
        <v>42794</v>
      </c>
      <c r="B97" s="3" t="s">
        <v>8</v>
      </c>
      <c r="C97" s="4">
        <v>718</v>
      </c>
      <c r="D97" s="4">
        <v>27</v>
      </c>
      <c r="E97" s="4">
        <v>342</v>
      </c>
      <c r="F97" s="4">
        <f t="shared" si="5"/>
        <v>1087</v>
      </c>
      <c r="H97">
        <f t="shared" si="3"/>
        <v>0</v>
      </c>
    </row>
    <row r="98" spans="1:8" x14ac:dyDescent="0.2">
      <c r="A98" s="3">
        <v>42795</v>
      </c>
      <c r="B98" s="3" t="s">
        <v>9</v>
      </c>
      <c r="C98" s="4">
        <f>876+72</f>
        <v>948</v>
      </c>
      <c r="D98" s="4">
        <v>13</v>
      </c>
      <c r="E98" s="4">
        <v>368</v>
      </c>
      <c r="F98" s="4">
        <f t="shared" si="5"/>
        <v>1329</v>
      </c>
      <c r="H98">
        <f t="shared" si="3"/>
        <v>0</v>
      </c>
    </row>
    <row r="99" spans="1:8" x14ac:dyDescent="0.2">
      <c r="A99" s="3">
        <v>42796</v>
      </c>
      <c r="B99" s="3" t="s">
        <v>10</v>
      </c>
      <c r="C99" s="4">
        <v>905</v>
      </c>
      <c r="D99" s="4">
        <v>16</v>
      </c>
      <c r="E99" s="4">
        <v>312</v>
      </c>
      <c r="F99" s="4">
        <f t="shared" si="5"/>
        <v>1233</v>
      </c>
      <c r="H99">
        <f t="shared" si="3"/>
        <v>0</v>
      </c>
    </row>
    <row r="100" spans="1:8" x14ac:dyDescent="0.2">
      <c r="A100" s="3">
        <v>42797</v>
      </c>
      <c r="B100" s="3" t="s">
        <v>4</v>
      </c>
      <c r="C100" s="4">
        <v>1447</v>
      </c>
      <c r="D100" s="4">
        <v>46</v>
      </c>
      <c r="E100" s="4">
        <v>319</v>
      </c>
      <c r="F100" s="4">
        <f t="shared" si="5"/>
        <v>1812</v>
      </c>
      <c r="H100">
        <f t="shared" si="3"/>
        <v>0</v>
      </c>
    </row>
    <row r="101" spans="1:8" x14ac:dyDescent="0.2">
      <c r="A101" s="3">
        <v>42798</v>
      </c>
      <c r="B101" s="3" t="s">
        <v>5</v>
      </c>
      <c r="C101" s="4">
        <f>5420+105</f>
        <v>5525</v>
      </c>
      <c r="D101" s="4">
        <v>153</v>
      </c>
      <c r="E101" s="4">
        <v>1368</v>
      </c>
      <c r="F101" s="4">
        <f t="shared" si="5"/>
        <v>7046</v>
      </c>
      <c r="H101">
        <f t="shared" si="3"/>
        <v>0</v>
      </c>
    </row>
    <row r="102" spans="1:8" x14ac:dyDescent="0.2">
      <c r="A102" s="3">
        <v>42799</v>
      </c>
      <c r="B102" s="3" t="s">
        <v>6</v>
      </c>
      <c r="C102" s="4">
        <v>3836</v>
      </c>
      <c r="D102" s="4">
        <v>73</v>
      </c>
      <c r="E102" s="4">
        <v>1296</v>
      </c>
      <c r="F102" s="4">
        <f t="shared" si="5"/>
        <v>5205</v>
      </c>
      <c r="H102">
        <f t="shared" si="3"/>
        <v>0</v>
      </c>
    </row>
    <row r="103" spans="1:8" x14ac:dyDescent="0.2">
      <c r="A103" s="3">
        <v>42800</v>
      </c>
      <c r="B103" s="3" t="s">
        <v>7</v>
      </c>
      <c r="C103" s="4">
        <v>783</v>
      </c>
      <c r="D103" s="4">
        <v>28</v>
      </c>
      <c r="E103" s="4">
        <v>331</v>
      </c>
      <c r="F103" s="4">
        <f t="shared" si="5"/>
        <v>1142</v>
      </c>
      <c r="H103">
        <f t="shared" si="3"/>
        <v>1142</v>
      </c>
    </row>
    <row r="104" spans="1:8" x14ac:dyDescent="0.2">
      <c r="A104" s="3">
        <v>42801</v>
      </c>
      <c r="B104" s="3" t="s">
        <v>8</v>
      </c>
      <c r="C104" s="4">
        <f>636+46</f>
        <v>682</v>
      </c>
      <c r="D104" s="4">
        <v>10</v>
      </c>
      <c r="E104" s="4">
        <v>304</v>
      </c>
      <c r="F104" s="4">
        <f t="shared" si="5"/>
        <v>996</v>
      </c>
      <c r="H104">
        <f t="shared" si="3"/>
        <v>0</v>
      </c>
    </row>
    <row r="105" spans="1:8" x14ac:dyDescent="0.2">
      <c r="A105" s="3">
        <v>42802</v>
      </c>
      <c r="B105" s="3" t="s">
        <v>9</v>
      </c>
      <c r="C105" s="4">
        <v>1080</v>
      </c>
      <c r="D105" s="4">
        <v>30</v>
      </c>
      <c r="E105" s="4">
        <v>516</v>
      </c>
      <c r="F105" s="4">
        <f t="shared" si="5"/>
        <v>1626</v>
      </c>
      <c r="H105">
        <f t="shared" si="3"/>
        <v>0</v>
      </c>
    </row>
    <row r="106" spans="1:8" x14ac:dyDescent="0.2">
      <c r="A106" s="3">
        <v>42803</v>
      </c>
      <c r="B106" s="3" t="s">
        <v>10</v>
      </c>
      <c r="C106" s="4">
        <v>790</v>
      </c>
      <c r="D106" s="4">
        <v>10</v>
      </c>
      <c r="E106" s="4">
        <v>366</v>
      </c>
      <c r="F106" s="4">
        <f t="shared" si="5"/>
        <v>1166</v>
      </c>
      <c r="H106">
        <f t="shared" si="3"/>
        <v>0</v>
      </c>
    </row>
    <row r="107" spans="1:8" x14ac:dyDescent="0.2">
      <c r="A107" s="3">
        <v>42804</v>
      </c>
      <c r="B107" s="3" t="s">
        <v>4</v>
      </c>
      <c r="C107" s="4">
        <v>2151</v>
      </c>
      <c r="D107" s="4">
        <v>93</v>
      </c>
      <c r="E107" s="4">
        <v>258</v>
      </c>
      <c r="F107" s="4">
        <f t="shared" si="5"/>
        <v>2502</v>
      </c>
      <c r="H107">
        <f t="shared" si="3"/>
        <v>0</v>
      </c>
    </row>
    <row r="108" spans="1:8" x14ac:dyDescent="0.2">
      <c r="A108" s="3">
        <v>42805</v>
      </c>
      <c r="B108" s="3" t="s">
        <v>5</v>
      </c>
      <c r="C108" s="4">
        <v>2548</v>
      </c>
      <c r="D108" s="4">
        <v>3</v>
      </c>
      <c r="E108" s="4">
        <v>679</v>
      </c>
      <c r="F108" s="4">
        <f t="shared" si="5"/>
        <v>3230</v>
      </c>
      <c r="H108">
        <f t="shared" si="3"/>
        <v>0</v>
      </c>
    </row>
    <row r="109" spans="1:8" x14ac:dyDescent="0.2">
      <c r="A109" s="3">
        <v>42806</v>
      </c>
      <c r="B109" s="3" t="s">
        <v>6</v>
      </c>
      <c r="C109" s="4">
        <v>2261</v>
      </c>
      <c r="D109" s="4">
        <v>49</v>
      </c>
      <c r="E109" s="4">
        <v>728</v>
      </c>
      <c r="F109" s="4">
        <f t="shared" si="5"/>
        <v>3038</v>
      </c>
      <c r="H109">
        <f t="shared" si="3"/>
        <v>0</v>
      </c>
    </row>
    <row r="110" spans="1:8" x14ac:dyDescent="0.2">
      <c r="A110" s="3">
        <v>42807</v>
      </c>
      <c r="B110" s="3" t="s">
        <v>7</v>
      </c>
      <c r="C110" s="4">
        <v>195</v>
      </c>
      <c r="D110" s="4">
        <v>27</v>
      </c>
      <c r="E110" s="4">
        <v>18</v>
      </c>
      <c r="F110" s="4">
        <f t="shared" si="5"/>
        <v>240</v>
      </c>
      <c r="H110">
        <f t="shared" si="3"/>
        <v>240</v>
      </c>
    </row>
    <row r="111" spans="1:8" x14ac:dyDescent="0.2">
      <c r="A111" s="3">
        <v>42808</v>
      </c>
      <c r="B111" s="3" t="s">
        <v>8</v>
      </c>
      <c r="C111" s="4">
        <v>152</v>
      </c>
      <c r="D111" s="4">
        <v>0</v>
      </c>
      <c r="E111" s="4">
        <v>2</v>
      </c>
      <c r="F111" s="4">
        <f t="shared" si="5"/>
        <v>154</v>
      </c>
      <c r="H111">
        <f t="shared" si="3"/>
        <v>0</v>
      </c>
    </row>
    <row r="112" spans="1:8" x14ac:dyDescent="0.2">
      <c r="A112" s="3">
        <v>42809</v>
      </c>
      <c r="B112" s="3" t="s">
        <v>9</v>
      </c>
      <c r="C112" s="4">
        <v>376</v>
      </c>
      <c r="D112" s="4">
        <v>4</v>
      </c>
      <c r="E112" s="4">
        <v>29</v>
      </c>
      <c r="F112" s="4">
        <f t="shared" si="5"/>
        <v>409</v>
      </c>
      <c r="H112">
        <f t="shared" si="3"/>
        <v>0</v>
      </c>
    </row>
    <row r="113" spans="1:8" x14ac:dyDescent="0.2">
      <c r="A113" s="3">
        <v>42810</v>
      </c>
      <c r="B113" s="3" t="s">
        <v>10</v>
      </c>
      <c r="C113" s="4">
        <v>630</v>
      </c>
      <c r="D113" s="4">
        <v>71</v>
      </c>
      <c r="E113" s="4">
        <v>184</v>
      </c>
      <c r="F113" s="4">
        <f t="shared" si="5"/>
        <v>885</v>
      </c>
      <c r="H113">
        <f t="shared" si="3"/>
        <v>0</v>
      </c>
    </row>
    <row r="114" spans="1:8" x14ac:dyDescent="0.2">
      <c r="A114" s="3">
        <v>42811</v>
      </c>
      <c r="B114" s="3" t="s">
        <v>4</v>
      </c>
      <c r="C114" s="4">
        <v>849</v>
      </c>
      <c r="D114" s="4">
        <v>42</v>
      </c>
      <c r="E114" s="4">
        <v>196</v>
      </c>
      <c r="F114" s="4">
        <f t="shared" si="5"/>
        <v>1087</v>
      </c>
      <c r="H114">
        <f t="shared" si="3"/>
        <v>0</v>
      </c>
    </row>
    <row r="115" spans="1:8" x14ac:dyDescent="0.2">
      <c r="A115" s="3">
        <v>42812</v>
      </c>
      <c r="B115" s="3" t="s">
        <v>5</v>
      </c>
      <c r="C115" s="4">
        <v>1297</v>
      </c>
      <c r="D115" s="4">
        <v>70</v>
      </c>
      <c r="E115" s="4">
        <v>248</v>
      </c>
      <c r="F115" s="4">
        <f t="shared" si="5"/>
        <v>1615</v>
      </c>
      <c r="H115">
        <f t="shared" si="3"/>
        <v>0</v>
      </c>
    </row>
    <row r="116" spans="1:8" x14ac:dyDescent="0.2">
      <c r="A116" s="3">
        <v>42813</v>
      </c>
      <c r="B116" s="3" t="s">
        <v>6</v>
      </c>
      <c r="C116" s="4">
        <v>3098</v>
      </c>
      <c r="D116" s="4">
        <v>438</v>
      </c>
      <c r="E116" s="4">
        <v>413</v>
      </c>
      <c r="F116" s="4">
        <f t="shared" si="5"/>
        <v>3949</v>
      </c>
      <c r="H116">
        <f t="shared" si="3"/>
        <v>0</v>
      </c>
    </row>
    <row r="117" spans="1:8" x14ac:dyDescent="0.2">
      <c r="A117" s="3">
        <v>42814</v>
      </c>
      <c r="B117" s="3" t="s">
        <v>7</v>
      </c>
      <c r="C117" s="4">
        <v>554</v>
      </c>
      <c r="D117" s="4">
        <v>36</v>
      </c>
      <c r="E117" s="4">
        <v>161</v>
      </c>
      <c r="F117" s="4">
        <f t="shared" si="5"/>
        <v>751</v>
      </c>
      <c r="H117">
        <f t="shared" si="3"/>
        <v>751</v>
      </c>
    </row>
    <row r="118" spans="1:8" x14ac:dyDescent="0.2">
      <c r="A118" s="3">
        <v>42815</v>
      </c>
      <c r="B118" s="3" t="s">
        <v>8</v>
      </c>
      <c r="C118" s="4">
        <v>281</v>
      </c>
      <c r="D118" s="4">
        <v>21</v>
      </c>
      <c r="E118" s="4">
        <v>89</v>
      </c>
      <c r="F118" s="4">
        <f t="shared" si="5"/>
        <v>391</v>
      </c>
      <c r="H118">
        <f t="shared" si="3"/>
        <v>0</v>
      </c>
    </row>
    <row r="119" spans="1:8" x14ac:dyDescent="0.2">
      <c r="A119" s="3">
        <v>42816</v>
      </c>
      <c r="B119" s="3" t="s">
        <v>9</v>
      </c>
      <c r="C119" s="4">
        <v>421</v>
      </c>
      <c r="D119" s="4">
        <v>0</v>
      </c>
      <c r="E119" s="4">
        <v>35</v>
      </c>
      <c r="F119" s="4">
        <f t="shared" si="5"/>
        <v>456</v>
      </c>
      <c r="H119">
        <f t="shared" si="3"/>
        <v>0</v>
      </c>
    </row>
    <row r="120" spans="1:8" x14ac:dyDescent="0.2">
      <c r="A120" s="3">
        <v>42817</v>
      </c>
      <c r="B120" s="3" t="s">
        <v>10</v>
      </c>
      <c r="C120" s="4">
        <v>613</v>
      </c>
      <c r="D120" s="4">
        <v>35</v>
      </c>
      <c r="E120" s="4">
        <v>213</v>
      </c>
      <c r="F120" s="4">
        <f t="shared" si="5"/>
        <v>861</v>
      </c>
      <c r="H120">
        <f t="shared" si="3"/>
        <v>0</v>
      </c>
    </row>
    <row r="121" spans="1:8" x14ac:dyDescent="0.2">
      <c r="A121" s="3">
        <v>42818</v>
      </c>
      <c r="B121" s="3" t="s">
        <v>4</v>
      </c>
      <c r="C121" s="4">
        <v>1009</v>
      </c>
      <c r="D121" s="4">
        <v>47</v>
      </c>
      <c r="E121" s="4">
        <v>354</v>
      </c>
      <c r="F121" s="4">
        <f t="shared" si="5"/>
        <v>1410</v>
      </c>
      <c r="H121">
        <f t="shared" si="3"/>
        <v>0</v>
      </c>
    </row>
    <row r="122" spans="1:8" x14ac:dyDescent="0.2">
      <c r="A122" s="3">
        <v>42819</v>
      </c>
      <c r="B122" s="3" t="s">
        <v>5</v>
      </c>
      <c r="C122" s="4">
        <v>2875</v>
      </c>
      <c r="D122" s="4">
        <v>146</v>
      </c>
      <c r="E122" s="4">
        <v>868</v>
      </c>
      <c r="F122" s="4">
        <f t="shared" si="5"/>
        <v>3889</v>
      </c>
      <c r="H122">
        <f t="shared" si="3"/>
        <v>0</v>
      </c>
    </row>
    <row r="123" spans="1:8" x14ac:dyDescent="0.2">
      <c r="A123" s="3">
        <v>42820</v>
      </c>
      <c r="B123" s="3" t="s">
        <v>6</v>
      </c>
      <c r="C123" s="4">
        <v>1867</v>
      </c>
      <c r="D123" s="4">
        <v>42</v>
      </c>
      <c r="E123" s="4">
        <v>252</v>
      </c>
      <c r="F123" s="4">
        <f t="shared" si="5"/>
        <v>2161</v>
      </c>
      <c r="H123">
        <f t="shared" si="3"/>
        <v>0</v>
      </c>
    </row>
    <row r="124" spans="1:8" x14ac:dyDescent="0.2">
      <c r="A124" s="3">
        <v>42821</v>
      </c>
      <c r="B124" s="3" t="s">
        <v>7</v>
      </c>
      <c r="C124" s="4">
        <v>553</v>
      </c>
      <c r="D124" s="4">
        <v>28</v>
      </c>
      <c r="E124" s="4">
        <v>115</v>
      </c>
      <c r="F124" s="4">
        <f t="shared" si="5"/>
        <v>696</v>
      </c>
      <c r="H124">
        <f t="shared" si="3"/>
        <v>696</v>
      </c>
    </row>
    <row r="125" spans="1:8" x14ac:dyDescent="0.2">
      <c r="A125" s="3">
        <v>42822</v>
      </c>
      <c r="B125" s="3" t="s">
        <v>8</v>
      </c>
      <c r="C125" s="4">
        <v>455</v>
      </c>
      <c r="D125" s="4">
        <v>13</v>
      </c>
      <c r="E125" s="4">
        <v>139</v>
      </c>
      <c r="F125" s="4">
        <f t="shared" si="5"/>
        <v>607</v>
      </c>
      <c r="H125">
        <f t="shared" si="3"/>
        <v>0</v>
      </c>
    </row>
    <row r="126" spans="1:8" x14ac:dyDescent="0.2">
      <c r="A126" s="3">
        <v>42823</v>
      </c>
      <c r="B126" s="3" t="s">
        <v>9</v>
      </c>
      <c r="C126" s="4">
        <v>239</v>
      </c>
      <c r="D126" s="4">
        <v>21</v>
      </c>
      <c r="E126" s="4">
        <v>50</v>
      </c>
      <c r="F126" s="4">
        <f t="shared" si="5"/>
        <v>310</v>
      </c>
      <c r="H126">
        <f t="shared" si="3"/>
        <v>0</v>
      </c>
    </row>
    <row r="127" spans="1:8" x14ac:dyDescent="0.2">
      <c r="A127" s="3">
        <v>42824</v>
      </c>
      <c r="B127" s="3" t="s">
        <v>10</v>
      </c>
      <c r="C127" s="4">
        <v>444</v>
      </c>
      <c r="D127" s="4">
        <v>25</v>
      </c>
      <c r="E127" s="4">
        <v>200</v>
      </c>
      <c r="F127" s="4">
        <f t="shared" si="5"/>
        <v>669</v>
      </c>
      <c r="H127">
        <f t="shared" si="3"/>
        <v>0</v>
      </c>
    </row>
    <row r="128" spans="1:8" x14ac:dyDescent="0.2">
      <c r="A128" s="3">
        <v>42825</v>
      </c>
      <c r="B128" s="3" t="s">
        <v>4</v>
      </c>
      <c r="C128" s="4">
        <v>1017</v>
      </c>
      <c r="D128" s="4">
        <v>87</v>
      </c>
      <c r="E128" s="4">
        <v>612</v>
      </c>
      <c r="F128" s="4">
        <f t="shared" si="5"/>
        <v>1716</v>
      </c>
      <c r="H128">
        <f t="shared" si="3"/>
        <v>0</v>
      </c>
    </row>
    <row r="129" spans="1:8" x14ac:dyDescent="0.2">
      <c r="A129" s="3">
        <v>42826</v>
      </c>
      <c r="B129" s="3" t="s">
        <v>5</v>
      </c>
      <c r="C129" s="4">
        <v>766</v>
      </c>
      <c r="D129" s="4">
        <v>64</v>
      </c>
      <c r="E129" s="4">
        <v>298</v>
      </c>
      <c r="F129" s="4">
        <f t="shared" si="5"/>
        <v>1128</v>
      </c>
      <c r="H129">
        <f t="shared" si="3"/>
        <v>0</v>
      </c>
    </row>
    <row r="130" spans="1:8" x14ac:dyDescent="0.2">
      <c r="A130" s="3">
        <v>42827</v>
      </c>
      <c r="B130" s="3" t="s">
        <v>6</v>
      </c>
      <c r="C130" s="4">
        <v>1314</v>
      </c>
      <c r="D130" s="4">
        <v>133</v>
      </c>
      <c r="E130" s="4">
        <v>707</v>
      </c>
      <c r="F130" s="4">
        <f t="shared" si="5"/>
        <v>2154</v>
      </c>
      <c r="H130">
        <f t="shared" si="3"/>
        <v>0</v>
      </c>
    </row>
    <row r="131" spans="1:8" x14ac:dyDescent="0.2">
      <c r="A131" s="3">
        <v>42828</v>
      </c>
      <c r="B131" s="3" t="s">
        <v>7</v>
      </c>
      <c r="C131" s="4">
        <v>506</v>
      </c>
      <c r="D131" s="4">
        <v>146</v>
      </c>
      <c r="E131" s="4">
        <v>289</v>
      </c>
      <c r="F131" s="4">
        <f t="shared" si="5"/>
        <v>941</v>
      </c>
      <c r="H131">
        <f t="shared" ref="H131:H151" si="6">IF(B:B="Monday",F:F,)</f>
        <v>941</v>
      </c>
    </row>
    <row r="132" spans="1:8" x14ac:dyDescent="0.2">
      <c r="A132" s="3">
        <v>42829</v>
      </c>
      <c r="B132" s="3" t="s">
        <v>8</v>
      </c>
      <c r="C132" s="4">
        <v>445</v>
      </c>
      <c r="D132" s="4">
        <v>98</v>
      </c>
      <c r="E132" s="4">
        <v>205</v>
      </c>
      <c r="F132" s="4">
        <f t="shared" si="5"/>
        <v>748</v>
      </c>
      <c r="H132">
        <f t="shared" si="6"/>
        <v>0</v>
      </c>
    </row>
    <row r="133" spans="1:8" x14ac:dyDescent="0.2">
      <c r="A133" s="3">
        <v>42830</v>
      </c>
      <c r="B133" s="3" t="s">
        <v>9</v>
      </c>
      <c r="C133" s="4">
        <v>184</v>
      </c>
      <c r="D133" s="4">
        <v>0</v>
      </c>
      <c r="E133" s="4">
        <v>50</v>
      </c>
      <c r="F133" s="4">
        <f t="shared" si="5"/>
        <v>234</v>
      </c>
      <c r="H133">
        <f t="shared" si="6"/>
        <v>0</v>
      </c>
    </row>
    <row r="134" spans="1:8" x14ac:dyDescent="0.2">
      <c r="A134" s="3">
        <v>42831</v>
      </c>
      <c r="B134" s="3" t="s">
        <v>10</v>
      </c>
      <c r="C134" s="4">
        <v>245</v>
      </c>
      <c r="D134" s="4">
        <v>45</v>
      </c>
      <c r="E134" s="4">
        <v>127</v>
      </c>
      <c r="F134" s="4">
        <f t="shared" si="5"/>
        <v>417</v>
      </c>
      <c r="H134">
        <f t="shared" si="6"/>
        <v>0</v>
      </c>
    </row>
    <row r="135" spans="1:8" x14ac:dyDescent="0.2">
      <c r="A135" s="3">
        <v>42832</v>
      </c>
      <c r="B135" s="3" t="s">
        <v>4</v>
      </c>
      <c r="C135" s="4">
        <v>170</v>
      </c>
      <c r="D135" s="4">
        <v>0</v>
      </c>
      <c r="E135" s="4">
        <v>68</v>
      </c>
      <c r="F135" s="4">
        <f t="shared" si="5"/>
        <v>238</v>
      </c>
      <c r="H135">
        <f t="shared" si="6"/>
        <v>0</v>
      </c>
    </row>
    <row r="136" spans="1:8" x14ac:dyDescent="0.2">
      <c r="A136" s="3">
        <v>42833</v>
      </c>
      <c r="B136" s="3" t="s">
        <v>5</v>
      </c>
      <c r="C136" s="4">
        <v>1319</v>
      </c>
      <c r="D136" s="4">
        <v>96</v>
      </c>
      <c r="E136" s="4">
        <v>871</v>
      </c>
      <c r="F136" s="4">
        <f t="shared" si="5"/>
        <v>2286</v>
      </c>
      <c r="H136">
        <f t="shared" si="6"/>
        <v>0</v>
      </c>
    </row>
    <row r="137" spans="1:8" x14ac:dyDescent="0.2">
      <c r="A137" s="3">
        <v>42834</v>
      </c>
      <c r="B137" s="3" t="s">
        <v>6</v>
      </c>
      <c r="C137" s="4">
        <v>1965</v>
      </c>
      <c r="D137" s="4">
        <v>228</v>
      </c>
      <c r="E137" s="4">
        <v>1055</v>
      </c>
      <c r="F137" s="4">
        <f t="shared" si="5"/>
        <v>3248</v>
      </c>
      <c r="H137">
        <f t="shared" si="6"/>
        <v>0</v>
      </c>
    </row>
    <row r="138" spans="1:8" x14ac:dyDescent="0.2">
      <c r="A138" s="3">
        <v>42835</v>
      </c>
      <c r="B138" s="3" t="s">
        <v>7</v>
      </c>
      <c r="C138" s="4">
        <v>407</v>
      </c>
      <c r="D138" s="4">
        <v>30</v>
      </c>
      <c r="E138" s="4">
        <v>187</v>
      </c>
      <c r="F138" s="4">
        <f t="shared" si="5"/>
        <v>624</v>
      </c>
      <c r="H138">
        <f t="shared" si="6"/>
        <v>624</v>
      </c>
    </row>
    <row r="139" spans="1:8" x14ac:dyDescent="0.2">
      <c r="A139" s="3">
        <v>42836</v>
      </c>
      <c r="B139" s="3" t="s">
        <v>8</v>
      </c>
      <c r="C139" s="4">
        <v>764</v>
      </c>
      <c r="D139" s="4">
        <v>127</v>
      </c>
      <c r="E139" s="4">
        <v>383</v>
      </c>
      <c r="F139" s="4">
        <f t="shared" si="5"/>
        <v>1274</v>
      </c>
      <c r="H139">
        <f t="shared" si="6"/>
        <v>0</v>
      </c>
    </row>
    <row r="140" spans="1:8" x14ac:dyDescent="0.2">
      <c r="A140" s="3">
        <v>42837</v>
      </c>
      <c r="B140" s="3" t="s">
        <v>9</v>
      </c>
      <c r="C140" s="4">
        <v>297</v>
      </c>
      <c r="D140" s="4">
        <v>26</v>
      </c>
      <c r="E140" s="4">
        <v>152</v>
      </c>
      <c r="F140" s="4">
        <f t="shared" si="5"/>
        <v>475</v>
      </c>
      <c r="H140">
        <f t="shared" si="6"/>
        <v>0</v>
      </c>
    </row>
    <row r="141" spans="1:8" x14ac:dyDescent="0.2">
      <c r="A141" s="3">
        <v>42838</v>
      </c>
      <c r="B141" s="3" t="s">
        <v>10</v>
      </c>
      <c r="C141" s="4">
        <v>488</v>
      </c>
      <c r="D141" s="4">
        <v>63</v>
      </c>
      <c r="E141" s="4">
        <v>283</v>
      </c>
      <c r="F141" s="4">
        <f t="shared" si="5"/>
        <v>834</v>
      </c>
      <c r="H141">
        <f t="shared" si="6"/>
        <v>0</v>
      </c>
    </row>
    <row r="142" spans="1:8" x14ac:dyDescent="0.2">
      <c r="A142" s="3">
        <v>42839</v>
      </c>
      <c r="B142" s="3" t="s">
        <v>4</v>
      </c>
      <c r="C142" s="4">
        <v>794</v>
      </c>
      <c r="D142" s="4">
        <v>60</v>
      </c>
      <c r="E142" s="4">
        <v>401</v>
      </c>
      <c r="F142" s="4">
        <f t="shared" si="5"/>
        <v>1255</v>
      </c>
      <c r="H142">
        <f t="shared" si="6"/>
        <v>0</v>
      </c>
    </row>
    <row r="143" spans="1:8" x14ac:dyDescent="0.2">
      <c r="A143" s="3">
        <v>42840</v>
      </c>
      <c r="B143" s="3" t="s">
        <v>5</v>
      </c>
      <c r="C143" s="4">
        <v>1408</v>
      </c>
      <c r="D143" s="4">
        <v>248</v>
      </c>
      <c r="E143" s="4">
        <v>961</v>
      </c>
      <c r="F143" s="4">
        <f t="shared" si="5"/>
        <v>2617</v>
      </c>
      <c r="H143">
        <f t="shared" si="6"/>
        <v>0</v>
      </c>
    </row>
    <row r="144" spans="1:8" x14ac:dyDescent="0.2">
      <c r="A144" s="3">
        <v>42841</v>
      </c>
      <c r="B144" s="3" t="s">
        <v>6</v>
      </c>
      <c r="C144" s="4">
        <v>1118</v>
      </c>
      <c r="D144" s="4">
        <v>78</v>
      </c>
      <c r="E144" s="4">
        <v>753</v>
      </c>
      <c r="F144" s="4">
        <f t="shared" si="5"/>
        <v>1949</v>
      </c>
      <c r="H144">
        <f t="shared" si="6"/>
        <v>0</v>
      </c>
    </row>
    <row r="145" spans="1:8" x14ac:dyDescent="0.2">
      <c r="A145" s="3">
        <v>42842</v>
      </c>
      <c r="B145" s="3" t="s">
        <v>7</v>
      </c>
      <c r="C145" s="4">
        <v>192</v>
      </c>
      <c r="D145" s="4">
        <v>30</v>
      </c>
      <c r="E145" s="4">
        <v>121</v>
      </c>
      <c r="F145" s="4">
        <f t="shared" si="5"/>
        <v>343</v>
      </c>
      <c r="H145">
        <f t="shared" si="6"/>
        <v>343</v>
      </c>
    </row>
    <row r="146" spans="1:8" x14ac:dyDescent="0.2">
      <c r="A146" s="3">
        <v>42843</v>
      </c>
      <c r="B146" s="3" t="s">
        <v>8</v>
      </c>
      <c r="C146" s="4">
        <v>169</v>
      </c>
      <c r="D146" s="4">
        <v>40</v>
      </c>
      <c r="E146" s="4">
        <v>134</v>
      </c>
      <c r="F146" s="4">
        <f t="shared" si="5"/>
        <v>343</v>
      </c>
      <c r="H146">
        <f t="shared" si="6"/>
        <v>0</v>
      </c>
    </row>
    <row r="147" spans="1:8" x14ac:dyDescent="0.2">
      <c r="A147" s="3">
        <v>42844</v>
      </c>
      <c r="B147" s="3" t="s">
        <v>9</v>
      </c>
      <c r="C147" s="4">
        <v>172</v>
      </c>
      <c r="D147" s="4">
        <v>16</v>
      </c>
      <c r="E147" s="4">
        <v>125</v>
      </c>
      <c r="F147" s="4">
        <f t="shared" si="5"/>
        <v>313</v>
      </c>
      <c r="H147">
        <f t="shared" si="6"/>
        <v>0</v>
      </c>
    </row>
    <row r="148" spans="1:8" x14ac:dyDescent="0.2">
      <c r="A148" s="3">
        <v>42845</v>
      </c>
      <c r="B148" s="3" t="s">
        <v>10</v>
      </c>
      <c r="C148" s="4">
        <v>168</v>
      </c>
      <c r="D148" s="4">
        <v>24</v>
      </c>
      <c r="E148" s="4">
        <v>151</v>
      </c>
      <c r="F148" s="4">
        <f t="shared" si="5"/>
        <v>343</v>
      </c>
      <c r="H148">
        <f t="shared" si="6"/>
        <v>0</v>
      </c>
    </row>
    <row r="149" spans="1:8" x14ac:dyDescent="0.2">
      <c r="A149" s="3">
        <v>42846</v>
      </c>
      <c r="B149" s="3" t="s">
        <v>4</v>
      </c>
      <c r="C149" s="4">
        <v>1027</v>
      </c>
      <c r="D149" s="4">
        <v>159</v>
      </c>
      <c r="E149" s="4">
        <v>637</v>
      </c>
      <c r="F149" s="4">
        <f t="shared" si="5"/>
        <v>1823</v>
      </c>
      <c r="H149">
        <f t="shared" si="6"/>
        <v>0</v>
      </c>
    </row>
    <row r="150" spans="1:8" x14ac:dyDescent="0.2">
      <c r="A150" s="3">
        <v>42847</v>
      </c>
      <c r="B150" s="3" t="s">
        <v>5</v>
      </c>
      <c r="C150" s="4">
        <v>840</v>
      </c>
      <c r="D150" s="4">
        <v>172</v>
      </c>
      <c r="E150" s="4">
        <v>647</v>
      </c>
      <c r="F150" s="4">
        <f t="shared" si="5"/>
        <v>1659</v>
      </c>
      <c r="H150">
        <f t="shared" si="6"/>
        <v>0</v>
      </c>
    </row>
    <row r="151" spans="1:8" x14ac:dyDescent="0.2">
      <c r="A151" s="3">
        <v>42848</v>
      </c>
      <c r="B151" s="3" t="s">
        <v>6</v>
      </c>
      <c r="C151" s="4">
        <v>863</v>
      </c>
      <c r="D151" s="4">
        <v>122</v>
      </c>
      <c r="E151" s="4">
        <v>640</v>
      </c>
      <c r="F151" s="4">
        <f t="shared" si="5"/>
        <v>1625</v>
      </c>
      <c r="H151">
        <f t="shared" si="6"/>
        <v>0</v>
      </c>
    </row>
    <row r="152" spans="1:8" x14ac:dyDescent="0.2">
      <c r="C152" s="5">
        <f t="shared" ref="C152:F152" si="7">SUM(C2:C151)</f>
        <v>244307</v>
      </c>
      <c r="D152" s="5">
        <f t="shared" si="7"/>
        <v>12428</v>
      </c>
      <c r="E152" s="5">
        <f t="shared" si="7"/>
        <v>76621</v>
      </c>
      <c r="F152" s="5">
        <f t="shared" si="7"/>
        <v>333356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READ ME</vt:lpstr>
      <vt:lpstr>Initial Distillation</vt:lpstr>
      <vt:lpstr>Dropdown Data</vt:lpstr>
      <vt:lpstr>17-18 Visits</vt:lpstr>
      <vt:lpstr>17-18 Visits Peak Season</vt:lpstr>
      <vt:lpstr>Mondays 16-17</vt:lpstr>
      <vt:lpstr>Sundays 16-17</vt:lpstr>
      <vt:lpstr>16-17 Season Pivot</vt:lpstr>
      <vt:lpstr>Skier Visits 16-17</vt:lpstr>
      <vt:lpstr>15-16 Pivot</vt:lpstr>
      <vt:lpstr>Skier Visits 15-16</vt:lpstr>
      <vt:lpstr>13-14 Pivot</vt:lpstr>
      <vt:lpstr>Skier Visits 13-14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Plichta, Steve</dc:creator>
  <cp:lastModifiedBy>Microsoft Office User</cp:lastModifiedBy>
  <cp:lastPrinted>2018-04-13T19:28:13Z</cp:lastPrinted>
  <dcterms:created xsi:type="dcterms:W3CDTF">2018-04-02T21:52:28Z</dcterms:created>
  <dcterms:modified xsi:type="dcterms:W3CDTF">2018-10-31T21:35:09Z</dcterms:modified>
</cp:coreProperties>
</file>