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Documents/GitHub/Portfolio-Optimization/"/>
    </mc:Choice>
  </mc:AlternateContent>
  <xr:revisionPtr revIDLastSave="0" documentId="13_ncr:1_{8CBC7CD6-8AEE-A64C-AF73-EF63AA8C5D0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Portfolio!$B$2:$Q$16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4" i="1" l="1"/>
  <c r="N14" i="1"/>
  <c r="K14" i="1"/>
  <c r="J14" i="1"/>
  <c r="I14" i="1"/>
  <c r="H14" i="1"/>
  <c r="O13" i="1"/>
  <c r="N13" i="1"/>
  <c r="K13" i="1"/>
  <c r="J13" i="1"/>
  <c r="I13" i="1"/>
  <c r="H13" i="1"/>
  <c r="O12" i="1"/>
  <c r="N12" i="1"/>
  <c r="K12" i="1"/>
  <c r="J12" i="1"/>
  <c r="I12" i="1"/>
  <c r="H12" i="1"/>
  <c r="O11" i="1"/>
  <c r="N11" i="1"/>
  <c r="K11" i="1"/>
  <c r="J11" i="1"/>
  <c r="I11" i="1"/>
  <c r="H11" i="1"/>
  <c r="O10" i="1"/>
  <c r="N10" i="1"/>
  <c r="K10" i="1"/>
  <c r="J10" i="1"/>
  <c r="I10" i="1"/>
  <c r="H10" i="1"/>
  <c r="O9" i="1"/>
  <c r="N9" i="1"/>
  <c r="K9" i="1"/>
  <c r="J9" i="1"/>
  <c r="I9" i="1"/>
  <c r="H9" i="1"/>
  <c r="O7" i="1"/>
  <c r="N7" i="1"/>
  <c r="K7" i="1"/>
  <c r="J7" i="1"/>
  <c r="I7" i="1"/>
  <c r="H7" i="1"/>
  <c r="O6" i="1"/>
  <c r="N6" i="1"/>
  <c r="K6" i="1"/>
  <c r="J6" i="1"/>
  <c r="I6" i="1"/>
  <c r="H6" i="1"/>
  <c r="O5" i="1"/>
  <c r="N5" i="1"/>
  <c r="O4" i="1"/>
  <c r="N4" i="1"/>
  <c r="K5" i="1"/>
  <c r="J5" i="1"/>
  <c r="I5" i="1"/>
  <c r="H5" i="1"/>
  <c r="K4" i="1"/>
  <c r="J4" i="1"/>
  <c r="I4" i="1"/>
  <c r="H4" i="1"/>
  <c r="D14" i="1"/>
  <c r="D13" i="1"/>
  <c r="D12" i="1"/>
  <c r="D11" i="1"/>
  <c r="D10" i="1"/>
  <c r="D9" i="1"/>
  <c r="D8" i="1"/>
  <c r="D7" i="1"/>
  <c r="D6" i="1"/>
  <c r="D5" i="1"/>
  <c r="D4" i="1"/>
  <c r="N8" i="1"/>
  <c r="K2" i="1"/>
  <c r="L2" i="1"/>
  <c r="O8" i="1"/>
  <c r="K8" i="1"/>
  <c r="J8" i="1"/>
  <c r="I8" i="1"/>
  <c r="H8" i="1"/>
  <c r="L9" i="1" l="1"/>
  <c r="D16" i="1"/>
  <c r="L5" i="1"/>
  <c r="P8" i="1"/>
  <c r="P12" i="1"/>
  <c r="P10" i="1"/>
  <c r="P14" i="1"/>
  <c r="P11" i="1"/>
  <c r="P4" i="1"/>
  <c r="P7" i="1"/>
  <c r="P6" i="1"/>
  <c r="L14" i="1"/>
  <c r="L13" i="1"/>
  <c r="L10" i="1"/>
  <c r="L6" i="1"/>
  <c r="L4" i="1"/>
  <c r="P5" i="1"/>
  <c r="L7" i="1"/>
  <c r="P9" i="1"/>
  <c r="L11" i="1"/>
  <c r="P13" i="1"/>
  <c r="L8" i="1"/>
  <c r="L12" i="1"/>
  <c r="M12" i="1" l="1"/>
  <c r="Q12" i="1" s="1"/>
  <c r="E12" i="1" s="1"/>
  <c r="F12" i="1" s="1"/>
  <c r="G12" i="1" s="1"/>
  <c r="M9" i="1"/>
  <c r="Q9" i="1" s="1"/>
  <c r="E9" i="1" s="1"/>
  <c r="F9" i="1" s="1"/>
  <c r="G9" i="1" s="1"/>
  <c r="M13" i="1"/>
  <c r="Q13" i="1" s="1"/>
  <c r="E13" i="1" s="1"/>
  <c r="F13" i="1" s="1"/>
  <c r="G13" i="1" s="1"/>
  <c r="M5" i="1"/>
  <c r="Q5" i="1" s="1"/>
  <c r="E5" i="1" s="1"/>
  <c r="F5" i="1" s="1"/>
  <c r="G5" i="1" s="1"/>
  <c r="M8" i="1"/>
  <c r="Q8" i="1" s="1"/>
  <c r="E8" i="1" s="1"/>
  <c r="F8" i="1" s="1"/>
  <c r="G8" i="1" s="1"/>
  <c r="M10" i="1"/>
  <c r="Q10" i="1" s="1"/>
  <c r="E10" i="1" s="1"/>
  <c r="F10" i="1" s="1"/>
  <c r="G10" i="1" s="1"/>
  <c r="M6" i="1"/>
  <c r="Q6" i="1" s="1"/>
  <c r="E6" i="1" s="1"/>
  <c r="F6" i="1" s="1"/>
  <c r="G6" i="1" s="1"/>
  <c r="M7" i="1"/>
  <c r="Q7" i="1" s="1"/>
  <c r="E7" i="1" s="1"/>
  <c r="F7" i="1" s="1"/>
  <c r="G7" i="1" s="1"/>
  <c r="M14" i="1"/>
  <c r="Q14" i="1" s="1"/>
  <c r="E14" i="1" s="1"/>
  <c r="F14" i="1" s="1"/>
  <c r="G14" i="1" s="1"/>
  <c r="M11" i="1"/>
  <c r="Q11" i="1" s="1"/>
  <c r="E11" i="1" s="1"/>
  <c r="F11" i="1" s="1"/>
  <c r="G11" i="1" s="1"/>
  <c r="M4" i="1"/>
  <c r="Q4" i="1" s="1"/>
  <c r="E4" i="1" s="1"/>
  <c r="F4" i="1" l="1"/>
  <c r="G4" i="1" s="1"/>
  <c r="E15" i="1"/>
  <c r="F15" i="1" s="1"/>
  <c r="G15" i="1" s="1"/>
  <c r="G16" i="1" l="1"/>
  <c r="F16" i="1"/>
  <c r="E16" i="1"/>
</calcChain>
</file>

<file path=xl/sharedStrings.xml><?xml version="1.0" encoding="utf-8"?>
<sst xmlns="http://schemas.openxmlformats.org/spreadsheetml/2006/main" count="91" uniqueCount="54">
  <si>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</si>
  <si>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</si>
  <si>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</si>
  <si>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</si>
  <si>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</si>
  <si>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</si>
  <si>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</si>
  <si>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</si>
  <si>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</si>
  <si>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</si>
  <si>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</si>
  <si>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</si>
  <si>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</si>
  <si>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</si>
  <si>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</si>
  <si>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</si>
  <si>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</si>
  <si>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</si>
  <si>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</si>
  <si>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</si>
  <si>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</si>
  <si>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</si>
  <si>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</si>
  <si>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</si>
  <si>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</si>
  <si>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</si>
  <si>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</si>
  <si>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</si>
  <si>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</si>
  <si>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</si>
  <si>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</si>
  <si>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</si>
  <si>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</si>
  <si>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</si>
  <si>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</si>
  <si>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</si>
  <si>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</si>
  <si>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</si>
  <si>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</si>
  <si>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</si>
  <si>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</si>
  <si>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</si>
  <si>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</si>
  <si>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</si>
  <si>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</si>
  <si>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</si>
  <si>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</si>
  <si>
    <t>Trinity</t>
  </si>
  <si>
    <t>Trend</t>
  </si>
  <si>
    <t>Portfolio Types</t>
  </si>
  <si>
    <t>Total %</t>
  </si>
  <si>
    <t>Total $</t>
  </si>
  <si>
    <t>Portfolio Value</t>
  </si>
  <si>
    <t>Select Portfolio ⬇️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</si>
</sst>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yyyy\-mm\-dd;@"/>
    <numFmt numFmtId="166" formatCode="&quot;$&quot;#,##0.00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2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62">
    <xf numFmtId="0" fontId="0" fillId="0" borderId="0" xfId="0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/>
    <xf numFmtId="164" fontId="6" fillId="12" borderId="9" xfId="0" applyNumberFormat="1" applyFont="1" applyFill="1" applyBorder="1"/>
    <xf numFmtId="164" fontId="6" fillId="12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/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4" fontId="0" fillId="0" borderId="0" xfId="0" applyNumberFormat="1"/>
    <xf numFmtId="0" fontId="5" fillId="13" borderId="26" xfId="0" applyFont="1" applyFill="1" applyBorder="1" applyAlignment="1">
      <alignment horizontal="center"/>
    </xf>
    <xf numFmtId="10" fontId="6" fillId="11" borderId="27" xfId="0" applyNumberFormat="1" applyFont="1" applyFill="1" applyBorder="1" applyAlignment="1">
      <alignment horizontal="center"/>
    </xf>
    <xf numFmtId="10" fontId="6" fillId="11" borderId="28" xfId="0" applyNumberFormat="1" applyFont="1" applyFill="1" applyBorder="1" applyAlignment="1">
      <alignment horizontal="center"/>
    </xf>
    <xf numFmtId="0" fontId="6" fillId="10" borderId="17" xfId="0" applyFont="1" applyFill="1" applyBorder="1"/>
    <xf numFmtId="10" fontId="6" fillId="8" borderId="17" xfId="0" applyNumberFormat="1" applyFont="1" applyFill="1" applyBorder="1"/>
    <xf numFmtId="10" fontId="6" fillId="8" borderId="17" xfId="0" applyNumberFormat="1" applyFont="1" applyFill="1" applyBorder="1" applyAlignment="1">
      <alignment horizontal="right"/>
    </xf>
    <xf numFmtId="10" fontId="4" fillId="9" borderId="17" xfId="0" applyNumberFormat="1" applyFont="1" applyFill="1" applyBorder="1"/>
    <xf numFmtId="0" fontId="4" fillId="0" borderId="18" xfId="0" applyFont="1" applyBorder="1"/>
    <xf numFmtId="0" fontId="4" fillId="0" borderId="29" xfId="0" applyFont="1" applyBorder="1"/>
    <xf numFmtId="10" fontId="4" fillId="8" borderId="29" xfId="0" applyNumberFormat="1" applyFont="1" applyFill="1" applyBorder="1" applyAlignment="1">
      <alignment horizontal="center"/>
    </xf>
    <xf numFmtId="10" fontId="4" fillId="9" borderId="29" xfId="0" applyNumberFormat="1" applyFont="1" applyFill="1" applyBorder="1" applyAlignment="1">
      <alignment horizontal="center"/>
    </xf>
    <xf numFmtId="10" fontId="4" fillId="9" borderId="19" xfId="0" applyNumberFormat="1" applyFont="1" applyFill="1" applyBorder="1" applyAlignment="1">
      <alignment horizontal="center"/>
    </xf>
    <xf numFmtId="0" fontId="6" fillId="10" borderId="30" xfId="0" applyFont="1" applyFill="1" applyBorder="1"/>
    <xf numFmtId="0" fontId="6" fillId="10" borderId="20" xfId="0" applyFont="1" applyFill="1" applyBorder="1"/>
    <xf numFmtId="4" fontId="6" fillId="10" borderId="32" xfId="0" applyNumberFormat="1" applyFont="1" applyFill="1" applyBorder="1"/>
    <xf numFmtId="10" fontId="6" fillId="8" borderId="32" xfId="0" applyNumberFormat="1" applyFont="1" applyFill="1" applyBorder="1"/>
    <xf numFmtId="10" fontId="6" fillId="8" borderId="32" xfId="0" applyNumberFormat="1" applyFont="1" applyFill="1" applyBorder="1" applyAlignment="1">
      <alignment horizontal="right"/>
    </xf>
    <xf numFmtId="10" fontId="4" fillId="9" borderId="32" xfId="0" applyNumberFormat="1" applyFont="1" applyFill="1" applyBorder="1"/>
    <xf numFmtId="166" fontId="4" fillId="9" borderId="31" xfId="0" applyNumberFormat="1" applyFont="1" applyFill="1" applyBorder="1"/>
    <xf numFmtId="166" fontId="4" fillId="9" borderId="21" xfId="0" applyNumberFormat="1" applyFont="1" applyFill="1" applyBorder="1"/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  <xf numFmtId="0" fontId="0" fillId="21" borderId="22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166" fontId="0" fillId="21" borderId="20" xfId="0" applyNumberFormat="1" applyFill="1" applyBorder="1" applyAlignment="1">
      <alignment horizontal="center"/>
    </xf>
    <xf numFmtId="166" fontId="0" fillId="21" borderId="21" xfId="0" applyNumberFormat="1" applyFill="1" applyBorder="1" applyAlignment="1">
      <alignment horizontal="center"/>
    </xf>
    <xf numFmtId="0" fontId="0" fillId="20" borderId="23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381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17</xdr:col>
      <xdr:colOff>1411</xdr:colOff>
      <xdr:row>39</xdr:row>
      <xdr:rowOff>1411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530600"/>
              <a:ext cx="14555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E43A81-3C0C-DA46-ACFC-0A85830D3E60}" name="Table3" displayName="Table3" ref="B43:B45" totalsRowShown="0">
  <autoFilter ref="B43:B45" xr:uid="{43E43A81-3C0C-DA46-ACFC-0A85830D3E60}"/>
  <tableColumns count="1">
    <tableColumn id="1" xr3:uid="{E6B426B8-CB9F-BA41-A55D-780FF1702C2D}" name="Portfolio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5"/>
  <sheetViews>
    <sheetView tabSelected="1" zoomScale="90" zoomScaleNormal="90" workbookViewId="0"/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10.140625" bestFit="1" customWidth="1"/>
    <col min="5" max="5" width="13.7109375" bestFit="1" customWidth="1"/>
    <col min="6" max="6" width="8" bestFit="1" customWidth="1"/>
    <col min="7" max="7" width="10.85546875" bestFit="1" customWidth="1"/>
    <col min="8" max="12" width="9" customWidth="1"/>
    <col min="13" max="13" width="5.5703125" bestFit="1" customWidth="1"/>
    <col min="14" max="14" width="12.140625" bestFit="1" customWidth="1"/>
    <col min="15" max="15" width="9.5703125" bestFit="1" customWidth="1"/>
    <col min="16" max="16" width="12.7109375" bestFit="1" customWidth="1"/>
    <col min="17" max="17" width="8" bestFit="1" customWidth="1"/>
    <col min="18" max="18" width="2.7109375" customWidth="1"/>
    <col min="19" max="19" width="12.7109375" bestFit="1" customWidth="1"/>
    <col min="20" max="20" width="3.28515625" bestFit="1" customWidth="1"/>
  </cols>
  <sheetData>
    <row r="1" spans="2:17" ht="17" thickBot="1"/>
    <row r="2" spans="2:17" ht="17" thickBot="1">
      <c r="H2" s="44" t="s">
        <v>45</v>
      </c>
      <c r="I2" s="45"/>
      <c r="J2" s="45"/>
      <c r="K2" s="46">
        <f>INDEX('Price Data'!$A$2:$A$265,COUNT('Price Data'!$A$2:$A$265))</f>
        <v>45044</v>
      </c>
      <c r="L2" s="47">
        <f>INDEX('Price Data'!$L$2:$L$255,COUNT('Price Data'!$L$2:$L$255))</f>
        <v>40.240001678466797</v>
      </c>
      <c r="M2" s="56" t="s">
        <v>0</v>
      </c>
      <c r="N2" s="19" t="s">
        <v>1</v>
      </c>
      <c r="O2" s="21" t="s">
        <v>2</v>
      </c>
      <c r="P2" s="58" t="s">
        <v>46</v>
      </c>
      <c r="Q2" s="60" t="s">
        <v>3</v>
      </c>
    </row>
    <row r="3" spans="2:17">
      <c r="B3" s="31" t="s">
        <v>4</v>
      </c>
      <c r="C3" s="32" t="s">
        <v>5</v>
      </c>
      <c r="D3" s="33" t="s">
        <v>6</v>
      </c>
      <c r="E3" s="33" t="s">
        <v>7</v>
      </c>
      <c r="F3" s="34" t="s">
        <v>50</v>
      </c>
      <c r="G3" s="35" t="s">
        <v>51</v>
      </c>
      <c r="H3" s="24" t="s">
        <v>9</v>
      </c>
      <c r="I3" s="14" t="s">
        <v>10</v>
      </c>
      <c r="J3" s="14" t="s">
        <v>11</v>
      </c>
      <c r="K3" s="14" t="s">
        <v>12</v>
      </c>
      <c r="L3" s="15" t="s">
        <v>13</v>
      </c>
      <c r="M3" s="57"/>
      <c r="N3" s="20" t="s">
        <v>14</v>
      </c>
      <c r="O3" s="22" t="s">
        <v>15</v>
      </c>
      <c r="P3" s="59"/>
      <c r="Q3" s="61"/>
    </row>
    <row r="4" spans="2:17">
      <c r="B4" s="36" t="s">
        <v>16</v>
      </c>
      <c r="C4" s="27" t="s">
        <v>17</v>
      </c>
      <c r="D4" s="28">
        <f>IF($N$17="Trinity",0.05,0)</f>
        <v>0</v>
      </c>
      <c r="E4" s="29">
        <f>IF(Q4="n/a",0,IF(Q4="add 10%",0.1,0.2))</f>
        <v>0</v>
      </c>
      <c r="F4" s="30">
        <f t="shared" ref="F4:F14" si="0">IF($N$17="Trinity",(D4+E4),E4)</f>
        <v>0</v>
      </c>
      <c r="G4" s="42">
        <f t="shared" ref="G4:G15" si="1">F4*$P$17</f>
        <v>0</v>
      </c>
      <c r="H4" s="25">
        <f>'Performance Data'!$E$2</f>
        <v>2.3949956788345401E-2</v>
      </c>
      <c r="I4" s="2">
        <f>'Performance Data'!$E$3</f>
        <v>-1.31411109338895E-2</v>
      </c>
      <c r="J4" s="2">
        <f>'Performance Data'!$E$4</f>
        <v>-2.4393712318921599E-2</v>
      </c>
      <c r="K4" s="2">
        <f>'Performance Data'!$E$5</f>
        <v>-9.6168543333169307E-3</v>
      </c>
      <c r="L4" s="10">
        <f t="shared" ref="L4:L14" si="2">AVERAGE(H4:K4)</f>
        <v>-5.8004301994456567E-3</v>
      </c>
      <c r="M4" s="3">
        <f t="shared" ref="M4:M14" si="3">_xlfn.RANK.EQ(L4,$L$4:$L$14,0)</f>
        <v>9</v>
      </c>
      <c r="N4" s="11">
        <f>INDEX('Price Data'!$E$2:$E$265,COUNT('Price Data'!$E$2:$E$265))</f>
        <v>142.36999511718699</v>
      </c>
      <c r="O4" s="12">
        <f>'200D SMA'!$E$2</f>
        <v>142.39220024108801</v>
      </c>
      <c r="P4" s="5" t="str">
        <f t="shared" ref="P4:P14" si="4">IF(N4&gt;O4,"yes","no")</f>
        <v>no</v>
      </c>
      <c r="Q4" s="6" t="str">
        <f t="shared" ref="Q4:Q14" si="5">IF(M4&gt;5,"n/a",IF(P4="yes", (IF($N$17="Trinity","add 10%","add 20%")),"n/a"))</f>
        <v>n/a</v>
      </c>
    </row>
    <row r="5" spans="2:17">
      <c r="B5" s="36" t="s">
        <v>18</v>
      </c>
      <c r="C5" s="27" t="s">
        <v>19</v>
      </c>
      <c r="D5" s="28">
        <f>IF($N$17="Trinity",0.05,0)</f>
        <v>0</v>
      </c>
      <c r="E5" s="29">
        <f t="shared" ref="E5:E14" si="6">IF(Q5="n/a",0,IF(Q5="add 10%",0.1,0.2))</f>
        <v>0.2</v>
      </c>
      <c r="F5" s="30">
        <f t="shared" si="0"/>
        <v>0.2</v>
      </c>
      <c r="G5" s="42">
        <f t="shared" si="1"/>
        <v>20000</v>
      </c>
      <c r="H5" s="25">
        <f>'Performance Data'!$K$2</f>
        <v>1.7739460845810101E-2</v>
      </c>
      <c r="I5" s="2">
        <f>'Performance Data'!$K$3</f>
        <v>-1.97502697571867E-2</v>
      </c>
      <c r="J5" s="2">
        <f>'Performance Data'!$K$4</f>
        <v>3.2683702542377797E-2</v>
      </c>
      <c r="K5" s="2">
        <f>'Performance Data'!$K$5</f>
        <v>2.5974642162866102E-2</v>
      </c>
      <c r="L5" s="10">
        <f t="shared" si="2"/>
        <v>1.4161883948466826E-2</v>
      </c>
      <c r="M5" s="3">
        <f t="shared" si="3"/>
        <v>5</v>
      </c>
      <c r="N5" s="11">
        <f>INDEX('Price Data'!$K$2:$K$265,COUNT('Price Data'!$K$2:$K$265))</f>
        <v>140.55999755859301</v>
      </c>
      <c r="O5" s="12">
        <f>'200D SMA'!$K$2</f>
        <v>138.13324974060001</v>
      </c>
      <c r="P5" s="7" t="str">
        <f t="shared" si="4"/>
        <v>yes</v>
      </c>
      <c r="Q5" s="6" t="str">
        <f t="shared" si="5"/>
        <v>add 20%</v>
      </c>
    </row>
    <row r="6" spans="2:17">
      <c r="B6" s="36" t="s">
        <v>43</v>
      </c>
      <c r="C6" s="27" t="s">
        <v>20</v>
      </c>
      <c r="D6" s="28">
        <f>IF($N$17="Trinity",0.0675,0)</f>
        <v>0</v>
      </c>
      <c r="E6" s="29">
        <f t="shared" si="6"/>
        <v>0.2</v>
      </c>
      <c r="F6" s="30">
        <f t="shared" si="0"/>
        <v>0.2</v>
      </c>
      <c r="G6" s="42">
        <f t="shared" si="1"/>
        <v>20000</v>
      </c>
      <c r="H6" s="25">
        <f>'Performance Data'!$G$2</f>
        <v>1.8889064867687599E-2</v>
      </c>
      <c r="I6" s="2">
        <f>'Performance Data'!$G$3</f>
        <v>1.9064951672218501E-3</v>
      </c>
      <c r="J6" s="2">
        <f>'Performance Data'!$G$4</f>
        <v>0.20517208817830301</v>
      </c>
      <c r="K6" s="2">
        <f>'Performance Data'!$G$5</f>
        <v>4.4104739132551703E-2</v>
      </c>
      <c r="L6" s="10">
        <f t="shared" si="2"/>
        <v>6.7518096836441041E-2</v>
      </c>
      <c r="M6" s="3">
        <f t="shared" si="3"/>
        <v>2</v>
      </c>
      <c r="N6" s="11">
        <f>INDEX('Price Data'!$G$2:$G$265,COUNT('Price Data'!$G$2:$G$265))</f>
        <v>54.4799995422363</v>
      </c>
      <c r="O6" s="12">
        <f>'200D SMA'!$G$2</f>
        <v>50.722749900817803</v>
      </c>
      <c r="P6" s="7" t="str">
        <f t="shared" si="4"/>
        <v>yes</v>
      </c>
      <c r="Q6" s="6" t="str">
        <f t="shared" si="5"/>
        <v>add 20%</v>
      </c>
    </row>
    <row r="7" spans="2:17">
      <c r="B7" s="36" t="s">
        <v>44</v>
      </c>
      <c r="C7" s="27" t="s">
        <v>21</v>
      </c>
      <c r="D7" s="28">
        <f>IF($N$17="Trinity",0.0225,0)</f>
        <v>0</v>
      </c>
      <c r="E7" s="29">
        <f t="shared" si="6"/>
        <v>0.2</v>
      </c>
      <c r="F7" s="30">
        <f t="shared" si="0"/>
        <v>0.2</v>
      </c>
      <c r="G7" s="42">
        <f t="shared" si="1"/>
        <v>20000</v>
      </c>
      <c r="H7" s="25">
        <f>'Performance Data'!$L$2</f>
        <v>-3.96039211309484E-3</v>
      </c>
      <c r="I7" s="2">
        <f>'Performance Data'!$L$3</f>
        <v>-4.6433665933246597E-2</v>
      </c>
      <c r="J7" s="2">
        <f>'Performance Data'!$L$4</f>
        <v>0.15449587612618601</v>
      </c>
      <c r="K7" s="2">
        <f>'Performance Data'!$L$5</f>
        <v>-3.8017666220419397E-2</v>
      </c>
      <c r="L7" s="10">
        <f t="shared" si="2"/>
        <v>1.6521037964856294E-2</v>
      </c>
      <c r="M7" s="3">
        <f t="shared" si="3"/>
        <v>4</v>
      </c>
      <c r="N7" s="11">
        <f>INDEX('Price Data'!$L$2:$L$265,COUNT('Price Data'!$L$2:$L$265))</f>
        <v>40.240001678466797</v>
      </c>
      <c r="O7" s="12">
        <f>'200D SMA'!$L$2</f>
        <v>39.828299999236997</v>
      </c>
      <c r="P7" s="7" t="str">
        <f t="shared" si="4"/>
        <v>yes</v>
      </c>
      <c r="Q7" s="6" t="str">
        <f t="shared" si="5"/>
        <v>add 20%</v>
      </c>
    </row>
    <row r="8" spans="2:17">
      <c r="B8" s="36" t="s">
        <v>22</v>
      </c>
      <c r="C8" s="27" t="s">
        <v>23</v>
      </c>
      <c r="D8" s="28">
        <f>IF($N$17="Trinity",0.089,0)</f>
        <v>0</v>
      </c>
      <c r="E8" s="29">
        <f t="shared" si="6"/>
        <v>0.2</v>
      </c>
      <c r="F8" s="30">
        <f t="shared" si="0"/>
        <v>0.2</v>
      </c>
      <c r="G8" s="42">
        <f t="shared" si="1"/>
        <v>20000</v>
      </c>
      <c r="H8" s="25">
        <f>'Performance Data'!$F$2</f>
        <v>7.2527425559736304E-3</v>
      </c>
      <c r="I8" s="2">
        <f>'Performance Data'!$F$3</f>
        <v>5.8244905642825797E-3</v>
      </c>
      <c r="J8" s="2">
        <f>'Performance Data'!$F$4</f>
        <v>9.03724876048142E-2</v>
      </c>
      <c r="K8" s="2">
        <f>'Performance Data'!$F$5</f>
        <v>1.9605521592901399E-2</v>
      </c>
      <c r="L8" s="10">
        <f t="shared" si="2"/>
        <v>3.0763810579492953E-2</v>
      </c>
      <c r="M8" s="3">
        <f t="shared" si="3"/>
        <v>3</v>
      </c>
      <c r="N8" s="11">
        <f>INDEX('Price Data'!$F$2:$F$265,COUNT('Price Data'!$F$2:$F$265))</f>
        <v>80.550003051757798</v>
      </c>
      <c r="O8" s="12">
        <f>'200D SMA'!$F$2</f>
        <v>78.840200004577596</v>
      </c>
      <c r="P8" s="7" t="str">
        <f t="shared" si="4"/>
        <v>yes</v>
      </c>
      <c r="Q8" s="6" t="str">
        <f t="shared" si="5"/>
        <v>add 20%</v>
      </c>
    </row>
    <row r="9" spans="2:17">
      <c r="B9" s="36" t="s">
        <v>24</v>
      </c>
      <c r="C9" s="27" t="s">
        <v>25</v>
      </c>
      <c r="D9" s="28">
        <f>IF($N$17="Trinity",0.0675,0)</f>
        <v>0</v>
      </c>
      <c r="E9" s="29">
        <f t="shared" si="6"/>
        <v>0</v>
      </c>
      <c r="F9" s="30">
        <f t="shared" si="0"/>
        <v>0</v>
      </c>
      <c r="G9" s="42">
        <f t="shared" si="1"/>
        <v>0</v>
      </c>
      <c r="H9" s="25">
        <f>'Performance Data'!$H$2</f>
        <v>5.1573691731039402E-3</v>
      </c>
      <c r="I9" s="2">
        <f>'Performance Data'!$H$3</f>
        <v>2.2430765225900299E-3</v>
      </c>
      <c r="J9" s="2">
        <f>'Performance Data'!$H$4</f>
        <v>0.119986901755949</v>
      </c>
      <c r="K9" s="2">
        <f>'Performance Data'!$H$5</f>
        <v>-7.3603007752464797E-2</v>
      </c>
      <c r="L9" s="10">
        <f t="shared" si="2"/>
        <v>1.3446084924794547E-2</v>
      </c>
      <c r="M9" s="3">
        <f t="shared" si="3"/>
        <v>6</v>
      </c>
      <c r="N9" s="11">
        <f>INDEX('Price Data'!$H$2:$H$265,COUNT('Price Data'!$H$2:$H$265))</f>
        <v>65.680000305175696</v>
      </c>
      <c r="O9" s="12">
        <f>'200D SMA'!$H$2</f>
        <v>65.026649971008297</v>
      </c>
      <c r="P9" s="7" t="str">
        <f t="shared" si="4"/>
        <v>yes</v>
      </c>
      <c r="Q9" s="6" t="str">
        <f t="shared" si="5"/>
        <v>n/a</v>
      </c>
    </row>
    <row r="10" spans="2:17">
      <c r="B10" s="36" t="s">
        <v>26</v>
      </c>
      <c r="C10" s="27" t="s">
        <v>27</v>
      </c>
      <c r="D10" s="28">
        <f>IF($N$17="Trinity",0.072,0)</f>
        <v>0</v>
      </c>
      <c r="E10" s="29">
        <f t="shared" si="6"/>
        <v>0</v>
      </c>
      <c r="F10" s="30">
        <f t="shared" si="0"/>
        <v>0</v>
      </c>
      <c r="G10" s="42">
        <f t="shared" si="1"/>
        <v>0</v>
      </c>
      <c r="H10" s="25">
        <f>'Performance Data'!$B$2</f>
        <v>2.08821269531789E-3</v>
      </c>
      <c r="I10" s="2">
        <f>'Performance Data'!$B$3</f>
        <v>1.22876047367237E-2</v>
      </c>
      <c r="J10" s="2">
        <f>'Performance Data'!$B$4</f>
        <v>3.2200736813424197E-2</v>
      </c>
      <c r="K10" s="2">
        <f>'Performance Data'!$B$5</f>
        <v>-2.11829453875573E-2</v>
      </c>
      <c r="L10" s="10">
        <f t="shared" si="2"/>
        <v>6.3484022144771213E-3</v>
      </c>
      <c r="M10" s="3">
        <f t="shared" si="3"/>
        <v>8</v>
      </c>
      <c r="N10" s="11">
        <f>INDEX('Price Data'!$B$2:$B$265,COUNT('Price Data'!$B$2:$B$265))</f>
        <v>48.950000762939403</v>
      </c>
      <c r="O10" s="12">
        <f>'200D SMA'!$B$2</f>
        <v>48.725749988555897</v>
      </c>
      <c r="P10" s="7" t="str">
        <f t="shared" si="4"/>
        <v>yes</v>
      </c>
      <c r="Q10" s="6" t="str">
        <f t="shared" si="5"/>
        <v>n/a</v>
      </c>
    </row>
    <row r="11" spans="2:17">
      <c r="B11" s="36" t="s">
        <v>28</v>
      </c>
      <c r="C11" s="27" t="s">
        <v>29</v>
      </c>
      <c r="D11" s="28">
        <f>IF($N$17="Trinity",0.009,0)</f>
        <v>0</v>
      </c>
      <c r="E11" s="29">
        <f t="shared" si="6"/>
        <v>0</v>
      </c>
      <c r="F11" s="30">
        <f t="shared" si="0"/>
        <v>0</v>
      </c>
      <c r="G11" s="42">
        <f t="shared" si="1"/>
        <v>0</v>
      </c>
      <c r="H11" s="25">
        <f>'Performance Data'!$J$2</f>
        <v>1.0252931723859699E-3</v>
      </c>
      <c r="I11" s="2">
        <f>'Performance Data'!$J$3</f>
        <v>1.67592597397043E-2</v>
      </c>
      <c r="J11" s="2">
        <f>'Performance Data'!$J$4</f>
        <v>2.6428491453311199E-2</v>
      </c>
      <c r="K11" s="2">
        <f>'Performance Data'!$J$5</f>
        <v>-5.3890221267627303E-4</v>
      </c>
      <c r="L11" s="10">
        <f t="shared" si="2"/>
        <v>1.0918535538181298E-2</v>
      </c>
      <c r="M11" s="3">
        <f t="shared" si="3"/>
        <v>7</v>
      </c>
      <c r="N11" s="11">
        <f>INDEX('Price Data'!$J$2:$J$265,COUNT('Price Data'!$J$2:$J$265))</f>
        <v>47.840000152587798</v>
      </c>
      <c r="O11" s="12">
        <f>'200D SMA'!$J$2</f>
        <v>48.0217501640319</v>
      </c>
      <c r="P11" s="7" t="str">
        <f t="shared" si="4"/>
        <v>no</v>
      </c>
      <c r="Q11" s="6" t="str">
        <f t="shared" si="5"/>
        <v>n/a</v>
      </c>
    </row>
    <row r="12" spans="2:17">
      <c r="B12" s="36" t="s">
        <v>30</v>
      </c>
      <c r="C12" s="27" t="s">
        <v>31</v>
      </c>
      <c r="D12" s="28">
        <f>IF($N$17="Trinity",0.025,0)</f>
        <v>0</v>
      </c>
      <c r="E12" s="29">
        <f t="shared" si="6"/>
        <v>0</v>
      </c>
      <c r="F12" s="30">
        <f t="shared" si="0"/>
        <v>0</v>
      </c>
      <c r="G12" s="42">
        <f t="shared" si="1"/>
        <v>0</v>
      </c>
      <c r="H12" s="25">
        <f>'Performance Data'!$C$2</f>
        <v>-7.5821527763773001E-3</v>
      </c>
      <c r="I12" s="2">
        <f>'Performance Data'!$C$3</f>
        <v>-5.2673957743677703E-2</v>
      </c>
      <c r="J12" s="2">
        <f>'Performance Data'!$C$4</f>
        <v>-5.6439071113576003E-2</v>
      </c>
      <c r="K12" s="2">
        <f>'Performance Data'!$C$5</f>
        <v>-0.139039158158455</v>
      </c>
      <c r="L12" s="10">
        <f t="shared" si="2"/>
        <v>-6.3933584948021496E-2</v>
      </c>
      <c r="M12" s="3">
        <f t="shared" si="3"/>
        <v>11</v>
      </c>
      <c r="N12" s="11">
        <f>INDEX('Price Data'!$C$2:$C$265,COUNT('Price Data'!$C$2:$C$265))</f>
        <v>23.559999465942301</v>
      </c>
      <c r="O12" s="12">
        <f>'200D SMA'!$C$2</f>
        <v>24.704300012588501</v>
      </c>
      <c r="P12" s="7" t="str">
        <f t="shared" si="4"/>
        <v>no</v>
      </c>
      <c r="Q12" s="6" t="str">
        <f t="shared" si="5"/>
        <v>n/a</v>
      </c>
    </row>
    <row r="13" spans="2:17">
      <c r="B13" s="36" t="s">
        <v>32</v>
      </c>
      <c r="C13" s="27" t="s">
        <v>33</v>
      </c>
      <c r="D13" s="28">
        <f>IF($N$17="Trinity",0.025,0)</f>
        <v>0</v>
      </c>
      <c r="E13" s="29">
        <f t="shared" si="6"/>
        <v>0.2</v>
      </c>
      <c r="F13" s="30">
        <f t="shared" si="0"/>
        <v>0.2</v>
      </c>
      <c r="G13" s="42">
        <f t="shared" si="1"/>
        <v>20000</v>
      </c>
      <c r="H13" s="25">
        <f>'Performance Data'!$D$2</f>
        <v>9.0982114612212506E-3</v>
      </c>
      <c r="I13" s="2">
        <f>'Performance Data'!$D$3</f>
        <v>3.0609426816455801E-2</v>
      </c>
      <c r="J13" s="2">
        <f>'Performance Data'!$D$4</f>
        <v>0.217236915483523</v>
      </c>
      <c r="K13" s="2">
        <f>'Performance Data'!$D$5</f>
        <v>4.6337350902391203E-2</v>
      </c>
      <c r="L13" s="10">
        <f t="shared" si="2"/>
        <v>7.5820476165897821E-2</v>
      </c>
      <c r="M13" s="3">
        <f t="shared" si="3"/>
        <v>1</v>
      </c>
      <c r="N13" s="11">
        <f>INDEX('Price Data'!$D$2:$D$265,COUNT('Price Data'!$D$2:$D$265))</f>
        <v>37.709999084472599</v>
      </c>
      <c r="O13" s="12">
        <f>'200D SMA'!$D$2</f>
        <v>34.232699985504098</v>
      </c>
      <c r="P13" s="7" t="str">
        <f t="shared" si="4"/>
        <v>yes</v>
      </c>
      <c r="Q13" s="6" t="str">
        <f t="shared" si="5"/>
        <v>add 20%</v>
      </c>
    </row>
    <row r="14" spans="2:17" ht="17" thickBot="1">
      <c r="B14" s="36" t="s">
        <v>34</v>
      </c>
      <c r="C14" s="27" t="s">
        <v>35</v>
      </c>
      <c r="D14" s="28">
        <f>IF($N$17="Trinity",0.0225,0)</f>
        <v>0</v>
      </c>
      <c r="E14" s="29">
        <f t="shared" si="6"/>
        <v>0</v>
      </c>
      <c r="F14" s="30">
        <f t="shared" si="0"/>
        <v>0</v>
      </c>
      <c r="G14" s="42">
        <f t="shared" si="1"/>
        <v>0</v>
      </c>
      <c r="H14" s="26">
        <f>'Performance Data'!$I$2</f>
        <v>3.1310468854035501E-3</v>
      </c>
      <c r="I14" s="17">
        <f>'Performance Data'!$I$3</f>
        <v>-7.6049274898725802E-2</v>
      </c>
      <c r="J14" s="17">
        <f>'Performance Data'!$I$4</f>
        <v>2.8248854670531901E-2</v>
      </c>
      <c r="K14" s="17">
        <f>'Performance Data'!$I$5</f>
        <v>-0.16492457718672399</v>
      </c>
      <c r="L14" s="18">
        <f t="shared" si="2"/>
        <v>-5.2398487632378588E-2</v>
      </c>
      <c r="M14" s="4">
        <f t="shared" si="3"/>
        <v>10</v>
      </c>
      <c r="N14" s="16">
        <f>INDEX('Price Data'!$I$2:$I$265,COUNT('Price Data'!$I$2:$I$265))</f>
        <v>83.300003051757798</v>
      </c>
      <c r="O14" s="13">
        <f>'200D SMA'!$I$2</f>
        <v>86.812099838256799</v>
      </c>
      <c r="P14" s="8" t="str">
        <f t="shared" si="4"/>
        <v>no</v>
      </c>
      <c r="Q14" s="9" t="str">
        <f t="shared" si="5"/>
        <v>n/a</v>
      </c>
    </row>
    <row r="15" spans="2:17" ht="17" thickBot="1">
      <c r="B15" s="36" t="s">
        <v>36</v>
      </c>
      <c r="C15" s="27" t="s">
        <v>36</v>
      </c>
      <c r="D15" s="28">
        <v>0</v>
      </c>
      <c r="E15" s="29">
        <f>IF($N$17="Trinity",0.5-SUM(E4:E14), 1-SUM(E4:E14))</f>
        <v>0</v>
      </c>
      <c r="F15" s="30">
        <f t="shared" ref="F15" si="7">D15+E15</f>
        <v>0</v>
      </c>
      <c r="G15" s="42">
        <f t="shared" si="1"/>
        <v>0</v>
      </c>
    </row>
    <row r="16" spans="2:17" ht="17" thickBot="1">
      <c r="B16" s="37" t="s">
        <v>8</v>
      </c>
      <c r="C16" s="38"/>
      <c r="D16" s="39">
        <f>SUM(D4:D15)</f>
        <v>0</v>
      </c>
      <c r="E16" s="40">
        <f>SUM(E4:E15)</f>
        <v>1</v>
      </c>
      <c r="F16" s="41">
        <f>SUM(F4:F15)</f>
        <v>1</v>
      </c>
      <c r="G16" s="43">
        <f>SUM(G4:G15)</f>
        <v>100000</v>
      </c>
      <c r="N16" s="54" t="s">
        <v>53</v>
      </c>
      <c r="O16" s="55"/>
      <c r="P16" s="50" t="s">
        <v>52</v>
      </c>
      <c r="Q16" s="51"/>
    </row>
    <row r="17" spans="14:17" ht="17" thickBot="1">
      <c r="N17" s="48" t="s">
        <v>48</v>
      </c>
      <c r="O17" s="49"/>
      <c r="P17" s="52">
        <v>100000</v>
      </c>
      <c r="Q17" s="53"/>
    </row>
    <row r="43" spans="2:2" hidden="1">
      <c r="B43" t="s">
        <v>49</v>
      </c>
    </row>
    <row r="44" spans="2:2" hidden="1">
      <c r="B44" t="s">
        <v>47</v>
      </c>
    </row>
    <row r="45" spans="2:2" hidden="1">
      <c r="B45" t="s">
        <v>48</v>
      </c>
    </row>
  </sheetData>
  <mergeCells count="9">
    <mergeCell ref="H2:J2"/>
    <mergeCell ref="K2:L2"/>
    <mergeCell ref="N17:O17"/>
    <mergeCell ref="P16:Q16"/>
    <mergeCell ref="P17:Q17"/>
    <mergeCell ref="N16:O16"/>
    <mergeCell ref="M2:M3"/>
    <mergeCell ref="P2:P3"/>
    <mergeCell ref="Q2:Q3"/>
  </mergeCells>
  <conditionalFormatting sqref="H4:L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M2">
    <cfRule type="cellIs" dxfId="15" priority="61" stopIfTrue="1" operator="lessThanOrEqual">
      <formula>5</formula>
    </cfRule>
  </conditionalFormatting>
  <conditionalFormatting sqref="M4:M14">
    <cfRule type="cellIs" dxfId="14" priority="20" operator="lessThanOrEqual">
      <formula>5</formula>
    </cfRule>
  </conditionalFormatting>
  <conditionalFormatting sqref="N4:N14">
    <cfRule type="cellIs" dxfId="13" priority="53" operator="greaterThan">
      <formula>$O4</formula>
    </cfRule>
  </conditionalFormatting>
  <conditionalFormatting sqref="O4">
    <cfRule type="cellIs" dxfId="12" priority="13" operator="lessThan">
      <formula>$N$4</formula>
    </cfRule>
  </conditionalFormatting>
  <conditionalFormatting sqref="O5">
    <cfRule type="cellIs" dxfId="11" priority="12" operator="lessThan">
      <formula>$N$5</formula>
    </cfRule>
  </conditionalFormatting>
  <conditionalFormatting sqref="O6">
    <cfRule type="cellIs" dxfId="10" priority="11" operator="lessThan">
      <formula>$N$6</formula>
    </cfRule>
  </conditionalFormatting>
  <conditionalFormatting sqref="O7">
    <cfRule type="cellIs" dxfId="9" priority="10" operator="lessThan">
      <formula>$N$7</formula>
    </cfRule>
  </conditionalFormatting>
  <conditionalFormatting sqref="O8">
    <cfRule type="cellIs" dxfId="8" priority="9" operator="lessThan">
      <formula>$N$8</formula>
    </cfRule>
  </conditionalFormatting>
  <conditionalFormatting sqref="O9">
    <cfRule type="cellIs" dxfId="7" priority="8" operator="lessThan">
      <formula>$N$9</formula>
    </cfRule>
  </conditionalFormatting>
  <conditionalFormatting sqref="O10">
    <cfRule type="cellIs" dxfId="6" priority="7" operator="lessThan">
      <formula>$N$10</formula>
    </cfRule>
  </conditionalFormatting>
  <conditionalFormatting sqref="O11">
    <cfRule type="cellIs" dxfId="5" priority="6" operator="lessThan">
      <formula>$N$11</formula>
    </cfRule>
  </conditionalFormatting>
  <conditionalFormatting sqref="O12">
    <cfRule type="cellIs" dxfId="4" priority="5" operator="lessThan">
      <formula>$N$12</formula>
    </cfRule>
  </conditionalFormatting>
  <conditionalFormatting sqref="O13">
    <cfRule type="cellIs" dxfId="3" priority="4" operator="lessThan">
      <formula>$N$13</formula>
    </cfRule>
  </conditionalFormatting>
  <conditionalFormatting sqref="O14">
    <cfRule type="cellIs" dxfId="2" priority="3" operator="lessThan">
      <formula>$N$14</formula>
    </cfRule>
  </conditionalFormatting>
  <conditionalFormatting sqref="P4:P14">
    <cfRule type="containsText" dxfId="1" priority="22" operator="containsText" text="yes">
      <formula>NOT(ISERROR(SEARCH("yes",P4)))</formula>
    </cfRule>
  </conditionalFormatting>
  <conditionalFormatting sqref="Q4:Q14">
    <cfRule type="containsText" dxfId="0" priority="21" operator="containsText" text="add">
      <formula>NOT(ISERROR(SEARCH("add",Q4)))</formula>
    </cfRule>
  </conditionalFormatting>
  <dataValidations count="1">
    <dataValidation type="list" allowBlank="1" showInputMessage="1" showErrorMessage="1" prompt="Select a portfolio from the drop down" sqref="N17:O17" xr:uid="{3FA2A3BC-A223-9D4A-8970-EC80826377DA}">
      <formula1>$B$44:$B$45</formula1>
    </dataValidation>
  </dataValidations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</row>
    <row r="2" spans="1:12">
      <c r="A2" s="23">
        <v>45044</v>
      </c>
      <c r="B2">
        <v>48.950000762939403</v>
      </c>
      <c r="C2">
        <v>23.559999465942301</v>
      </c>
      <c r="D2">
        <v>37.709999084472599</v>
      </c>
      <c r="E2">
        <v>142.36999511718699</v>
      </c>
      <c r="F2">
        <v>80.550003051757798</v>
      </c>
      <c r="G2">
        <v>54.4799995422363</v>
      </c>
      <c r="H2">
        <v>65.680000305175696</v>
      </c>
      <c r="I2">
        <v>83.300003051757798</v>
      </c>
      <c r="J2">
        <v>47.840000152587798</v>
      </c>
      <c r="K2">
        <v>140.55999755859301</v>
      </c>
      <c r="L2">
        <v>40.240001678466797</v>
      </c>
    </row>
    <row r="3" spans="1:12">
      <c r="A3" s="23"/>
    </row>
    <row r="4" spans="1:12">
      <c r="A4" s="23"/>
    </row>
    <row r="5" spans="1:12">
      <c r="A5" s="23"/>
    </row>
    <row r="6" spans="1:12">
      <c r="A6" s="23"/>
    </row>
    <row r="7" spans="1:12">
      <c r="A7" s="23"/>
    </row>
    <row r="8" spans="1:12">
      <c r="A8" s="23"/>
    </row>
    <row r="9" spans="1:12">
      <c r="A9" s="23"/>
    </row>
    <row r="10" spans="1:12">
      <c r="A10" s="23"/>
    </row>
    <row r="11" spans="1:12">
      <c r="A11" s="23"/>
    </row>
    <row r="12" spans="1:12">
      <c r="A12" s="23"/>
    </row>
    <row r="13" spans="1:12">
      <c r="A13" s="23"/>
    </row>
    <row r="14" spans="1:12">
      <c r="A14" s="23"/>
    </row>
    <row r="15" spans="1:12">
      <c r="A15" s="23"/>
    </row>
    <row r="16" spans="1:12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27" spans="1:1">
      <c r="A27" s="23"/>
    </row>
    <row r="28" spans="1:1">
      <c r="A28" s="23"/>
    </row>
    <row r="29" spans="1:1">
      <c r="A29" s="23"/>
    </row>
    <row r="30" spans="1:1">
      <c r="A30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  <row r="43" spans="1:1">
      <c r="A43" s="23"/>
    </row>
    <row r="44" spans="1:1">
      <c r="A44" s="23"/>
    </row>
    <row r="45" spans="1:1">
      <c r="A45" s="23"/>
    </row>
    <row r="46" spans="1:1">
      <c r="A46" s="23"/>
    </row>
    <row r="47" spans="1:1">
      <c r="A47" s="23"/>
    </row>
    <row r="48" spans="1:1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  <row r="56" spans="1:1">
      <c r="A56" s="23"/>
    </row>
    <row r="57" spans="1:1">
      <c r="A57" s="23"/>
    </row>
    <row r="58" spans="1:1">
      <c r="A58" s="23"/>
    </row>
    <row r="59" spans="1:1">
      <c r="A59" s="23"/>
    </row>
    <row r="60" spans="1:1">
      <c r="A60" s="23"/>
    </row>
    <row r="61" spans="1:1">
      <c r="A61" s="23"/>
    </row>
    <row r="62" spans="1:1">
      <c r="A62" s="23"/>
    </row>
    <row r="63" spans="1:1">
      <c r="A63" s="23"/>
    </row>
    <row r="64" spans="1:1">
      <c r="A64" s="23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1"/>
    </row>
    <row r="260" spans="2:2">
      <c r="B260" s="1"/>
    </row>
    <row r="261" spans="2:2">
      <c r="B261" s="1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/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</row>
    <row r="2" spans="1:12">
      <c r="A2" s="23">
        <v>45044</v>
      </c>
      <c r="B2">
        <v>48.725749988555897</v>
      </c>
      <c r="C2">
        <v>24.704300012588501</v>
      </c>
      <c r="D2">
        <v>34.232699985504098</v>
      </c>
      <c r="E2">
        <v>142.39220024108801</v>
      </c>
      <c r="F2">
        <v>78.840200004577596</v>
      </c>
      <c r="G2">
        <v>50.722749900817803</v>
      </c>
      <c r="H2">
        <v>65.026649971008297</v>
      </c>
      <c r="I2">
        <v>86.812099838256799</v>
      </c>
      <c r="J2">
        <v>48.0217501640319</v>
      </c>
      <c r="K2">
        <v>138.13324974060001</v>
      </c>
      <c r="L2">
        <v>39.828299999236997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/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27</v>
      </c>
      <c r="C1" t="s">
        <v>31</v>
      </c>
      <c r="D1" t="s">
        <v>33</v>
      </c>
      <c r="E1" t="s">
        <v>17</v>
      </c>
      <c r="F1" t="s">
        <v>23</v>
      </c>
      <c r="G1" t="s">
        <v>20</v>
      </c>
      <c r="H1" t="s">
        <v>25</v>
      </c>
      <c r="I1" t="s">
        <v>35</v>
      </c>
      <c r="J1" t="s">
        <v>29</v>
      </c>
      <c r="K1" t="s">
        <v>19</v>
      </c>
      <c r="L1" t="s">
        <v>21</v>
      </c>
      <c r="M1" t="s">
        <v>38</v>
      </c>
    </row>
    <row r="2" spans="1:13">
      <c r="A2" s="23">
        <v>45044</v>
      </c>
      <c r="B2">
        <v>2.08821269531789E-3</v>
      </c>
      <c r="C2">
        <v>-7.5821527763773001E-3</v>
      </c>
      <c r="D2">
        <v>9.0982114612212506E-3</v>
      </c>
      <c r="E2">
        <v>2.3949956788345401E-2</v>
      </c>
      <c r="F2">
        <v>7.2527425559736304E-3</v>
      </c>
      <c r="G2">
        <v>1.8889064867687599E-2</v>
      </c>
      <c r="H2">
        <v>5.1573691731039402E-3</v>
      </c>
      <c r="I2">
        <v>3.1310468854035501E-3</v>
      </c>
      <c r="J2">
        <v>1.0252931723859699E-3</v>
      </c>
      <c r="K2">
        <v>1.7739460845810101E-2</v>
      </c>
      <c r="L2">
        <v>-3.96039211309484E-3</v>
      </c>
      <c r="M2" t="s">
        <v>39</v>
      </c>
    </row>
    <row r="3" spans="1:13">
      <c r="A3" s="23">
        <v>45044</v>
      </c>
      <c r="B3">
        <v>1.22876047367237E-2</v>
      </c>
      <c r="C3">
        <v>-5.2673957743677703E-2</v>
      </c>
      <c r="D3">
        <v>3.0609426816455801E-2</v>
      </c>
      <c r="E3">
        <v>-1.31411109338895E-2</v>
      </c>
      <c r="F3">
        <v>5.8244905642825797E-3</v>
      </c>
      <c r="G3">
        <v>1.9064951672218501E-3</v>
      </c>
      <c r="H3">
        <v>2.2430765225900299E-3</v>
      </c>
      <c r="I3">
        <v>-7.6049274898725802E-2</v>
      </c>
      <c r="J3">
        <v>1.67592597397043E-2</v>
      </c>
      <c r="K3">
        <v>-1.97502697571867E-2</v>
      </c>
      <c r="L3">
        <v>-4.6433665933246597E-2</v>
      </c>
      <c r="M3" t="s">
        <v>40</v>
      </c>
    </row>
    <row r="4" spans="1:13">
      <c r="A4" s="23">
        <v>45044</v>
      </c>
      <c r="B4">
        <v>3.2200736813424197E-2</v>
      </c>
      <c r="C4">
        <v>-5.6439071113576003E-2</v>
      </c>
      <c r="D4">
        <v>0.217236915483523</v>
      </c>
      <c r="E4">
        <v>-2.4393712318921599E-2</v>
      </c>
      <c r="F4">
        <v>9.03724876048142E-2</v>
      </c>
      <c r="G4">
        <v>0.20517208817830301</v>
      </c>
      <c r="H4">
        <v>0.119986901755949</v>
      </c>
      <c r="I4">
        <v>2.8248854670531901E-2</v>
      </c>
      <c r="J4">
        <v>2.6428491453311199E-2</v>
      </c>
      <c r="K4">
        <v>3.2683702542377797E-2</v>
      </c>
      <c r="L4">
        <v>0.15449587612618601</v>
      </c>
      <c r="M4" t="s">
        <v>41</v>
      </c>
    </row>
    <row r="5" spans="1:13">
      <c r="A5" s="23">
        <v>45044</v>
      </c>
      <c r="B5">
        <v>-2.11829453875573E-2</v>
      </c>
      <c r="C5">
        <v>-0.139039158158455</v>
      </c>
      <c r="D5">
        <v>4.6337350902391203E-2</v>
      </c>
      <c r="E5">
        <v>-9.6168543333169307E-3</v>
      </c>
      <c r="F5">
        <v>1.9605521592901399E-2</v>
      </c>
      <c r="G5">
        <v>4.4104739132551703E-2</v>
      </c>
      <c r="H5">
        <v>-7.3603007752464797E-2</v>
      </c>
      <c r="I5">
        <v>-0.16492457718672399</v>
      </c>
      <c r="J5">
        <v>-5.3890221267627303E-4</v>
      </c>
      <c r="K5">
        <v>2.5974642162866102E-2</v>
      </c>
      <c r="L5">
        <v>-3.8017666220419397E-2</v>
      </c>
      <c r="M5" t="s">
        <v>42</v>
      </c>
    </row>
    <row r="16" spans="1:13">
      <c r="A16" s="23"/>
    </row>
    <row r="17" spans="1:1">
      <c r="A17" s="23"/>
    </row>
    <row r="18" spans="1:1">
      <c r="A18" s="23"/>
    </row>
    <row r="19" spans="1:1">
      <c r="A19" s="2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2023-04-29T19:52:55Z</dcterms:modified>
</cp:coreProperties>
</file>