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lupinski/PycharmProjects/Finance/Portfolio Optimization/"/>
    </mc:Choice>
  </mc:AlternateContent>
  <xr:revisionPtr revIDLastSave="0" documentId="13_ncr:1_{2C314B3C-3372-2C4F-80BC-3D57E96BD5B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ortfolio" sheetId="1" r:id="rId1"/>
    <sheet name="Price Data" sheetId="2" r:id="rId2"/>
    <sheet name="200D SMA" sheetId="3" r:id="rId3"/>
    <sheet name="Performance Data" sheetId="4" r:id="rId4"/>
  </sheets>
  <definedNames>
    <definedName name="_xlnm._FilterDatabase" localSheetId="0" hidden="1">Portfolio!$B$2:$Q$16</definedName>
    <definedName name="_xlchart.v1.0" hidden="1">Portfolio!$B$4:$F$15</definedName>
    <definedName name="_xlchart.v1.1" hidden="1">Portfolio!$F$4:$F$15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  <c r="D4" i="1"/>
  <c r="N4" i="1"/>
  <c r="O6" i="1"/>
  <c r="N12" i="1"/>
  <c r="H4" i="1"/>
  <c r="H5" i="1"/>
  <c r="N14" i="1"/>
  <c r="N13" i="1"/>
  <c r="N11" i="1"/>
  <c r="N10" i="1"/>
  <c r="N9" i="1"/>
  <c r="N8" i="1"/>
  <c r="N7" i="1"/>
  <c r="N6" i="1"/>
  <c r="N5" i="1"/>
  <c r="K2" i="1"/>
  <c r="L2" i="1"/>
  <c r="O14" i="1"/>
  <c r="K14" i="1"/>
  <c r="J14" i="1"/>
  <c r="I14" i="1"/>
  <c r="H14" i="1"/>
  <c r="O13" i="1"/>
  <c r="K13" i="1"/>
  <c r="J13" i="1"/>
  <c r="I13" i="1"/>
  <c r="H13" i="1"/>
  <c r="O12" i="1"/>
  <c r="K12" i="1"/>
  <c r="J12" i="1"/>
  <c r="I12" i="1"/>
  <c r="H12" i="1"/>
  <c r="O11" i="1"/>
  <c r="K11" i="1"/>
  <c r="J11" i="1"/>
  <c r="I11" i="1"/>
  <c r="H11" i="1"/>
  <c r="O10" i="1"/>
  <c r="K10" i="1"/>
  <c r="J10" i="1"/>
  <c r="I10" i="1"/>
  <c r="H10" i="1"/>
  <c r="O9" i="1"/>
  <c r="K9" i="1"/>
  <c r="J9" i="1"/>
  <c r="I9" i="1"/>
  <c r="H9" i="1"/>
  <c r="L9" i="1" s="1"/>
  <c r="O8" i="1"/>
  <c r="K8" i="1"/>
  <c r="J8" i="1"/>
  <c r="I8" i="1"/>
  <c r="H8" i="1"/>
  <c r="O7" i="1"/>
  <c r="K7" i="1"/>
  <c r="J7" i="1"/>
  <c r="I7" i="1"/>
  <c r="H7" i="1"/>
  <c r="K6" i="1"/>
  <c r="J6" i="1"/>
  <c r="I6" i="1"/>
  <c r="H6" i="1"/>
  <c r="O5" i="1"/>
  <c r="K5" i="1"/>
  <c r="J5" i="1"/>
  <c r="I5" i="1"/>
  <c r="O4" i="1"/>
  <c r="K4" i="1"/>
  <c r="J4" i="1"/>
  <c r="I4" i="1"/>
  <c r="D16" i="1" l="1"/>
  <c r="L5" i="1"/>
  <c r="P8" i="1"/>
  <c r="P12" i="1"/>
  <c r="P10" i="1"/>
  <c r="P14" i="1"/>
  <c r="P11" i="1"/>
  <c r="P4" i="1"/>
  <c r="P7" i="1"/>
  <c r="P6" i="1"/>
  <c r="L14" i="1"/>
  <c r="L13" i="1"/>
  <c r="L10" i="1"/>
  <c r="L6" i="1"/>
  <c r="L4" i="1"/>
  <c r="P5" i="1"/>
  <c r="L7" i="1"/>
  <c r="P9" i="1"/>
  <c r="L11" i="1"/>
  <c r="P13" i="1"/>
  <c r="L8" i="1"/>
  <c r="L12" i="1"/>
  <c r="M12" i="1" l="1"/>
  <c r="Q12" i="1" s="1"/>
  <c r="E12" i="1" s="1"/>
  <c r="F12" i="1" s="1"/>
  <c r="G12" i="1" s="1"/>
  <c r="M9" i="1"/>
  <c r="Q9" i="1" s="1"/>
  <c r="E9" i="1" s="1"/>
  <c r="F9" i="1" s="1"/>
  <c r="G9" i="1" s="1"/>
  <c r="M13" i="1"/>
  <c r="Q13" i="1" s="1"/>
  <c r="E13" i="1" s="1"/>
  <c r="F13" i="1" s="1"/>
  <c r="G13" i="1" s="1"/>
  <c r="M5" i="1"/>
  <c r="Q5" i="1" s="1"/>
  <c r="E5" i="1" s="1"/>
  <c r="F5" i="1" s="1"/>
  <c r="G5" i="1" s="1"/>
  <c r="M8" i="1"/>
  <c r="Q8" i="1" s="1"/>
  <c r="E8" i="1" s="1"/>
  <c r="F8" i="1" s="1"/>
  <c r="G8" i="1" s="1"/>
  <c r="M10" i="1"/>
  <c r="Q10" i="1" s="1"/>
  <c r="E10" i="1" s="1"/>
  <c r="F10" i="1" s="1"/>
  <c r="G10" i="1" s="1"/>
  <c r="M6" i="1"/>
  <c r="Q6" i="1" s="1"/>
  <c r="E6" i="1" s="1"/>
  <c r="F6" i="1" s="1"/>
  <c r="G6" i="1" s="1"/>
  <c r="M7" i="1"/>
  <c r="Q7" i="1" s="1"/>
  <c r="E7" i="1" s="1"/>
  <c r="F7" i="1" s="1"/>
  <c r="G7" i="1" s="1"/>
  <c r="M14" i="1"/>
  <c r="Q14" i="1" s="1"/>
  <c r="E14" i="1" s="1"/>
  <c r="F14" i="1" s="1"/>
  <c r="G14" i="1" s="1"/>
  <c r="M11" i="1"/>
  <c r="Q11" i="1" s="1"/>
  <c r="E11" i="1" s="1"/>
  <c r="F11" i="1" s="1"/>
  <c r="G11" i="1" s="1"/>
  <c r="M4" i="1"/>
  <c r="Q4" i="1" s="1"/>
  <c r="E4" i="1" s="1"/>
  <c r="F4" i="1" l="1"/>
  <c r="G4" i="1" s="1"/>
  <c r="E15" i="1"/>
  <c r="F15" i="1" s="1"/>
  <c r="G15" i="1" s="1"/>
  <c r="G16" i="1" l="1"/>
  <c r="F16" i="1"/>
  <c r="E16" i="1"/>
</calcChain>
</file>

<file path=xl/sharedStrings.xml><?xml version="1.0" encoding="utf-8"?>
<sst xmlns="http://schemas.openxmlformats.org/spreadsheetml/2006/main" count="91" uniqueCount="54">
  <si>
    <t>Rank</t>
  </si>
  <si>
    <t>Price Data</t>
  </si>
  <si>
    <t>200D SMA</t>
  </si>
  <si>
    <t>Action</t>
  </si>
  <si>
    <t>Asset Class</t>
  </si>
  <si>
    <t>Fund</t>
  </si>
  <si>
    <t>Buy &amp; Hold</t>
  </si>
  <si>
    <t>Trend Following</t>
  </si>
  <si>
    <t>Total</t>
  </si>
  <si>
    <t>1m</t>
  </si>
  <si>
    <t>3m</t>
  </si>
  <si>
    <t>6m</t>
  </si>
  <si>
    <t>12m</t>
  </si>
  <si>
    <t>avg</t>
  </si>
  <si>
    <t>Closing Price</t>
  </si>
  <si>
    <t>200MA</t>
  </si>
  <si>
    <t>US Stocks Momentum</t>
  </si>
  <si>
    <t>MTUM</t>
  </si>
  <si>
    <t>US Stocks Value</t>
  </si>
  <si>
    <t>VTV</t>
  </si>
  <si>
    <t>VEU</t>
  </si>
  <si>
    <t>VWO</t>
  </si>
  <si>
    <t>Corporate Bonds</t>
  </si>
  <si>
    <t>VCIT</t>
  </si>
  <si>
    <t>30Y Bonds</t>
  </si>
  <si>
    <t>VGLT</t>
  </si>
  <si>
    <t>10Y Foreign Bonds</t>
  </si>
  <si>
    <t>BNDX</t>
  </si>
  <si>
    <t>TIPS</t>
  </si>
  <si>
    <t>VTIP</t>
  </si>
  <si>
    <t>Commodities</t>
  </si>
  <si>
    <t>DBC</t>
  </si>
  <si>
    <t>Gold</t>
  </si>
  <si>
    <t>IAU</t>
  </si>
  <si>
    <t>REITS</t>
  </si>
  <si>
    <t>VNQ</t>
  </si>
  <si>
    <t>Cash</t>
  </si>
  <si>
    <t>Date</t>
  </si>
  <si>
    <t>Returns</t>
  </si>
  <si>
    <t>1 month</t>
  </si>
  <si>
    <t>3 month</t>
  </si>
  <si>
    <t>6 month</t>
  </si>
  <si>
    <t>1 year</t>
  </si>
  <si>
    <t>Foreign Developed Stocks</t>
  </si>
  <si>
    <t>Foreign Emerging Stocks</t>
  </si>
  <si>
    <t>Performance Data from:</t>
  </si>
  <si>
    <t>Is Closing Price
above 200MA?</t>
  </si>
  <si>
    <t>Trinity</t>
  </si>
  <si>
    <t>Trend</t>
  </si>
  <si>
    <t>Portfolio Types</t>
  </si>
  <si>
    <t>Total %</t>
  </si>
  <si>
    <t>Total $</t>
  </si>
  <si>
    <t>Portfolio Value</t>
  </si>
  <si>
    <t>Select Portfolio ⬇️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</si>
</sst>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&quot;-&quot;[$$-409]#,##0.00"/>
    <numFmt numFmtId="165" formatCode="yyyy\-mm\-dd;@"/>
    <numFmt numFmtId="166" formatCode="&quot;$&quot;#,##0.00"/>
  </numFmts>
  <fonts count="9">
    <font>
      <sz val="12"/>
      <color theme="1"/>
      <name val="Arial"/>
      <family val="2"/>
    </font>
    <font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2"/>
      <color theme="1"/>
      <name val="Arial"/>
      <family val="2"/>
    </font>
    <font>
      <b/>
      <sz val="12"/>
      <color theme="1"/>
      <name val="Helvetica"/>
      <family val="2"/>
    </font>
    <font>
      <b/>
      <i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theme="1"/>
      <name val="Arial"/>
      <family val="2"/>
    </font>
    <font>
      <b/>
      <i/>
      <sz val="10"/>
      <color theme="1"/>
      <name val="Helvetica"/>
      <family val="2"/>
    </font>
  </fonts>
  <fills count="22">
    <fill>
      <patternFill patternType="none"/>
    </fill>
    <fill>
      <patternFill patternType="gray125"/>
    </fill>
    <fill>
      <patternFill patternType="solid">
        <fgColor rgb="FF00CC00"/>
        <bgColor rgb="FF00CC00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3300"/>
        <bgColor rgb="FFFF3300"/>
      </patternFill>
    </fill>
    <fill>
      <patternFill patternType="solid">
        <fgColor rgb="FF006600"/>
        <bgColor rgb="FF006600"/>
      </patternFill>
    </fill>
    <fill>
      <patternFill patternType="solid">
        <fgColor rgb="FFFFFFFF"/>
        <bgColor rgb="FFFFFFFF"/>
      </patternFill>
    </fill>
    <fill>
      <patternFill patternType="solid">
        <fgColor rgb="FF6699CC"/>
        <bgColor rgb="FF6699CC"/>
      </patternFill>
    </fill>
    <fill>
      <patternFill patternType="solid">
        <fgColor rgb="FF99FF66"/>
        <bgColor rgb="FF99FF66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rgb="FFFF9999"/>
      </patternFill>
    </fill>
    <fill>
      <patternFill patternType="solid">
        <fgColor theme="0"/>
        <bgColor rgb="FFFF33FF"/>
      </patternFill>
    </fill>
    <fill>
      <patternFill patternType="solid">
        <fgColor theme="5" tint="0.59999389629810485"/>
        <bgColor rgb="FFFF9999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FF33FF"/>
      </patternFill>
    </fill>
    <fill>
      <patternFill patternType="solid">
        <fgColor theme="7" tint="0.79998168889431442"/>
        <bgColor rgb="FFFF33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  <xf numFmtId="0" fontId="1" fillId="2" borderId="0"/>
    <xf numFmtId="0" fontId="1" fillId="3" borderId="0"/>
    <xf numFmtId="0" fontId="1" fillId="4" borderId="0"/>
    <xf numFmtId="0" fontId="1" fillId="5" borderId="0"/>
    <xf numFmtId="0" fontId="1" fillId="3" borderId="0"/>
    <xf numFmtId="0" fontId="1" fillId="6" borderId="0"/>
    <xf numFmtId="0" fontId="1" fillId="3" borderId="0"/>
  </cellStyleXfs>
  <cellXfs count="62">
    <xf numFmtId="0" fontId="0" fillId="0" borderId="0" xfId="0"/>
    <xf numFmtId="165" fontId="0" fillId="0" borderId="0" xfId="0" applyNumberFormat="1"/>
    <xf numFmtId="10" fontId="6" fillId="11" borderId="1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10" fontId="6" fillId="11" borderId="9" xfId="0" applyNumberFormat="1" applyFont="1" applyFill="1" applyBorder="1" applyAlignment="1">
      <alignment horizontal="center"/>
    </xf>
    <xf numFmtId="164" fontId="6" fillId="12" borderId="8" xfId="0" applyNumberFormat="1" applyFont="1" applyFill="1" applyBorder="1"/>
    <xf numFmtId="164" fontId="6" fillId="12" borderId="9" xfId="0" applyNumberFormat="1" applyFont="1" applyFill="1" applyBorder="1"/>
    <xf numFmtId="164" fontId="6" fillId="12" borderId="11" xfId="0" applyNumberFormat="1" applyFont="1" applyFill="1" applyBorder="1"/>
    <xf numFmtId="0" fontId="5" fillId="13" borderId="2" xfId="0" applyFont="1" applyFill="1" applyBorder="1" applyAlignment="1">
      <alignment horizontal="center"/>
    </xf>
    <xf numFmtId="0" fontId="5" fillId="13" borderId="15" xfId="0" applyFont="1" applyFill="1" applyBorder="1" applyAlignment="1">
      <alignment horizontal="center"/>
    </xf>
    <xf numFmtId="164" fontId="6" fillId="12" borderId="10" xfId="0" applyNumberFormat="1" applyFont="1" applyFill="1" applyBorder="1"/>
    <xf numFmtId="10" fontId="6" fillId="11" borderId="16" xfId="0" applyNumberFormat="1" applyFont="1" applyFill="1" applyBorder="1" applyAlignment="1">
      <alignment horizontal="center"/>
    </xf>
    <xf numFmtId="10" fontId="6" fillId="11" borderId="11" xfId="0" applyNumberFormat="1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5" fillId="15" borderId="8" xfId="0" applyFont="1" applyFill="1" applyBorder="1" applyAlignment="1">
      <alignment horizontal="center"/>
    </xf>
    <xf numFmtId="0" fontId="4" fillId="16" borderId="7" xfId="0" applyFont="1" applyFill="1" applyBorder="1" applyAlignment="1">
      <alignment horizontal="center"/>
    </xf>
    <xf numFmtId="0" fontId="5" fillId="16" borderId="9" xfId="0" applyFont="1" applyFill="1" applyBorder="1" applyAlignment="1">
      <alignment horizontal="center"/>
    </xf>
    <xf numFmtId="14" fontId="0" fillId="0" borderId="0" xfId="0" applyNumberFormat="1"/>
    <xf numFmtId="0" fontId="5" fillId="13" borderId="26" xfId="0" applyFont="1" applyFill="1" applyBorder="1" applyAlignment="1">
      <alignment horizontal="center"/>
    </xf>
    <xf numFmtId="10" fontId="6" fillId="11" borderId="27" xfId="0" applyNumberFormat="1" applyFont="1" applyFill="1" applyBorder="1" applyAlignment="1">
      <alignment horizontal="center"/>
    </xf>
    <xf numFmtId="10" fontId="6" fillId="11" borderId="28" xfId="0" applyNumberFormat="1" applyFont="1" applyFill="1" applyBorder="1" applyAlignment="1">
      <alignment horizontal="center"/>
    </xf>
    <xf numFmtId="0" fontId="6" fillId="10" borderId="17" xfId="0" applyFont="1" applyFill="1" applyBorder="1"/>
    <xf numFmtId="10" fontId="6" fillId="8" borderId="17" xfId="0" applyNumberFormat="1" applyFont="1" applyFill="1" applyBorder="1"/>
    <xf numFmtId="10" fontId="6" fillId="8" borderId="17" xfId="0" applyNumberFormat="1" applyFont="1" applyFill="1" applyBorder="1" applyAlignment="1">
      <alignment horizontal="right"/>
    </xf>
    <xf numFmtId="10" fontId="4" fillId="9" borderId="17" xfId="0" applyNumberFormat="1" applyFont="1" applyFill="1" applyBorder="1"/>
    <xf numFmtId="0" fontId="4" fillId="0" borderId="18" xfId="0" applyFont="1" applyBorder="1"/>
    <xf numFmtId="0" fontId="4" fillId="0" borderId="29" xfId="0" applyFont="1" applyBorder="1"/>
    <xf numFmtId="10" fontId="4" fillId="8" borderId="29" xfId="0" applyNumberFormat="1" applyFont="1" applyFill="1" applyBorder="1" applyAlignment="1">
      <alignment horizontal="center"/>
    </xf>
    <xf numFmtId="10" fontId="4" fillId="9" borderId="29" xfId="0" applyNumberFormat="1" applyFont="1" applyFill="1" applyBorder="1" applyAlignment="1">
      <alignment horizontal="center"/>
    </xf>
    <xf numFmtId="10" fontId="4" fillId="9" borderId="19" xfId="0" applyNumberFormat="1" applyFont="1" applyFill="1" applyBorder="1" applyAlignment="1">
      <alignment horizontal="center"/>
    </xf>
    <xf numFmtId="0" fontId="6" fillId="10" borderId="30" xfId="0" applyFont="1" applyFill="1" applyBorder="1"/>
    <xf numFmtId="0" fontId="6" fillId="10" borderId="20" xfId="0" applyFont="1" applyFill="1" applyBorder="1"/>
    <xf numFmtId="4" fontId="6" fillId="10" borderId="32" xfId="0" applyNumberFormat="1" applyFont="1" applyFill="1" applyBorder="1"/>
    <xf numFmtId="10" fontId="6" fillId="8" borderId="32" xfId="0" applyNumberFormat="1" applyFont="1" applyFill="1" applyBorder="1"/>
    <xf numFmtId="10" fontId="6" fillId="8" borderId="32" xfId="0" applyNumberFormat="1" applyFont="1" applyFill="1" applyBorder="1" applyAlignment="1">
      <alignment horizontal="right"/>
    </xf>
    <xf numFmtId="10" fontId="4" fillId="9" borderId="32" xfId="0" applyNumberFormat="1" applyFont="1" applyFill="1" applyBorder="1"/>
    <xf numFmtId="166" fontId="4" fillId="9" borderId="31" xfId="0" applyNumberFormat="1" applyFont="1" applyFill="1" applyBorder="1"/>
    <xf numFmtId="166" fontId="4" fillId="9" borderId="21" xfId="0" applyNumberFormat="1" applyFont="1" applyFill="1" applyBorder="1"/>
    <xf numFmtId="0" fontId="4" fillId="13" borderId="12" xfId="0" applyFont="1" applyFill="1" applyBorder="1" applyAlignment="1">
      <alignment horizontal="right"/>
    </xf>
    <xf numFmtId="0" fontId="4" fillId="13" borderId="13" xfId="0" applyFont="1" applyFill="1" applyBorder="1" applyAlignment="1">
      <alignment horizontal="right"/>
    </xf>
    <xf numFmtId="165" fontId="7" fillId="14" borderId="13" xfId="0" applyNumberFormat="1" applyFont="1" applyFill="1" applyBorder="1" applyAlignment="1">
      <alignment horizontal="left"/>
    </xf>
    <xf numFmtId="165" fontId="7" fillId="14" borderId="14" xfId="0" applyNumberFormat="1" applyFont="1" applyFill="1" applyBorder="1" applyAlignment="1">
      <alignment horizontal="left"/>
    </xf>
    <xf numFmtId="0" fontId="0" fillId="21" borderId="22" xfId="0" applyFill="1" applyBorder="1" applyAlignment="1">
      <alignment horizontal="center"/>
    </xf>
    <xf numFmtId="0" fontId="0" fillId="21" borderId="25" xfId="0" applyFill="1" applyBorder="1" applyAlignment="1">
      <alignment horizontal="center"/>
    </xf>
    <xf numFmtId="0" fontId="0" fillId="20" borderId="18" xfId="0" applyFill="1" applyBorder="1" applyAlignment="1">
      <alignment horizontal="center"/>
    </xf>
    <xf numFmtId="0" fontId="0" fillId="20" borderId="19" xfId="0" applyFill="1" applyBorder="1" applyAlignment="1">
      <alignment horizontal="center"/>
    </xf>
    <xf numFmtId="166" fontId="0" fillId="21" borderId="20" xfId="0" applyNumberFormat="1" applyFill="1" applyBorder="1" applyAlignment="1">
      <alignment horizontal="center"/>
    </xf>
    <xf numFmtId="166" fontId="0" fillId="21" borderId="21" xfId="0" applyNumberFormat="1" applyFill="1" applyBorder="1" applyAlignment="1">
      <alignment horizontal="center"/>
    </xf>
    <xf numFmtId="0" fontId="0" fillId="20" borderId="23" xfId="0" applyFill="1" applyBorder="1" applyAlignment="1">
      <alignment horizontal="center" vertical="center"/>
    </xf>
    <xf numFmtId="0" fontId="0" fillId="20" borderId="24" xfId="0" applyFill="1" applyBorder="1" applyAlignment="1">
      <alignment horizontal="center" vertical="center"/>
    </xf>
    <xf numFmtId="0" fontId="5" fillId="17" borderId="3" xfId="0" applyFont="1" applyFill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8" fillId="18" borderId="6" xfId="0" applyFont="1" applyFill="1" applyBorder="1" applyAlignment="1">
      <alignment horizontal="center" vertical="center" wrapText="1"/>
    </xf>
    <xf numFmtId="0" fontId="8" fillId="18" borderId="8" xfId="0" applyFont="1" applyFill="1" applyBorder="1" applyAlignment="1">
      <alignment horizontal="center" vertical="center"/>
    </xf>
    <xf numFmtId="0" fontId="5" fillId="19" borderId="7" xfId="0" applyFont="1" applyFill="1" applyBorder="1" applyAlignment="1">
      <alignment horizontal="center" vertical="center"/>
    </xf>
    <xf numFmtId="0" fontId="5" fillId="19" borderId="9" xfId="0" applyFont="1" applyFill="1" applyBorder="1" applyAlignment="1">
      <alignment horizontal="center" vertical="center"/>
    </xf>
  </cellXfs>
  <cellStyles count="12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  <cellStyle name="Untitled1" xfId="5" xr:uid="{00000000-0005-0000-0000-000005000000}"/>
    <cellStyle name="Untitled2" xfId="6" xr:uid="{00000000-0005-0000-0000-000006000000}"/>
    <cellStyle name="Untitled3" xfId="7" xr:uid="{00000000-0005-0000-0000-000007000000}"/>
    <cellStyle name="Untitled4" xfId="8" xr:uid="{00000000-0005-0000-0000-000008000000}"/>
    <cellStyle name="Untitled5" xfId="9" xr:uid="{00000000-0005-0000-0000-000009000000}"/>
    <cellStyle name="Untitled6" xfId="10" xr:uid="{00000000-0005-0000-0000-00000A000000}"/>
    <cellStyle name="Untitled7" xfId="11" xr:uid="{00000000-0005-0000-0000-00000B000000}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006600"/>
          <bgColor rgb="FF006600"/>
        </patternFill>
      </fill>
    </dxf>
  </dxfs>
  <tableStyles count="0" defaultTableStyle="TableStyleMedium2" defaultPivotStyle="PivotStyleLight16"/>
  <colors>
    <mruColors>
      <color rgb="FF954E9F"/>
      <color rgb="FFFF99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Portfolio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Portfolio</a:t>
          </a:r>
        </a:p>
      </cx:txPr>
    </cx:title>
    <cx:plotArea>
      <cx:plotAreaRegion>
        <cx:series layoutId="treemap" uniqueId="{7296CCF6-B714-B04B-B365-6100606E4805}">
          <cx:dataLabels pos="ctr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" lastClr="FFFFFF"/>
                  </a:solidFill>
                  <a:latin typeface="Calibri" panose="020F0502020204030204"/>
                </a:endParaRPr>
              </a:p>
            </cx:txPr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accent6">
        <a:lumMod val="20000"/>
        <a:lumOff val="80000"/>
      </a:schemeClr>
    </a:solidFill>
    <a:ln w="38100"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17</xdr:col>
      <xdr:colOff>1411</xdr:colOff>
      <xdr:row>39</xdr:row>
      <xdr:rowOff>1411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C9D79A2-1DDD-A743-FBF1-28FA1106C2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0" y="3492500"/>
              <a:ext cx="14555611" cy="44718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E43A81-3C0C-DA46-ACFC-0A85830D3E60}" name="Table3" displayName="Table3" ref="B43:B45" totalsRowShown="0">
  <autoFilter ref="B43:B45" xr:uid="{43E43A81-3C0C-DA46-ACFC-0A85830D3E60}"/>
  <tableColumns count="1">
    <tableColumn id="1" xr3:uid="{E6B426B8-CB9F-BA41-A55D-780FF1702C2D}" name="Portfolio 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5"/>
  <sheetViews>
    <sheetView tabSelected="1" zoomScaleNormal="100" workbookViewId="0">
      <selection activeCell="F9" sqref="F9"/>
    </sheetView>
  </sheetViews>
  <sheetFormatPr baseColWidth="10" defaultRowHeight="16"/>
  <cols>
    <col min="1" max="1" width="2.7109375" customWidth="1"/>
    <col min="2" max="2" width="21.85546875" bestFit="1" customWidth="1"/>
    <col min="3" max="3" width="6.140625" bestFit="1" customWidth="1"/>
    <col min="4" max="4" width="10.140625" bestFit="1" customWidth="1"/>
    <col min="5" max="5" width="13.7109375" bestFit="1" customWidth="1"/>
    <col min="6" max="6" width="8" bestFit="1" customWidth="1"/>
    <col min="7" max="7" width="10.85546875" bestFit="1" customWidth="1"/>
    <col min="8" max="12" width="9" customWidth="1"/>
    <col min="13" max="13" width="5.5703125" bestFit="1" customWidth="1"/>
    <col min="14" max="14" width="12.140625" bestFit="1" customWidth="1"/>
    <col min="15" max="15" width="9.5703125" bestFit="1" customWidth="1"/>
    <col min="16" max="16" width="12.7109375" bestFit="1" customWidth="1"/>
    <col min="17" max="17" width="8" bestFit="1" customWidth="1"/>
    <col min="18" max="18" width="2.7109375" customWidth="1"/>
    <col min="19" max="19" width="12.7109375" bestFit="1" customWidth="1"/>
    <col min="20" max="20" width="3.28515625" bestFit="1" customWidth="1"/>
  </cols>
  <sheetData>
    <row r="1" spans="2:17" ht="14.5" customHeight="1" thickBot="1"/>
    <row r="2" spans="2:17" ht="17" thickBot="1">
      <c r="H2" s="44" t="s">
        <v>45</v>
      </c>
      <c r="I2" s="45"/>
      <c r="J2" s="45"/>
      <c r="K2" s="46">
        <f>INDEX('Price Data'!$A$2:$A$265,COUNT('Price Data'!$A$2:$A$265))</f>
        <v>44895</v>
      </c>
      <c r="L2" s="47">
        <f>INDEX('Price Data'!$L$2:$L$255,COUNT('Price Data'!$L$2:$L$255))</f>
        <v>88.080001831054602</v>
      </c>
      <c r="M2" s="56" t="s">
        <v>0</v>
      </c>
      <c r="N2" s="19" t="s">
        <v>1</v>
      </c>
      <c r="O2" s="21" t="s">
        <v>2</v>
      </c>
      <c r="P2" s="58" t="s">
        <v>46</v>
      </c>
      <c r="Q2" s="60" t="s">
        <v>3</v>
      </c>
    </row>
    <row r="3" spans="2:17">
      <c r="B3" s="31" t="s">
        <v>4</v>
      </c>
      <c r="C3" s="32" t="s">
        <v>5</v>
      </c>
      <c r="D3" s="33" t="s">
        <v>6</v>
      </c>
      <c r="E3" s="33" t="s">
        <v>7</v>
      </c>
      <c r="F3" s="34" t="s">
        <v>50</v>
      </c>
      <c r="G3" s="35" t="s">
        <v>51</v>
      </c>
      <c r="H3" s="24" t="s">
        <v>9</v>
      </c>
      <c r="I3" s="14" t="s">
        <v>10</v>
      </c>
      <c r="J3" s="14" t="s">
        <v>11</v>
      </c>
      <c r="K3" s="14" t="s">
        <v>12</v>
      </c>
      <c r="L3" s="15" t="s">
        <v>13</v>
      </c>
      <c r="M3" s="57"/>
      <c r="N3" s="20" t="s">
        <v>14</v>
      </c>
      <c r="O3" s="22" t="s">
        <v>15</v>
      </c>
      <c r="P3" s="59"/>
      <c r="Q3" s="61"/>
    </row>
    <row r="4" spans="2:17">
      <c r="B4" s="36" t="s">
        <v>16</v>
      </c>
      <c r="C4" s="27" t="s">
        <v>17</v>
      </c>
      <c r="D4" s="28">
        <f>IF($N$17="Trinity",0.05,0)</f>
        <v>0</v>
      </c>
      <c r="E4" s="29">
        <f>IF(Q4="n/a",0,IF(Q4="add 10%",0.1,0.2))</f>
        <v>0.2</v>
      </c>
      <c r="F4" s="30">
        <f t="shared" ref="F4:F14" si="0">IF($N$17="Trinity",(D4+E4),E4)</f>
        <v>0.2</v>
      </c>
      <c r="G4" s="42">
        <f t="shared" ref="G4:G15" si="1">F4*$P$17</f>
        <v>20000</v>
      </c>
      <c r="H4" s="25">
        <f>'Performance Data'!$B$2</f>
        <v>3.4678915865306199E-2</v>
      </c>
      <c r="I4" s="2">
        <f>'Performance Data'!$B$3</f>
        <v>8.6795654241217796E-2</v>
      </c>
      <c r="J4" s="2">
        <f>'Performance Data'!$B$4</f>
        <v>4.8607703338702603E-2</v>
      </c>
      <c r="K4" s="2">
        <f>'Performance Data'!$B$5</f>
        <v>-0.15985448289607401</v>
      </c>
      <c r="L4" s="10">
        <f t="shared" ref="L4:L14" si="2">AVERAGE(H4:K4)</f>
        <v>2.5569476372881428E-3</v>
      </c>
      <c r="M4" s="3">
        <f t="shared" ref="M4:M14" si="3">_xlfn.RANK.EQ(L4,$L$4:$L$14,0)</f>
        <v>5</v>
      </c>
      <c r="N4" s="11">
        <f>INDEX('Price Data'!$B$2:$B$265,COUNT('Price Data'!$B$2:$B$265))</f>
        <v>152.759994506835</v>
      </c>
      <c r="O4" s="12">
        <f>'200D SMA'!$B$2</f>
        <v>146.41060066223099</v>
      </c>
      <c r="P4" s="5" t="str">
        <f t="shared" ref="P4:P14" si="4">IF(N4&gt;O4,"yes","no")</f>
        <v>yes</v>
      </c>
      <c r="Q4" s="6" t="str">
        <f t="shared" ref="Q4:Q14" si="5">IF(M4&gt;5,"n/a",IF(P4="yes", (IF($N$17="Trinity","add 10%","add 20%")),"n/a"))</f>
        <v>add 20%</v>
      </c>
    </row>
    <row r="5" spans="2:17">
      <c r="B5" s="36" t="s">
        <v>18</v>
      </c>
      <c r="C5" s="27" t="s">
        <v>19</v>
      </c>
      <c r="D5" s="28">
        <f>IF($N$17="Trinity",0.05,0)</f>
        <v>0</v>
      </c>
      <c r="E5" s="29">
        <f t="shared" ref="E5:E14" si="6">IF(Q5="n/a",0,IF(Q5="add 10%",0.1,0.2))</f>
        <v>0.2</v>
      </c>
      <c r="F5" s="30">
        <f t="shared" si="0"/>
        <v>0.2</v>
      </c>
      <c r="G5" s="42">
        <f t="shared" si="1"/>
        <v>20000</v>
      </c>
      <c r="H5" s="25">
        <f>'Performance Data'!$C$2</f>
        <v>5.9940597226144803E-2</v>
      </c>
      <c r="I5" s="2">
        <f>'Performance Data'!$C$3</f>
        <v>8.4544715699239298E-2</v>
      </c>
      <c r="J5" s="2">
        <f>'Performance Data'!$C$4</f>
        <v>2.1441022772712801E-2</v>
      </c>
      <c r="K5" s="2">
        <f>'Performance Data'!$C$5</f>
        <v>7.5784923497248705E-2</v>
      </c>
      <c r="L5" s="10">
        <f t="shared" si="2"/>
        <v>6.0427814798836396E-2</v>
      </c>
      <c r="M5" s="3">
        <f t="shared" si="3"/>
        <v>1</v>
      </c>
      <c r="N5" s="11">
        <f>INDEX('Price Data'!$C$2:$C$265,COUNT('Price Data'!$C$2:$C$265))</f>
        <v>146.24000549316401</v>
      </c>
      <c r="O5" s="12">
        <f>'200D SMA'!$C$2</f>
        <v>138.68065002441401</v>
      </c>
      <c r="P5" s="7" t="str">
        <f t="shared" si="4"/>
        <v>yes</v>
      </c>
      <c r="Q5" s="6" t="str">
        <f t="shared" si="5"/>
        <v>add 20%</v>
      </c>
    </row>
    <row r="6" spans="2:17">
      <c r="B6" s="36" t="s">
        <v>43</v>
      </c>
      <c r="C6" s="27" t="s">
        <v>20</v>
      </c>
      <c r="D6" s="28">
        <f>IF($N$17="Trinity",0.0675,0)</f>
        <v>0</v>
      </c>
      <c r="E6" s="29">
        <f t="shared" si="6"/>
        <v>0.2</v>
      </c>
      <c r="F6" s="30">
        <f t="shared" si="0"/>
        <v>0.2</v>
      </c>
      <c r="G6" s="42">
        <f t="shared" si="1"/>
        <v>20000</v>
      </c>
      <c r="H6" s="25">
        <f>'Performance Data'!$D$2</f>
        <v>0.13145852920006501</v>
      </c>
      <c r="I6" s="2">
        <f>'Performance Data'!$D$3</f>
        <v>5.1032814970732802E-2</v>
      </c>
      <c r="J6" s="2">
        <f>'Performance Data'!$D$4</f>
        <v>-4.0745869403052401E-2</v>
      </c>
      <c r="K6" s="2">
        <f>'Performance Data'!$D$5</f>
        <v>-0.109947789888844</v>
      </c>
      <c r="L6" s="10">
        <f t="shared" si="2"/>
        <v>7.9494212197253507E-3</v>
      </c>
      <c r="M6" s="3">
        <f t="shared" si="3"/>
        <v>4</v>
      </c>
      <c r="N6" s="11">
        <f>INDEX('Price Data'!$D$2:$D$265,COUNT('Price Data'!$D$2:$D$265))</f>
        <v>51.900001525878899</v>
      </c>
      <c r="O6" s="12">
        <f>'200D SMA'!$D$2</f>
        <v>51.532799892425501</v>
      </c>
      <c r="P6" s="7" t="str">
        <f t="shared" si="4"/>
        <v>yes</v>
      </c>
      <c r="Q6" s="6" t="str">
        <f t="shared" si="5"/>
        <v>add 20%</v>
      </c>
    </row>
    <row r="7" spans="2:17">
      <c r="B7" s="36" t="s">
        <v>44</v>
      </c>
      <c r="C7" s="27" t="s">
        <v>21</v>
      </c>
      <c r="D7" s="28">
        <f>IF($N$17="Trinity",0.0225,0)</f>
        <v>0</v>
      </c>
      <c r="E7" s="29">
        <f t="shared" si="6"/>
        <v>0</v>
      </c>
      <c r="F7" s="30">
        <f t="shared" si="0"/>
        <v>0</v>
      </c>
      <c r="G7" s="42">
        <f t="shared" si="1"/>
        <v>0</v>
      </c>
      <c r="H7" s="25">
        <f>'Performance Data'!$E$2</f>
        <v>0.14301832399745801</v>
      </c>
      <c r="I7" s="2">
        <f>'Performance Data'!$E$3</f>
        <v>-1.48310380381793E-2</v>
      </c>
      <c r="J7" s="2">
        <f>'Performance Data'!$E$4</f>
        <v>-6.4588468505597393E-2</v>
      </c>
      <c r="K7" s="2">
        <f>'Performance Data'!$E$5</f>
        <v>-0.159524880918365</v>
      </c>
      <c r="L7" s="10">
        <f t="shared" si="2"/>
        <v>-2.3981515866170925E-2</v>
      </c>
      <c r="M7" s="3">
        <f t="shared" si="3"/>
        <v>6</v>
      </c>
      <c r="N7" s="11">
        <f>INDEX('Price Data'!$E$2:$E$265,COUNT('Price Data'!$E$2:$E$265))</f>
        <v>40.520000457763601</v>
      </c>
      <c r="O7" s="12">
        <f>'200D SMA'!$E$2</f>
        <v>41.684300117492597</v>
      </c>
      <c r="P7" s="7" t="str">
        <f t="shared" si="4"/>
        <v>no</v>
      </c>
      <c r="Q7" s="6" t="str">
        <f t="shared" si="5"/>
        <v>n/a</v>
      </c>
    </row>
    <row r="8" spans="2:17">
      <c r="B8" s="36" t="s">
        <v>22</v>
      </c>
      <c r="C8" s="27" t="s">
        <v>23</v>
      </c>
      <c r="D8" s="28">
        <f>IF($N$17="Trinity",0.089,0)</f>
        <v>0</v>
      </c>
      <c r="E8" s="29">
        <f t="shared" si="6"/>
        <v>0</v>
      </c>
      <c r="F8" s="30">
        <f t="shared" si="0"/>
        <v>0</v>
      </c>
      <c r="G8" s="42">
        <f t="shared" si="1"/>
        <v>0</v>
      </c>
      <c r="H8" s="25">
        <f>'Performance Data'!$F$2</f>
        <v>4.5502900509695403E-2</v>
      </c>
      <c r="I8" s="2">
        <f>'Performance Data'!$F$3</f>
        <v>-1.3185928149937499E-2</v>
      </c>
      <c r="J8" s="2">
        <f>'Performance Data'!$F$4</f>
        <v>-4.01839705834936E-2</v>
      </c>
      <c r="K8" s="2">
        <f>'Performance Data'!$F$5</f>
        <v>-0.137182500273305</v>
      </c>
      <c r="L8" s="10">
        <f t="shared" si="2"/>
        <v>-3.6262374624260171E-2</v>
      </c>
      <c r="M8" s="3">
        <f t="shared" si="3"/>
        <v>9</v>
      </c>
      <c r="N8" s="11">
        <f>INDEX('Price Data'!$F$2:$F$265,COUNT('Price Data'!$F$2:$F$265))</f>
        <v>78.580001831054602</v>
      </c>
      <c r="O8" s="12">
        <f>'200D SMA'!$F$2</f>
        <v>80.832650146484298</v>
      </c>
      <c r="P8" s="7" t="str">
        <f t="shared" si="4"/>
        <v>no</v>
      </c>
      <c r="Q8" s="6" t="str">
        <f t="shared" si="5"/>
        <v>n/a</v>
      </c>
    </row>
    <row r="9" spans="2:17">
      <c r="B9" s="36" t="s">
        <v>24</v>
      </c>
      <c r="C9" s="27" t="s">
        <v>25</v>
      </c>
      <c r="D9" s="28">
        <f>IF($N$17="Trinity",0.0675,0)</f>
        <v>0</v>
      </c>
      <c r="E9" s="29">
        <f t="shared" si="6"/>
        <v>0</v>
      </c>
      <c r="F9" s="30">
        <f t="shared" si="0"/>
        <v>0</v>
      </c>
      <c r="G9" s="42">
        <f t="shared" si="1"/>
        <v>0</v>
      </c>
      <c r="H9" s="25">
        <f>'Performance Data'!$G$2</f>
        <v>6.4516131099709495E-2</v>
      </c>
      <c r="I9" s="2">
        <f>'Performance Data'!$G$3</f>
        <v>-7.5036487440123506E-2</v>
      </c>
      <c r="J9" s="2">
        <f>'Performance Data'!$G$4</f>
        <v>-0.105436821043673</v>
      </c>
      <c r="K9" s="2">
        <f>'Performance Data'!$G$5</f>
        <v>-0.29591870127962999</v>
      </c>
      <c r="L9" s="10">
        <f t="shared" si="2"/>
        <v>-0.10296896966592925</v>
      </c>
      <c r="M9" s="3">
        <f t="shared" si="3"/>
        <v>11</v>
      </c>
      <c r="N9" s="11">
        <f>INDEX('Price Data'!$G$2:$G$265,COUNT('Price Data'!$G$2:$G$265))</f>
        <v>63.360000610351499</v>
      </c>
      <c r="O9" s="12">
        <f>'200D SMA'!$G$2</f>
        <v>70.192349815368601</v>
      </c>
      <c r="P9" s="7" t="str">
        <f t="shared" si="4"/>
        <v>no</v>
      </c>
      <c r="Q9" s="6" t="str">
        <f t="shared" si="5"/>
        <v>n/a</v>
      </c>
    </row>
    <row r="10" spans="2:17">
      <c r="B10" s="36" t="s">
        <v>26</v>
      </c>
      <c r="C10" s="27" t="s">
        <v>27</v>
      </c>
      <c r="D10" s="28">
        <f>IF($N$17="Trinity",0.072,0)</f>
        <v>0</v>
      </c>
      <c r="E10" s="29">
        <f t="shared" si="6"/>
        <v>0</v>
      </c>
      <c r="F10" s="30">
        <f t="shared" si="0"/>
        <v>0</v>
      </c>
      <c r="G10" s="42">
        <f t="shared" si="1"/>
        <v>0</v>
      </c>
      <c r="H10" s="25">
        <f>'Performance Data'!$H$2</f>
        <v>2.31539558228759E-2</v>
      </c>
      <c r="I10" s="2">
        <f>'Performance Data'!$H$3</f>
        <v>-3.0488114543258901E-3</v>
      </c>
      <c r="J10" s="2">
        <f>'Performance Data'!$H$4</f>
        <v>-2.5159925801493701E-2</v>
      </c>
      <c r="K10" s="2">
        <f>'Performance Data'!$H$5</f>
        <v>-0.11241263936543</v>
      </c>
      <c r="L10" s="10">
        <f t="shared" si="2"/>
        <v>-2.9366855199593422E-2</v>
      </c>
      <c r="M10" s="3">
        <f t="shared" si="3"/>
        <v>8</v>
      </c>
      <c r="N10" s="11">
        <f>INDEX('Price Data'!$H$2:$H$265,COUNT('Price Data'!$H$2:$H$265))</f>
        <v>49.049999237060497</v>
      </c>
      <c r="O10" s="12">
        <f>'200D SMA'!$H$2</f>
        <v>50.098649902343702</v>
      </c>
      <c r="P10" s="7" t="str">
        <f t="shared" si="4"/>
        <v>no</v>
      </c>
      <c r="Q10" s="6" t="str">
        <f t="shared" si="5"/>
        <v>n/a</v>
      </c>
    </row>
    <row r="11" spans="2:17">
      <c r="B11" s="36" t="s">
        <v>28</v>
      </c>
      <c r="C11" s="27" t="s">
        <v>29</v>
      </c>
      <c r="D11" s="28">
        <f>IF($N$17="Trinity",0.009,0)</f>
        <v>0</v>
      </c>
      <c r="E11" s="29">
        <f t="shared" si="6"/>
        <v>0</v>
      </c>
      <c r="F11" s="30">
        <f t="shared" si="0"/>
        <v>0</v>
      </c>
      <c r="G11" s="42">
        <f t="shared" si="1"/>
        <v>0</v>
      </c>
      <c r="H11" s="25">
        <f>'Performance Data'!$I$2</f>
        <v>5.2356020942410098E-3</v>
      </c>
      <c r="I11" s="2">
        <f>'Performance Data'!$I$3</f>
        <v>-3.1672376527937501E-2</v>
      </c>
      <c r="J11" s="2">
        <f>'Performance Data'!$I$4</f>
        <v>-4.4658050028896397E-2</v>
      </c>
      <c r="K11" s="2">
        <f>'Performance Data'!$I$5</f>
        <v>-3.9684588787439898E-2</v>
      </c>
      <c r="L11" s="10">
        <f t="shared" si="2"/>
        <v>-2.7694853312508195E-2</v>
      </c>
      <c r="M11" s="3">
        <f t="shared" si="3"/>
        <v>7</v>
      </c>
      <c r="N11" s="11">
        <f>INDEX('Price Data'!$I$2:$I$265,COUNT('Price Data'!$I$2:$I$265))</f>
        <v>48</v>
      </c>
      <c r="O11" s="12">
        <f>'200D SMA'!$I$2</f>
        <v>49.788900070190401</v>
      </c>
      <c r="P11" s="7" t="str">
        <f t="shared" si="4"/>
        <v>no</v>
      </c>
      <c r="Q11" s="6" t="str">
        <f t="shared" si="5"/>
        <v>n/a</v>
      </c>
    </row>
    <row r="12" spans="2:17">
      <c r="B12" s="36" t="s">
        <v>30</v>
      </c>
      <c r="C12" s="27" t="s">
        <v>31</v>
      </c>
      <c r="D12" s="28">
        <f>IF($N$17="Trinity",0.025,0)</f>
        <v>0</v>
      </c>
      <c r="E12" s="29">
        <f t="shared" si="6"/>
        <v>0</v>
      </c>
      <c r="F12" s="30">
        <f t="shared" si="0"/>
        <v>0</v>
      </c>
      <c r="G12" s="42">
        <f t="shared" si="1"/>
        <v>0</v>
      </c>
      <c r="H12" s="25">
        <f>'Performance Data'!$J$2</f>
        <v>1.47292563504568E-2</v>
      </c>
      <c r="I12" s="2">
        <f>'Performance Data'!$J$3</f>
        <v>-8.9424396724968602E-3</v>
      </c>
      <c r="J12" s="2">
        <f>'Performance Data'!$J$4</f>
        <v>-0.11493054005650701</v>
      </c>
      <c r="K12" s="2">
        <f>'Performance Data'!$J$5</f>
        <v>0.30852157957452703</v>
      </c>
      <c r="L12" s="10">
        <f t="shared" si="2"/>
        <v>4.9844464048994994E-2</v>
      </c>
      <c r="M12" s="3">
        <f t="shared" si="3"/>
        <v>2</v>
      </c>
      <c r="N12" s="11">
        <f>INDEX('Price Data'!$J$2:$J$265,COUNT('Price Data'!$J$2:$J$265))</f>
        <v>25.4899997711181</v>
      </c>
      <c r="O12" s="12">
        <f>'200D SMA'!$J$2</f>
        <v>26.225949945449798</v>
      </c>
      <c r="P12" s="7" t="str">
        <f t="shared" si="4"/>
        <v>no</v>
      </c>
      <c r="Q12" s="6" t="str">
        <f t="shared" si="5"/>
        <v>n/a</v>
      </c>
    </row>
    <row r="13" spans="2:17">
      <c r="B13" s="36" t="s">
        <v>32</v>
      </c>
      <c r="C13" s="27" t="s">
        <v>33</v>
      </c>
      <c r="D13" s="28">
        <f>IF($N$17="Trinity",0.025,0)</f>
        <v>0</v>
      </c>
      <c r="E13" s="29">
        <f t="shared" si="6"/>
        <v>0</v>
      </c>
      <c r="F13" s="30">
        <f t="shared" si="0"/>
        <v>0</v>
      </c>
      <c r="G13" s="42">
        <f t="shared" si="1"/>
        <v>0</v>
      </c>
      <c r="H13" s="25">
        <f>'Performance Data'!$K$2</f>
        <v>8.4570657540288405E-2</v>
      </c>
      <c r="I13" s="2">
        <f>'Performance Data'!$K$3</f>
        <v>3.5120130061671903E-2</v>
      </c>
      <c r="J13" s="2">
        <f>'Performance Data'!$K$4</f>
        <v>-3.64210065003015E-2</v>
      </c>
      <c r="K13" s="2">
        <f>'Performance Data'!$K$5</f>
        <v>-2.3753512568229699E-3</v>
      </c>
      <c r="L13" s="10">
        <f t="shared" si="2"/>
        <v>2.0223607461208961E-2</v>
      </c>
      <c r="M13" s="3">
        <f t="shared" si="3"/>
        <v>3</v>
      </c>
      <c r="N13" s="11">
        <f>INDEX('Price Data'!$K$2:$K$265,COUNT('Price Data'!$K$2:$K$265))</f>
        <v>33.599998474121001</v>
      </c>
      <c r="O13" s="12">
        <f>'200D SMA'!$K$2</f>
        <v>34.163800067901597</v>
      </c>
      <c r="P13" s="7" t="str">
        <f t="shared" si="4"/>
        <v>no</v>
      </c>
      <c r="Q13" s="6" t="str">
        <f t="shared" si="5"/>
        <v>n/a</v>
      </c>
    </row>
    <row r="14" spans="2:17" ht="17" thickBot="1">
      <c r="B14" s="36" t="s">
        <v>34</v>
      </c>
      <c r="C14" s="27" t="s">
        <v>35</v>
      </c>
      <c r="D14" s="28">
        <f>IF($N$17="Trinity",0.0225,0)</f>
        <v>0</v>
      </c>
      <c r="E14" s="29">
        <f t="shared" si="6"/>
        <v>0</v>
      </c>
      <c r="F14" s="30">
        <f t="shared" si="0"/>
        <v>0</v>
      </c>
      <c r="G14" s="42">
        <f t="shared" si="1"/>
        <v>0</v>
      </c>
      <c r="H14" s="26">
        <f>'Performance Data'!$L$2</f>
        <v>6.1460572039070398E-2</v>
      </c>
      <c r="I14" s="17">
        <f>'Performance Data'!$L$3</f>
        <v>-5.30050552837837E-2</v>
      </c>
      <c r="J14" s="17">
        <f>'Performance Data'!$L$4</f>
        <v>-0.10526812609798999</v>
      </c>
      <c r="K14" s="17">
        <f>'Performance Data'!$L$5</f>
        <v>-0.15717285793402</v>
      </c>
      <c r="L14" s="18">
        <f t="shared" si="2"/>
        <v>-6.3496366819180833E-2</v>
      </c>
      <c r="M14" s="4">
        <f t="shared" si="3"/>
        <v>10</v>
      </c>
      <c r="N14" s="16">
        <f>INDEX('Price Data'!$L$2:$L$265,COUNT('Price Data'!$L$2:$L$265))</f>
        <v>88.080001831054602</v>
      </c>
      <c r="O14" s="13">
        <f>'200D SMA'!$L$2</f>
        <v>94.753450126647905</v>
      </c>
      <c r="P14" s="8" t="str">
        <f t="shared" si="4"/>
        <v>no</v>
      </c>
      <c r="Q14" s="9" t="str">
        <f t="shared" si="5"/>
        <v>n/a</v>
      </c>
    </row>
    <row r="15" spans="2:17" ht="17" thickBot="1">
      <c r="B15" s="36" t="s">
        <v>36</v>
      </c>
      <c r="C15" s="27" t="s">
        <v>36</v>
      </c>
      <c r="D15" s="28">
        <v>0</v>
      </c>
      <c r="E15" s="29">
        <f>IF($N$17="Trinity",0.5-SUM(E4:E14), 1-SUM(E4:E14))</f>
        <v>0.39999999999999991</v>
      </c>
      <c r="F15" s="30">
        <f t="shared" ref="F15" si="7">D15+E15</f>
        <v>0.39999999999999991</v>
      </c>
      <c r="G15" s="42">
        <f t="shared" si="1"/>
        <v>39999.999999999993</v>
      </c>
    </row>
    <row r="16" spans="2:17" ht="17" thickBot="1">
      <c r="B16" s="37" t="s">
        <v>8</v>
      </c>
      <c r="C16" s="38"/>
      <c r="D16" s="39">
        <f>SUM(D4:D15)</f>
        <v>0</v>
      </c>
      <c r="E16" s="40">
        <f>SUM(E4:E15)</f>
        <v>1</v>
      </c>
      <c r="F16" s="41">
        <f>SUM(F4:F15)</f>
        <v>1</v>
      </c>
      <c r="G16" s="43">
        <f>SUM(G4:G15)</f>
        <v>100000</v>
      </c>
      <c r="N16" s="54" t="s">
        <v>53</v>
      </c>
      <c r="O16" s="55"/>
      <c r="P16" s="50" t="s">
        <v>52</v>
      </c>
      <c r="Q16" s="51"/>
    </row>
    <row r="17" spans="14:17" ht="17" thickBot="1">
      <c r="N17" s="48" t="s">
        <v>48</v>
      </c>
      <c r="O17" s="49"/>
      <c r="P17" s="52">
        <v>100000</v>
      </c>
      <c r="Q17" s="53"/>
    </row>
    <row r="43" spans="2:2" hidden="1">
      <c r="B43" t="s">
        <v>49</v>
      </c>
    </row>
    <row r="44" spans="2:2" hidden="1">
      <c r="B44" t="s">
        <v>47</v>
      </c>
    </row>
    <row r="45" spans="2:2" hidden="1">
      <c r="B45" t="s">
        <v>48</v>
      </c>
    </row>
  </sheetData>
  <mergeCells count="9">
    <mergeCell ref="H2:J2"/>
    <mergeCell ref="K2:L2"/>
    <mergeCell ref="N17:O17"/>
    <mergeCell ref="P16:Q16"/>
    <mergeCell ref="P17:Q17"/>
    <mergeCell ref="N16:O16"/>
    <mergeCell ref="M2:M3"/>
    <mergeCell ref="P2:P3"/>
    <mergeCell ref="Q2:Q3"/>
  </mergeCells>
  <conditionalFormatting sqref="M2">
    <cfRule type="cellIs" dxfId="15" priority="61" stopIfTrue="1" operator="lessThanOrEqual">
      <formula>5</formula>
    </cfRule>
  </conditionalFormatting>
  <conditionalFormatting sqref="N4:N14">
    <cfRule type="cellIs" dxfId="14" priority="53" operator="greaterThan">
      <formula>$O4</formula>
    </cfRule>
  </conditionalFormatting>
  <conditionalFormatting sqref="H4:L14">
    <cfRule type="colorScale" priority="24">
      <colorScale>
        <cfvo type="percentile" val="10"/>
        <cfvo type="num" val="0"/>
        <cfvo type="percentile" val="90"/>
        <color rgb="FFF8696B"/>
        <color rgb="FFFCFCFF"/>
        <color rgb="FF63BE7B"/>
      </colorScale>
    </cfRule>
  </conditionalFormatting>
  <conditionalFormatting sqref="P4:P14">
    <cfRule type="containsText" dxfId="13" priority="22" operator="containsText" text="yes">
      <formula>NOT(ISERROR(SEARCH("yes",P4)))</formula>
    </cfRule>
  </conditionalFormatting>
  <conditionalFormatting sqref="Q4:Q14">
    <cfRule type="containsText" dxfId="12" priority="21" operator="containsText" text="add">
      <formula>NOT(ISERROR(SEARCH("add",Q4)))</formula>
    </cfRule>
  </conditionalFormatting>
  <conditionalFormatting sqref="M4:M14">
    <cfRule type="cellIs" dxfId="11" priority="20" operator="lessThanOrEqual">
      <formula>5</formula>
    </cfRule>
  </conditionalFormatting>
  <conditionalFormatting sqref="O4">
    <cfRule type="cellIs" dxfId="10" priority="13" operator="lessThan">
      <formula>$N$4</formula>
    </cfRule>
  </conditionalFormatting>
  <conditionalFormatting sqref="O5">
    <cfRule type="cellIs" dxfId="9" priority="12" operator="lessThan">
      <formula>$N$5</formula>
    </cfRule>
  </conditionalFormatting>
  <conditionalFormatting sqref="O6">
    <cfRule type="cellIs" dxfId="8" priority="11" operator="lessThan">
      <formula>$N$6</formula>
    </cfRule>
  </conditionalFormatting>
  <conditionalFormatting sqref="O7">
    <cfRule type="cellIs" dxfId="7" priority="10" operator="lessThan">
      <formula>$N$7</formula>
    </cfRule>
  </conditionalFormatting>
  <conditionalFormatting sqref="O8">
    <cfRule type="cellIs" dxfId="6" priority="9" operator="lessThan">
      <formula>$N$8</formula>
    </cfRule>
  </conditionalFormatting>
  <conditionalFormatting sqref="O9">
    <cfRule type="cellIs" dxfId="5" priority="8" operator="lessThan">
      <formula>$N$9</formula>
    </cfRule>
  </conditionalFormatting>
  <conditionalFormatting sqref="O10">
    <cfRule type="cellIs" dxfId="4" priority="7" operator="lessThan">
      <formula>$N$10</formula>
    </cfRule>
  </conditionalFormatting>
  <conditionalFormatting sqref="O11">
    <cfRule type="cellIs" dxfId="3" priority="6" operator="lessThan">
      <formula>$N$11</formula>
    </cfRule>
  </conditionalFormatting>
  <conditionalFormatting sqref="O12">
    <cfRule type="cellIs" dxfId="2" priority="5" operator="lessThan">
      <formula>$N$12</formula>
    </cfRule>
  </conditionalFormatting>
  <conditionalFormatting sqref="O13">
    <cfRule type="cellIs" dxfId="1" priority="4" operator="lessThan">
      <formula>$N$13</formula>
    </cfRule>
  </conditionalFormatting>
  <conditionalFormatting sqref="O14">
    <cfRule type="cellIs" dxfId="0" priority="3" operator="lessThan">
      <formula>$N$14</formula>
    </cfRule>
  </conditionalFormatting>
  <dataValidations count="1">
    <dataValidation type="list" allowBlank="1" showInputMessage="1" showErrorMessage="1" prompt="Select a portfolio from the drop down" sqref="N17:O17" xr:uid="{3FA2A3BC-A223-9D4A-8970-EC80826377DA}">
      <formula1>$B$44:$B$45</formula1>
    </dataValidation>
  </dataValidations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1"/>
  <sheetViews>
    <sheetView zoomScaleNormal="100" workbookViewId="0">
      <selection sqref="A1:L2"/>
    </sheetView>
  </sheetViews>
  <sheetFormatPr baseColWidth="10" defaultRowHeight="16"/>
  <cols>
    <col min="1" max="1" width="11.28515625" customWidth="1"/>
    <col min="2" max="3" width="15.85546875" customWidth="1"/>
    <col min="4" max="11" width="14.85546875" customWidth="1"/>
    <col min="12" max="12" width="15.85546875" customWidth="1"/>
  </cols>
  <sheetData>
    <row r="1" spans="1:12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</row>
    <row r="2" spans="1:12">
      <c r="A2" s="23">
        <v>44895</v>
      </c>
      <c r="B2">
        <v>152.759994506835</v>
      </c>
      <c r="C2">
        <v>146.24000549316401</v>
      </c>
      <c r="D2">
        <v>51.900001525878899</v>
      </c>
      <c r="E2">
        <v>40.520000457763601</v>
      </c>
      <c r="F2">
        <v>78.580001831054602</v>
      </c>
      <c r="G2">
        <v>63.360000610351499</v>
      </c>
      <c r="H2">
        <v>49.049999237060497</v>
      </c>
      <c r="I2">
        <v>48</v>
      </c>
      <c r="J2">
        <v>25.4899997711181</v>
      </c>
      <c r="K2">
        <v>33.599998474121001</v>
      </c>
      <c r="L2">
        <v>88.080001831054602</v>
      </c>
    </row>
    <row r="3" spans="1:12">
      <c r="A3" s="23"/>
    </row>
    <row r="4" spans="1:12">
      <c r="A4" s="23"/>
    </row>
    <row r="5" spans="1:12">
      <c r="A5" s="23"/>
    </row>
    <row r="6" spans="1:12">
      <c r="A6" s="23"/>
    </row>
    <row r="7" spans="1:12">
      <c r="A7" s="23"/>
    </row>
    <row r="8" spans="1:12">
      <c r="A8" s="23"/>
    </row>
    <row r="9" spans="1:12">
      <c r="A9" s="23"/>
    </row>
    <row r="10" spans="1:12">
      <c r="A10" s="23"/>
    </row>
    <row r="11" spans="1:12">
      <c r="A11" s="23"/>
    </row>
    <row r="12" spans="1:12">
      <c r="A12" s="23"/>
    </row>
    <row r="13" spans="1:12">
      <c r="A13" s="23"/>
    </row>
    <row r="14" spans="1:12">
      <c r="A14" s="23"/>
    </row>
    <row r="15" spans="1:12">
      <c r="A15" s="23"/>
    </row>
    <row r="16" spans="1:12">
      <c r="A16" s="23"/>
    </row>
    <row r="17" spans="1:1">
      <c r="A17" s="23"/>
    </row>
    <row r="18" spans="1:1">
      <c r="A18" s="23"/>
    </row>
    <row r="19" spans="1:1">
      <c r="A19" s="23"/>
    </row>
    <row r="20" spans="1:1">
      <c r="A20" s="23"/>
    </row>
    <row r="21" spans="1:1">
      <c r="A21" s="23"/>
    </row>
    <row r="22" spans="1:1">
      <c r="A22" s="23"/>
    </row>
    <row r="23" spans="1:1">
      <c r="A23" s="23"/>
    </row>
    <row r="24" spans="1:1">
      <c r="A24" s="23"/>
    </row>
    <row r="25" spans="1:1">
      <c r="A25" s="23"/>
    </row>
    <row r="26" spans="1:1">
      <c r="A26" s="23"/>
    </row>
    <row r="27" spans="1:1">
      <c r="A27" s="23"/>
    </row>
    <row r="28" spans="1:1">
      <c r="A28" s="23"/>
    </row>
    <row r="29" spans="1:1">
      <c r="A29" s="23"/>
    </row>
    <row r="30" spans="1:1">
      <c r="A30" s="23"/>
    </row>
    <row r="31" spans="1:1">
      <c r="A31" s="23"/>
    </row>
    <row r="32" spans="1:1">
      <c r="A32" s="23"/>
    </row>
    <row r="33" spans="1:1">
      <c r="A33" s="23"/>
    </row>
    <row r="34" spans="1:1">
      <c r="A34" s="23"/>
    </row>
    <row r="35" spans="1:1">
      <c r="A35" s="23"/>
    </row>
    <row r="36" spans="1:1">
      <c r="A36" s="23"/>
    </row>
    <row r="37" spans="1:1">
      <c r="A37" s="23"/>
    </row>
    <row r="38" spans="1:1">
      <c r="A38" s="23"/>
    </row>
    <row r="39" spans="1:1">
      <c r="A39" s="23"/>
    </row>
    <row r="40" spans="1:1">
      <c r="A40" s="23"/>
    </row>
    <row r="41" spans="1:1">
      <c r="A41" s="23"/>
    </row>
    <row r="42" spans="1:1">
      <c r="A42" s="23"/>
    </row>
    <row r="43" spans="1:1">
      <c r="A43" s="23"/>
    </row>
    <row r="44" spans="1:1">
      <c r="A44" s="23"/>
    </row>
    <row r="45" spans="1:1">
      <c r="A45" s="23"/>
    </row>
    <row r="46" spans="1:1">
      <c r="A46" s="23"/>
    </row>
    <row r="47" spans="1:1">
      <c r="A47" s="23"/>
    </row>
    <row r="48" spans="1:1">
      <c r="A48" s="23"/>
    </row>
    <row r="49" spans="1:1">
      <c r="A49" s="23"/>
    </row>
    <row r="50" spans="1:1">
      <c r="A50" s="23"/>
    </row>
    <row r="51" spans="1:1">
      <c r="A51" s="23"/>
    </row>
    <row r="52" spans="1:1">
      <c r="A52" s="23"/>
    </row>
    <row r="53" spans="1:1">
      <c r="A53" s="23"/>
    </row>
    <row r="54" spans="1:1">
      <c r="A54" s="23"/>
    </row>
    <row r="55" spans="1:1">
      <c r="A55" s="23"/>
    </row>
    <row r="56" spans="1:1">
      <c r="A56" s="23"/>
    </row>
    <row r="57" spans="1:1">
      <c r="A57" s="23"/>
    </row>
    <row r="58" spans="1:1">
      <c r="A58" s="23"/>
    </row>
    <row r="59" spans="1:1">
      <c r="A59" s="23"/>
    </row>
    <row r="60" spans="1:1">
      <c r="A60" s="23"/>
    </row>
    <row r="61" spans="1:1">
      <c r="A61" s="23"/>
    </row>
    <row r="62" spans="1:1">
      <c r="A62" s="23"/>
    </row>
    <row r="63" spans="1:1">
      <c r="A63" s="23"/>
    </row>
    <row r="64" spans="1:1">
      <c r="A64" s="23"/>
    </row>
    <row r="65" spans="1:1">
      <c r="A65" s="23"/>
    </row>
    <row r="66" spans="1:1">
      <c r="A66" s="23"/>
    </row>
    <row r="67" spans="1:1">
      <c r="A67" s="23"/>
    </row>
    <row r="68" spans="1:1">
      <c r="A68" s="23"/>
    </row>
    <row r="69" spans="1:1">
      <c r="A69" s="23"/>
    </row>
    <row r="70" spans="1:1">
      <c r="A70" s="23"/>
    </row>
    <row r="71" spans="1:1">
      <c r="A71" s="23"/>
    </row>
    <row r="72" spans="1:1">
      <c r="A72" s="23"/>
    </row>
    <row r="73" spans="1:1">
      <c r="A73" s="23"/>
    </row>
    <row r="74" spans="1:1">
      <c r="A74" s="23"/>
    </row>
    <row r="75" spans="1:1">
      <c r="A75" s="23"/>
    </row>
    <row r="76" spans="1:1">
      <c r="A76" s="23"/>
    </row>
    <row r="77" spans="1:1">
      <c r="A77" s="23"/>
    </row>
    <row r="78" spans="1:1">
      <c r="A78" s="23"/>
    </row>
    <row r="79" spans="1:1">
      <c r="A79" s="23"/>
    </row>
    <row r="80" spans="1:1">
      <c r="A80" s="23"/>
    </row>
    <row r="81" spans="1:1">
      <c r="A81" s="23"/>
    </row>
    <row r="82" spans="1:1">
      <c r="A82" s="23"/>
    </row>
    <row r="83" spans="1:1">
      <c r="A83" s="23"/>
    </row>
    <row r="84" spans="1:1">
      <c r="A84" s="23"/>
    </row>
    <row r="85" spans="1:1">
      <c r="A85" s="23"/>
    </row>
    <row r="86" spans="1:1">
      <c r="A86" s="23"/>
    </row>
    <row r="87" spans="1:1">
      <c r="A87" s="23"/>
    </row>
    <row r="88" spans="1:1">
      <c r="A88" s="23"/>
    </row>
    <row r="89" spans="1:1">
      <c r="A89" s="23"/>
    </row>
    <row r="90" spans="1:1">
      <c r="A90" s="23"/>
    </row>
    <row r="91" spans="1:1">
      <c r="A91" s="23"/>
    </row>
    <row r="92" spans="1:1">
      <c r="A92" s="23"/>
    </row>
    <row r="93" spans="1:1">
      <c r="A93" s="23"/>
    </row>
    <row r="94" spans="1:1">
      <c r="A94" s="23"/>
    </row>
    <row r="95" spans="1:1">
      <c r="A95" s="23"/>
    </row>
    <row r="96" spans="1:1">
      <c r="A96" s="23"/>
    </row>
    <row r="97" spans="1:1">
      <c r="A97" s="23"/>
    </row>
    <row r="98" spans="1:1">
      <c r="A98" s="23"/>
    </row>
    <row r="99" spans="1:1">
      <c r="A99" s="23"/>
    </row>
    <row r="100" spans="1:1">
      <c r="A100" s="23"/>
    </row>
    <row r="101" spans="1:1">
      <c r="A101" s="23"/>
    </row>
    <row r="102" spans="1:1">
      <c r="A102" s="23"/>
    </row>
    <row r="103" spans="1:1">
      <c r="A103" s="23"/>
    </row>
    <row r="104" spans="1:1">
      <c r="A104" s="23"/>
    </row>
    <row r="105" spans="1:1">
      <c r="A105" s="23"/>
    </row>
    <row r="106" spans="1:1">
      <c r="A106" s="23"/>
    </row>
    <row r="107" spans="1:1">
      <c r="A107" s="23"/>
    </row>
    <row r="108" spans="1:1">
      <c r="A108" s="23"/>
    </row>
    <row r="109" spans="1:1">
      <c r="A109" s="23"/>
    </row>
    <row r="110" spans="1:1">
      <c r="A110" s="23"/>
    </row>
    <row r="111" spans="1:1">
      <c r="A111" s="23"/>
    </row>
    <row r="112" spans="1:1">
      <c r="A112" s="23"/>
    </row>
    <row r="113" spans="1:1">
      <c r="A113" s="23"/>
    </row>
    <row r="114" spans="1:1">
      <c r="A114" s="23"/>
    </row>
    <row r="115" spans="1:1">
      <c r="A115" s="23"/>
    </row>
    <row r="116" spans="1:1">
      <c r="A116" s="23"/>
    </row>
    <row r="117" spans="1:1">
      <c r="A117" s="23"/>
    </row>
    <row r="118" spans="1:1">
      <c r="A118" s="23"/>
    </row>
    <row r="119" spans="1:1">
      <c r="A119" s="23"/>
    </row>
    <row r="120" spans="1:1">
      <c r="A120" s="23"/>
    </row>
    <row r="121" spans="1:1">
      <c r="A121" s="23"/>
    </row>
    <row r="122" spans="1:1">
      <c r="A122" s="23"/>
    </row>
    <row r="123" spans="1:1">
      <c r="A123" s="23"/>
    </row>
    <row r="124" spans="1:1">
      <c r="A124" s="23"/>
    </row>
    <row r="125" spans="1:1">
      <c r="A125" s="23"/>
    </row>
    <row r="126" spans="1:1">
      <c r="A126" s="23"/>
    </row>
    <row r="127" spans="1:1">
      <c r="A127" s="23"/>
    </row>
    <row r="128" spans="1:1">
      <c r="A128" s="23"/>
    </row>
    <row r="129" spans="1:1">
      <c r="A129" s="23"/>
    </row>
    <row r="130" spans="1:1">
      <c r="A130" s="23"/>
    </row>
    <row r="131" spans="1:1">
      <c r="A131" s="23"/>
    </row>
    <row r="132" spans="1:1">
      <c r="A132" s="23"/>
    </row>
    <row r="133" spans="1:1">
      <c r="A133" s="23"/>
    </row>
    <row r="134" spans="1:1">
      <c r="A134" s="23"/>
    </row>
    <row r="135" spans="1:1">
      <c r="A135" s="23"/>
    </row>
    <row r="136" spans="1:1">
      <c r="A136" s="23"/>
    </row>
    <row r="137" spans="1:1">
      <c r="A137" s="23"/>
    </row>
    <row r="138" spans="1:1">
      <c r="A138" s="23"/>
    </row>
    <row r="139" spans="1:1">
      <c r="A139" s="23"/>
    </row>
    <row r="140" spans="1:1">
      <c r="A140" s="23"/>
    </row>
    <row r="141" spans="1:1">
      <c r="A141" s="23"/>
    </row>
    <row r="142" spans="1:1">
      <c r="A142" s="23"/>
    </row>
    <row r="143" spans="1:1">
      <c r="A143" s="23"/>
    </row>
    <row r="144" spans="1:1">
      <c r="A144" s="23"/>
    </row>
    <row r="145" spans="1:1">
      <c r="A145" s="23"/>
    </row>
    <row r="146" spans="1:1">
      <c r="A146" s="23"/>
    </row>
    <row r="147" spans="1:1">
      <c r="A147" s="23"/>
    </row>
    <row r="148" spans="1:1">
      <c r="A148" s="23"/>
    </row>
    <row r="149" spans="1:1">
      <c r="A149" s="23"/>
    </row>
    <row r="150" spans="1:1">
      <c r="A150" s="23"/>
    </row>
    <row r="151" spans="1:1">
      <c r="A151" s="23"/>
    </row>
    <row r="152" spans="1:1">
      <c r="A152" s="23"/>
    </row>
    <row r="153" spans="1:1">
      <c r="A153" s="23"/>
    </row>
    <row r="154" spans="1:1">
      <c r="A154" s="23"/>
    </row>
    <row r="155" spans="1:1">
      <c r="A155" s="23"/>
    </row>
    <row r="156" spans="1:1">
      <c r="A156" s="23"/>
    </row>
    <row r="157" spans="1:1">
      <c r="A157" s="23"/>
    </row>
    <row r="158" spans="1:1">
      <c r="A158" s="23"/>
    </row>
    <row r="159" spans="1:1">
      <c r="A159" s="23"/>
    </row>
    <row r="160" spans="1:1">
      <c r="A160" s="23"/>
    </row>
    <row r="161" spans="1:1">
      <c r="A161" s="23"/>
    </row>
    <row r="162" spans="1:1">
      <c r="A162" s="23"/>
    </row>
    <row r="163" spans="1:1">
      <c r="A163" s="23"/>
    </row>
    <row r="164" spans="1:1">
      <c r="A164" s="23"/>
    </row>
    <row r="165" spans="1:1">
      <c r="A165" s="23"/>
    </row>
    <row r="166" spans="1:1">
      <c r="A166" s="23"/>
    </row>
    <row r="167" spans="1:1">
      <c r="A167" s="23"/>
    </row>
    <row r="168" spans="1:1">
      <c r="A168" s="23"/>
    </row>
    <row r="169" spans="1:1">
      <c r="A169" s="23"/>
    </row>
    <row r="170" spans="1:1">
      <c r="A170" s="23"/>
    </row>
    <row r="171" spans="1:1">
      <c r="A171" s="23"/>
    </row>
    <row r="172" spans="1:1">
      <c r="A172" s="23"/>
    </row>
    <row r="173" spans="1:1">
      <c r="A173" s="23"/>
    </row>
    <row r="174" spans="1:1">
      <c r="A174" s="23"/>
    </row>
    <row r="175" spans="1:1">
      <c r="A175" s="23"/>
    </row>
    <row r="176" spans="1:1">
      <c r="A176" s="23"/>
    </row>
    <row r="177" spans="1:1">
      <c r="A177" s="23"/>
    </row>
    <row r="178" spans="1:1">
      <c r="A178" s="23"/>
    </row>
    <row r="179" spans="1:1">
      <c r="A179" s="23"/>
    </row>
    <row r="180" spans="1:1">
      <c r="A180" s="23"/>
    </row>
    <row r="181" spans="1:1">
      <c r="A181" s="23"/>
    </row>
    <row r="182" spans="1:1">
      <c r="A182" s="23"/>
    </row>
    <row r="183" spans="1:1">
      <c r="A183" s="23"/>
    </row>
    <row r="184" spans="1:1">
      <c r="A184" s="23"/>
    </row>
    <row r="185" spans="1:1">
      <c r="A185" s="23"/>
    </row>
    <row r="186" spans="1:1">
      <c r="A186" s="23"/>
    </row>
    <row r="187" spans="1:1">
      <c r="A187" s="23"/>
    </row>
    <row r="188" spans="1:1">
      <c r="A188" s="23"/>
    </row>
    <row r="189" spans="1:1">
      <c r="A189" s="23"/>
    </row>
    <row r="190" spans="1:1">
      <c r="A190" s="23"/>
    </row>
    <row r="191" spans="1:1">
      <c r="A191" s="23"/>
    </row>
    <row r="192" spans="1:1">
      <c r="A192" s="23"/>
    </row>
    <row r="193" spans="1:1">
      <c r="A193" s="23"/>
    </row>
    <row r="194" spans="1:1">
      <c r="A194" s="23"/>
    </row>
    <row r="195" spans="1:1">
      <c r="A195" s="23"/>
    </row>
    <row r="196" spans="1:1">
      <c r="A196" s="23"/>
    </row>
    <row r="197" spans="1:1">
      <c r="A197" s="23"/>
    </row>
    <row r="198" spans="1:1">
      <c r="A198" s="23"/>
    </row>
    <row r="199" spans="1:1">
      <c r="A199" s="23"/>
    </row>
    <row r="200" spans="1:1">
      <c r="A200" s="23"/>
    </row>
    <row r="201" spans="1:1">
      <c r="A201" s="23"/>
    </row>
    <row r="202" spans="1:1">
      <c r="A202" s="23"/>
    </row>
    <row r="203" spans="1:1">
      <c r="A203" s="23"/>
    </row>
    <row r="204" spans="1:1">
      <c r="A204" s="23"/>
    </row>
    <row r="205" spans="1:1">
      <c r="A205" s="23"/>
    </row>
    <row r="206" spans="1:1">
      <c r="A206" s="23"/>
    </row>
    <row r="207" spans="1:1">
      <c r="A207" s="23"/>
    </row>
    <row r="208" spans="1:1">
      <c r="A208" s="23"/>
    </row>
    <row r="209" spans="1:1">
      <c r="A209" s="23"/>
    </row>
    <row r="210" spans="1:1">
      <c r="A210" s="23"/>
    </row>
    <row r="211" spans="1:1">
      <c r="A211" s="23"/>
    </row>
    <row r="212" spans="1:1">
      <c r="A212" s="23"/>
    </row>
    <row r="213" spans="1:1">
      <c r="A213" s="23"/>
    </row>
    <row r="214" spans="1:1">
      <c r="A214" s="23"/>
    </row>
    <row r="215" spans="1:1">
      <c r="A215" s="23"/>
    </row>
    <row r="216" spans="1:1">
      <c r="A216" s="23"/>
    </row>
    <row r="217" spans="1:1">
      <c r="A217" s="23"/>
    </row>
    <row r="218" spans="1:1">
      <c r="A218" s="23"/>
    </row>
    <row r="219" spans="1:1">
      <c r="A219" s="23"/>
    </row>
    <row r="220" spans="1:1">
      <c r="A220" s="23"/>
    </row>
    <row r="221" spans="1:1">
      <c r="A221" s="23"/>
    </row>
    <row r="222" spans="1:1">
      <c r="A222" s="23"/>
    </row>
    <row r="223" spans="1:1">
      <c r="A223" s="23"/>
    </row>
    <row r="224" spans="1:1">
      <c r="A224" s="23"/>
    </row>
    <row r="225" spans="1:1">
      <c r="A225" s="23"/>
    </row>
    <row r="226" spans="1:1">
      <c r="A226" s="23"/>
    </row>
    <row r="227" spans="1:1">
      <c r="A227" s="23"/>
    </row>
    <row r="228" spans="1:1">
      <c r="A228" s="23"/>
    </row>
    <row r="229" spans="1:1">
      <c r="A229" s="23"/>
    </row>
    <row r="230" spans="1:1">
      <c r="A230" s="23"/>
    </row>
    <row r="231" spans="1:1">
      <c r="A231" s="23"/>
    </row>
    <row r="232" spans="1:1">
      <c r="A232" s="23"/>
    </row>
    <row r="233" spans="1:1">
      <c r="A233" s="23"/>
    </row>
    <row r="234" spans="1:1">
      <c r="A234" s="23"/>
    </row>
    <row r="235" spans="1:1">
      <c r="A235" s="23"/>
    </row>
    <row r="236" spans="1:1">
      <c r="A236" s="23"/>
    </row>
    <row r="237" spans="1:1">
      <c r="A237" s="23"/>
    </row>
    <row r="238" spans="1:1">
      <c r="A238" s="23"/>
    </row>
    <row r="239" spans="1:1">
      <c r="A239" s="23"/>
    </row>
    <row r="240" spans="1:1">
      <c r="A240" s="23"/>
    </row>
    <row r="241" spans="1:1">
      <c r="A241" s="23"/>
    </row>
    <row r="242" spans="1:1">
      <c r="A242" s="23"/>
    </row>
    <row r="243" spans="1:1">
      <c r="A243" s="23"/>
    </row>
    <row r="244" spans="1:1">
      <c r="A244" s="23"/>
    </row>
    <row r="245" spans="1:1">
      <c r="A245" s="23"/>
    </row>
    <row r="246" spans="1:1">
      <c r="A246" s="23"/>
    </row>
    <row r="247" spans="1:1">
      <c r="A247" s="23"/>
    </row>
    <row r="248" spans="1:1">
      <c r="A248" s="23"/>
    </row>
    <row r="249" spans="1:1">
      <c r="A249" s="23"/>
    </row>
    <row r="250" spans="1:1">
      <c r="A250" s="23"/>
    </row>
    <row r="251" spans="1:1">
      <c r="A251" s="23"/>
    </row>
    <row r="252" spans="1:1">
      <c r="A252" s="23"/>
    </row>
    <row r="253" spans="1:1">
      <c r="A253" s="23"/>
    </row>
    <row r="254" spans="1:1">
      <c r="A254" s="23"/>
    </row>
    <row r="255" spans="1:1">
      <c r="A255" s="1"/>
    </row>
    <row r="260" spans="2:2">
      <c r="B260" s="1"/>
    </row>
    <row r="261" spans="2:2">
      <c r="B261" s="1"/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"/>
  <sheetViews>
    <sheetView workbookViewId="0">
      <selection activeCell="B10" sqref="B10"/>
    </sheetView>
  </sheetViews>
  <sheetFormatPr baseColWidth="10" defaultRowHeight="16"/>
  <cols>
    <col min="1" max="1" width="11.28515625" customWidth="1"/>
    <col min="2" max="2" width="15.85546875" customWidth="1"/>
    <col min="3" max="11" width="14.85546875" customWidth="1"/>
    <col min="12" max="12" width="15.85546875" customWidth="1"/>
  </cols>
  <sheetData>
    <row r="1" spans="1:12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</row>
    <row r="2" spans="1:12">
      <c r="A2" s="23">
        <v>44895</v>
      </c>
      <c r="B2">
        <v>146.41060066223099</v>
      </c>
      <c r="C2">
        <v>138.68065002441401</v>
      </c>
      <c r="D2">
        <v>51.532799892425501</v>
      </c>
      <c r="E2">
        <v>41.684300117492597</v>
      </c>
      <c r="F2">
        <v>80.832650146484298</v>
      </c>
      <c r="G2">
        <v>70.192349815368601</v>
      </c>
      <c r="H2">
        <v>50.098649902343702</v>
      </c>
      <c r="I2">
        <v>49.788900070190401</v>
      </c>
      <c r="J2">
        <v>26.225949945449798</v>
      </c>
      <c r="K2">
        <v>34.163800067901597</v>
      </c>
      <c r="L2">
        <v>94.753450126647905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>
      <selection sqref="A1:M5"/>
    </sheetView>
  </sheetViews>
  <sheetFormatPr baseColWidth="10" defaultRowHeight="16"/>
  <cols>
    <col min="1" max="1" width="11.28515625" customWidth="1"/>
    <col min="2" max="9" width="14.42578125" customWidth="1"/>
    <col min="10" max="10" width="13.7109375" customWidth="1"/>
    <col min="11" max="12" width="14.42578125" customWidth="1"/>
    <col min="13" max="13" width="8.42578125" customWidth="1"/>
  </cols>
  <sheetData>
    <row r="1" spans="1:13">
      <c r="A1" t="s">
        <v>37</v>
      </c>
      <c r="B1" t="s">
        <v>17</v>
      </c>
      <c r="C1" t="s">
        <v>19</v>
      </c>
      <c r="D1" t="s">
        <v>20</v>
      </c>
      <c r="E1" t="s">
        <v>21</v>
      </c>
      <c r="F1" t="s">
        <v>23</v>
      </c>
      <c r="G1" t="s">
        <v>25</v>
      </c>
      <c r="H1" t="s">
        <v>27</v>
      </c>
      <c r="I1" t="s">
        <v>29</v>
      </c>
      <c r="J1" t="s">
        <v>31</v>
      </c>
      <c r="K1" t="s">
        <v>33</v>
      </c>
      <c r="L1" t="s">
        <v>35</v>
      </c>
      <c r="M1" t="s">
        <v>38</v>
      </c>
    </row>
    <row r="2" spans="1:13">
      <c r="A2" s="23">
        <v>44895</v>
      </c>
      <c r="B2">
        <v>3.4678915865306199E-2</v>
      </c>
      <c r="C2">
        <v>5.9940597226144803E-2</v>
      </c>
      <c r="D2">
        <v>0.13145852920006501</v>
      </c>
      <c r="E2">
        <v>0.14301832399745801</v>
      </c>
      <c r="F2">
        <v>4.5502900509695403E-2</v>
      </c>
      <c r="G2">
        <v>6.4516131099709495E-2</v>
      </c>
      <c r="H2">
        <v>2.31539558228759E-2</v>
      </c>
      <c r="I2">
        <v>5.2356020942410098E-3</v>
      </c>
      <c r="J2">
        <v>1.47292563504568E-2</v>
      </c>
      <c r="K2">
        <v>8.4570657540288405E-2</v>
      </c>
      <c r="L2">
        <v>6.1460572039070398E-2</v>
      </c>
      <c r="M2" t="s">
        <v>39</v>
      </c>
    </row>
    <row r="3" spans="1:13">
      <c r="A3" s="23">
        <v>44895</v>
      </c>
      <c r="B3">
        <v>8.6795654241217796E-2</v>
      </c>
      <c r="C3">
        <v>8.4544715699239298E-2</v>
      </c>
      <c r="D3">
        <v>5.1032814970732802E-2</v>
      </c>
      <c r="E3">
        <v>-1.48310380381793E-2</v>
      </c>
      <c r="F3">
        <v>-1.3185928149937499E-2</v>
      </c>
      <c r="G3">
        <v>-7.5036487440123506E-2</v>
      </c>
      <c r="H3">
        <v>-3.0488114543258901E-3</v>
      </c>
      <c r="I3">
        <v>-3.1672376527937501E-2</v>
      </c>
      <c r="J3">
        <v>-8.9424396724968602E-3</v>
      </c>
      <c r="K3">
        <v>3.5120130061671903E-2</v>
      </c>
      <c r="L3">
        <v>-5.30050552837837E-2</v>
      </c>
      <c r="M3" t="s">
        <v>40</v>
      </c>
    </row>
    <row r="4" spans="1:13">
      <c r="A4" s="23">
        <v>44895</v>
      </c>
      <c r="B4">
        <v>4.8607703338702603E-2</v>
      </c>
      <c r="C4">
        <v>2.1441022772712801E-2</v>
      </c>
      <c r="D4">
        <v>-4.0745869403052401E-2</v>
      </c>
      <c r="E4">
        <v>-6.4588468505597393E-2</v>
      </c>
      <c r="F4">
        <v>-4.01839705834936E-2</v>
      </c>
      <c r="G4">
        <v>-0.105436821043673</v>
      </c>
      <c r="H4">
        <v>-2.5159925801493701E-2</v>
      </c>
      <c r="I4">
        <v>-4.4658050028896397E-2</v>
      </c>
      <c r="J4">
        <v>-0.11493054005650701</v>
      </c>
      <c r="K4">
        <v>-3.64210065003015E-2</v>
      </c>
      <c r="L4">
        <v>-0.10526812609798999</v>
      </c>
      <c r="M4" t="s">
        <v>41</v>
      </c>
    </row>
    <row r="5" spans="1:13">
      <c r="A5" s="23">
        <v>44895</v>
      </c>
      <c r="B5">
        <v>-0.15985448289607401</v>
      </c>
      <c r="C5">
        <v>7.5784923497248705E-2</v>
      </c>
      <c r="D5">
        <v>-0.109947789888844</v>
      </c>
      <c r="E5">
        <v>-0.159524880918365</v>
      </c>
      <c r="F5">
        <v>-0.137182500273305</v>
      </c>
      <c r="G5">
        <v>-0.29591870127962999</v>
      </c>
      <c r="H5">
        <v>-0.11241263936543</v>
      </c>
      <c r="I5">
        <v>-3.9684588787439898E-2</v>
      </c>
      <c r="J5">
        <v>0.30852157957452703</v>
      </c>
      <c r="K5">
        <v>-2.3753512568229699E-3</v>
      </c>
      <c r="L5">
        <v>-0.15717285793402</v>
      </c>
      <c r="M5" t="s">
        <v>42</v>
      </c>
    </row>
  </sheetData>
  <pageMargins left="0" right="0" top="0.39410000000000006" bottom="0.39410000000000006" header="0" footer="0"/>
  <pageSetup paperSize="0" scale="46" fitToWidth="0" fitToHeight="0" pageOrder="overThenDown" orientation="landscape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8608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Price Data</vt:lpstr>
      <vt:lpstr>200D SMA</vt:lpstr>
      <vt:lpstr>Performance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oops spaghetti</dc:creator>
  <cp:lastModifiedBy>Ryan Lupinski</cp:lastModifiedBy>
  <cp:revision>469</cp:revision>
  <dcterms:created xsi:type="dcterms:W3CDTF">2020-04-19T15:23:13Z</dcterms:created>
  <dcterms:modified xsi:type="dcterms:W3CDTF">2022-12-27T17:18:27Z</dcterms:modified>
</cp:coreProperties>
</file>