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date1904="1" showInkAnnotation="0" autoCompressPictures="0"/>
  <bookViews>
    <workbookView xWindow="0" yWindow="0" windowWidth="25600" windowHeight="16060" tabRatio="500"/>
  </bookViews>
  <sheets>
    <sheet name="Layout 2013-11-12" sheetId="2" r:id="rId1"/>
    <sheet name="Layout 2012-11" sheetId="1" r:id="rId2"/>
    <sheet name="dr calcuation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D75" i="2"/>
  <c r="D67" i="2"/>
  <c r="D68" i="2"/>
  <c r="F62" i="2"/>
  <c r="E62" i="2"/>
  <c r="D62" i="2"/>
  <c r="C62" i="2"/>
  <c r="A59" i="2"/>
  <c r="A60" i="2"/>
  <c r="A61" i="2"/>
  <c r="A62" i="2"/>
  <c r="D63" i="2"/>
  <c r="F63" i="2"/>
  <c r="F64" i="2"/>
  <c r="F65" i="2"/>
  <c r="F66" i="2"/>
  <c r="F60" i="2"/>
  <c r="F61" i="2"/>
  <c r="F59" i="2"/>
  <c r="G49" i="2"/>
  <c r="G48" i="2"/>
  <c r="G47" i="2"/>
  <c r="G46" i="2"/>
  <c r="G45" i="2"/>
  <c r="G39" i="2"/>
  <c r="G40" i="2"/>
  <c r="G41" i="2"/>
  <c r="G42" i="2"/>
  <c r="G43" i="2"/>
  <c r="G44" i="2"/>
  <c r="G38" i="2"/>
  <c r="G35" i="2"/>
  <c r="G36" i="2"/>
  <c r="G37" i="2"/>
  <c r="G34" i="2"/>
  <c r="G17" i="2"/>
  <c r="G18" i="2"/>
  <c r="G19" i="2"/>
  <c r="G20" i="2"/>
  <c r="G21" i="2"/>
  <c r="G22" i="2"/>
  <c r="G23" i="2"/>
  <c r="G16" i="2"/>
  <c r="J5" i="2"/>
  <c r="G15" i="2"/>
  <c r="G24" i="2"/>
  <c r="G25" i="2"/>
  <c r="G26" i="2"/>
  <c r="G27" i="2"/>
  <c r="G2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E9" i="2"/>
  <c r="E14" i="2"/>
  <c r="E15" i="2"/>
  <c r="E16" i="2"/>
  <c r="E17" i="2"/>
  <c r="E18" i="2"/>
  <c r="E19" i="2"/>
  <c r="E20" i="2"/>
  <c r="E21" i="2"/>
  <c r="E23" i="2"/>
  <c r="E24" i="2"/>
  <c r="E25" i="2"/>
  <c r="E26" i="2"/>
  <c r="E27" i="2"/>
  <c r="E28" i="2"/>
  <c r="E29" i="2"/>
  <c r="E31" i="2"/>
  <c r="D3" i="3"/>
  <c r="F3" i="3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M7" i="1"/>
  <c r="O7" i="1"/>
  <c r="R7" i="1"/>
  <c r="P37" i="1"/>
  <c r="P38" i="1"/>
  <c r="Q7" i="1"/>
  <c r="P39" i="1"/>
  <c r="P36" i="1"/>
  <c r="P35" i="1"/>
  <c r="Q41" i="1"/>
  <c r="Q40" i="1"/>
  <c r="Q5" i="1"/>
  <c r="R5" i="1"/>
  <c r="Q39" i="1"/>
  <c r="O5" i="1"/>
  <c r="Q37" i="1"/>
  <c r="Q38" i="1"/>
  <c r="Q36" i="1"/>
  <c r="R6" i="1"/>
  <c r="Q6" i="1"/>
  <c r="Q35" i="1"/>
  <c r="R12" i="1"/>
  <c r="Q12" i="1"/>
  <c r="O12" i="1"/>
  <c r="N12" i="1"/>
  <c r="M12" i="1"/>
  <c r="R11" i="1"/>
  <c r="Q11" i="1"/>
  <c r="O11" i="1"/>
  <c r="N11" i="1"/>
  <c r="M11" i="1"/>
  <c r="K31" i="1"/>
  <c r="K30" i="1"/>
  <c r="K29" i="1"/>
  <c r="K28" i="1"/>
  <c r="K26" i="1"/>
  <c r="K25" i="1"/>
  <c r="K24" i="1"/>
  <c r="K22" i="1"/>
  <c r="K21" i="1"/>
  <c r="K20" i="1"/>
  <c r="K18" i="1"/>
  <c r="K17" i="1"/>
  <c r="K16" i="1"/>
  <c r="K15" i="1"/>
  <c r="K9" i="1"/>
  <c r="K8" i="1"/>
  <c r="H29" i="1"/>
  <c r="H30" i="1"/>
  <c r="H31" i="1"/>
  <c r="J31" i="1"/>
  <c r="J30" i="1"/>
  <c r="J29" i="1"/>
  <c r="J28" i="1"/>
  <c r="J26" i="1"/>
  <c r="J25" i="1"/>
  <c r="J24" i="1"/>
  <c r="J22" i="1"/>
  <c r="J21" i="1"/>
  <c r="J20" i="1"/>
  <c r="H18" i="1"/>
  <c r="J18" i="1"/>
  <c r="H17" i="1"/>
  <c r="J17" i="1"/>
  <c r="J16" i="1"/>
  <c r="J15" i="1"/>
  <c r="J9" i="1"/>
  <c r="J8" i="1"/>
  <c r="J7" i="1"/>
  <c r="J6" i="1"/>
  <c r="J5" i="1"/>
  <c r="K7" i="1"/>
  <c r="K6" i="1"/>
  <c r="K5" i="1"/>
  <c r="K4" i="1"/>
  <c r="J4" i="1"/>
  <c r="A32" i="1"/>
  <c r="O17" i="1"/>
  <c r="N17" i="1"/>
  <c r="O16" i="1"/>
  <c r="N16" i="1"/>
  <c r="O26" i="1"/>
  <c r="N26" i="1"/>
  <c r="O25" i="1"/>
  <c r="N25" i="1"/>
  <c r="O24" i="1"/>
  <c r="N24" i="1"/>
  <c r="R31" i="1"/>
  <c r="N31" i="1"/>
  <c r="R30" i="1"/>
  <c r="N30" i="1"/>
  <c r="R29" i="1"/>
  <c r="N29" i="1"/>
  <c r="R28" i="1"/>
  <c r="N28" i="1"/>
  <c r="R22" i="1"/>
  <c r="N22" i="1"/>
  <c r="R21" i="1"/>
  <c r="N21" i="1"/>
  <c r="R20" i="1"/>
  <c r="N20" i="1"/>
  <c r="R18" i="1"/>
  <c r="N18" i="1"/>
  <c r="R15" i="1"/>
  <c r="N15" i="1"/>
  <c r="R9" i="1"/>
  <c r="N9" i="1"/>
  <c r="R8" i="1"/>
  <c r="N8" i="1"/>
  <c r="N7" i="1"/>
  <c r="N6" i="1"/>
  <c r="N5" i="1"/>
  <c r="R4" i="1"/>
  <c r="N4" i="1"/>
  <c r="O4" i="1"/>
  <c r="Q31" i="1"/>
  <c r="Q30" i="1"/>
  <c r="Q29" i="1"/>
  <c r="Q28" i="1"/>
  <c r="R26" i="1"/>
  <c r="Q26" i="1"/>
  <c r="R25" i="1"/>
  <c r="Q25" i="1"/>
  <c r="R24" i="1"/>
  <c r="Q24" i="1"/>
  <c r="Q22" i="1"/>
  <c r="Q21" i="1"/>
  <c r="Q20" i="1"/>
  <c r="Q18" i="1"/>
  <c r="R17" i="1"/>
  <c r="Q17" i="1"/>
  <c r="R16" i="1"/>
  <c r="Q16" i="1"/>
  <c r="Q15" i="1"/>
  <c r="Q9" i="1"/>
  <c r="Q8" i="1"/>
  <c r="Q4" i="1"/>
  <c r="O31" i="1"/>
  <c r="O30" i="1"/>
  <c r="O29" i="1"/>
  <c r="O28" i="1"/>
  <c r="O22" i="1"/>
  <c r="O21" i="1"/>
  <c r="O20" i="1"/>
  <c r="O18" i="1"/>
  <c r="O15" i="1"/>
  <c r="O9" i="1"/>
  <c r="O8" i="1"/>
  <c r="O6" i="1"/>
  <c r="M31" i="1"/>
  <c r="M30" i="1"/>
  <c r="M29" i="1"/>
  <c r="M28" i="1"/>
  <c r="M26" i="1"/>
  <c r="M25" i="1"/>
  <c r="M24" i="1"/>
  <c r="M22" i="1"/>
  <c r="M21" i="1"/>
  <c r="M20" i="1"/>
  <c r="M18" i="1"/>
  <c r="M17" i="1"/>
  <c r="M16" i="1"/>
  <c r="M15" i="1"/>
  <c r="M9" i="1"/>
  <c r="M8" i="1"/>
  <c r="M6" i="1"/>
  <c r="M5" i="1"/>
  <c r="M4" i="1"/>
  <c r="E34" i="2"/>
  <c r="E59" i="2"/>
  <c r="E10" i="2"/>
  <c r="E11" i="2"/>
  <c r="E12" i="2"/>
  <c r="E13" i="2"/>
  <c r="E60" i="2"/>
  <c r="E66" i="2"/>
  <c r="E70" i="2"/>
  <c r="E71" i="2"/>
  <c r="E72" i="2"/>
  <c r="E73" i="2"/>
  <c r="E74" i="2"/>
  <c r="E75" i="2"/>
  <c r="E76" i="2"/>
  <c r="E77" i="2"/>
  <c r="E78" i="2"/>
  <c r="D60" i="2"/>
  <c r="D61" i="2"/>
  <c r="H5" i="2"/>
  <c r="D64" i="2"/>
  <c r="D65" i="2"/>
  <c r="D66" i="2"/>
  <c r="D69" i="2"/>
  <c r="D70" i="2"/>
  <c r="D71" i="2"/>
  <c r="D72" i="2"/>
  <c r="D73" i="2"/>
  <c r="D74" i="2"/>
  <c r="D76" i="2"/>
  <c r="D77" i="2"/>
  <c r="D78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E35" i="2"/>
  <c r="E36" i="2"/>
  <c r="E38" i="2"/>
  <c r="E39" i="2"/>
  <c r="E43" i="2"/>
  <c r="E47" i="2"/>
  <c r="E48" i="2"/>
  <c r="E49" i="2"/>
  <c r="E50" i="2"/>
  <c r="E51" i="2"/>
  <c r="E52" i="2"/>
  <c r="E53" i="2"/>
  <c r="E54" i="2"/>
  <c r="E55" i="2"/>
  <c r="H24" i="2"/>
  <c r="H25" i="2"/>
  <c r="H26" i="2"/>
  <c r="H27" i="2"/>
  <c r="H28" i="2"/>
  <c r="H70" i="2"/>
  <c r="E37" i="2"/>
  <c r="C35" i="2"/>
  <c r="C36" i="2"/>
  <c r="C37" i="2"/>
  <c r="C38" i="2"/>
  <c r="C39" i="2"/>
  <c r="C40" i="2"/>
  <c r="E40" i="2"/>
  <c r="C41" i="2"/>
  <c r="E41" i="2"/>
  <c r="C42" i="2"/>
  <c r="E42" i="2"/>
  <c r="C43" i="2"/>
  <c r="C44" i="2"/>
  <c r="E44" i="2"/>
  <c r="E45" i="2"/>
  <c r="H45" i="2"/>
  <c r="E46" i="2"/>
  <c r="H46" i="2"/>
  <c r="H47" i="2"/>
  <c r="E22" i="2"/>
  <c r="E63" i="2"/>
  <c r="E67" i="2"/>
  <c r="E61" i="2"/>
  <c r="E65" i="2"/>
  <c r="H69" i="2"/>
  <c r="E69" i="2"/>
  <c r="H68" i="2"/>
  <c r="E64" i="2"/>
  <c r="E68" i="2"/>
  <c r="C60" i="2"/>
  <c r="C64" i="2"/>
  <c r="C67" i="2"/>
  <c r="C63" i="2"/>
  <c r="C66" i="2"/>
  <c r="C65" i="2"/>
  <c r="C61" i="2"/>
  <c r="C9" i="2"/>
  <c r="C14" i="2"/>
  <c r="C15" i="2"/>
  <c r="C16" i="2"/>
  <c r="C17" i="2"/>
</calcChain>
</file>

<file path=xl/sharedStrings.xml><?xml version="1.0" encoding="utf-8"?>
<sst xmlns="http://schemas.openxmlformats.org/spreadsheetml/2006/main" count="301" uniqueCount="183">
  <si>
    <t>Window Rxy</t>
    <phoneticPr fontId="6" type="noConversion"/>
  </si>
  <si>
    <t>Rx=1.3Rc</t>
    <phoneticPr fontId="6" type="noConversion"/>
  </si>
  <si>
    <t>Ry=Rc</t>
    <phoneticPr fontId="6" type="noConversion"/>
  </si>
  <si>
    <t>R1</t>
    <phoneticPr fontId="6" type="noConversion"/>
  </si>
  <si>
    <t>Rc</t>
    <phoneticPr fontId="6" type="noConversion"/>
  </si>
  <si>
    <t>µm</t>
    <phoneticPr fontId="6" type="noConversion"/>
  </si>
  <si>
    <t>µm</t>
    <phoneticPr fontId="6" type="noConversion"/>
  </si>
  <si>
    <t>z</t>
    <phoneticPr fontId="6" type="noConversion"/>
  </si>
  <si>
    <t>deg</t>
    <phoneticPr fontId="6" type="noConversion"/>
  </si>
  <si>
    <t>CRA</t>
    <phoneticPr fontId="6" type="noConversion"/>
  </si>
  <si>
    <t>open circle</t>
    <phoneticPr fontId="6" type="noConversion"/>
  </si>
  <si>
    <t xml:space="preserve"> </t>
    <phoneticPr fontId="6" type="noConversion"/>
  </si>
  <si>
    <t>X1</t>
    <phoneticPr fontId="6" type="noConversion"/>
  </si>
  <si>
    <t>Y1</t>
    <phoneticPr fontId="6" type="noConversion"/>
  </si>
  <si>
    <t>Relative to LL</t>
    <phoneticPr fontId="6" type="noConversion"/>
  </si>
  <si>
    <t>Membrane</t>
    <phoneticPr fontId="6" type="noConversion"/>
  </si>
  <si>
    <t>ZP_X</t>
    <phoneticPr fontId="6" type="noConversion"/>
  </si>
  <si>
    <t>ZP_Y</t>
    <phoneticPr fontId="6" type="noConversion"/>
  </si>
  <si>
    <t>ID</t>
    <phoneticPr fontId="6" type="noConversion"/>
  </si>
  <si>
    <t>Spacing1</t>
    <phoneticPr fontId="6" type="noConversion"/>
  </si>
  <si>
    <t>Spacing2</t>
    <phoneticPr fontId="6" type="noConversion"/>
  </si>
  <si>
    <t>4xNA</t>
    <phoneticPr fontId="6" type="noConversion"/>
  </si>
  <si>
    <t>ALIGN</t>
    <phoneticPr fontId="6" type="noConversion"/>
  </si>
  <si>
    <t>dr in design (nm)</t>
  </si>
  <si>
    <t>"bias" (nm)</t>
  </si>
  <si>
    <t>dr (nm)</t>
  </si>
  <si>
    <t>CRA [°]</t>
    <phoneticPr fontId="5" type="noConversion"/>
  </si>
  <si>
    <t>4xNA</t>
    <phoneticPr fontId="5" type="noConversion"/>
  </si>
  <si>
    <t>WF Coded, 5 W</t>
    <phoneticPr fontId="6" type="noConversion"/>
  </si>
  <si>
    <t>1 DF ZP</t>
    <phoneticPr fontId="6" type="noConversion"/>
  </si>
  <si>
    <t>open ellipse</t>
    <phoneticPr fontId="6" type="noConversion"/>
  </si>
  <si>
    <t>Yc=26.191, Rin=75.378, Rout=153.093</t>
    <phoneticPr fontId="6" type="noConversion"/>
  </si>
  <si>
    <t>Group of 6 ZPs</t>
    <phoneticPr fontId="6" type="noConversion"/>
  </si>
  <si>
    <t>open ellipse</t>
    <phoneticPr fontId="6" type="noConversion"/>
  </si>
  <si>
    <t>Group of 6 ZPs</t>
    <phoneticPr fontId="6" type="noConversion"/>
  </si>
  <si>
    <t>1 Alignment ZP</t>
    <phoneticPr fontId="6" type="noConversion"/>
  </si>
  <si>
    <t>WF Coded, 7.5 W, 22.5°</t>
    <phoneticPr fontId="6" type="noConversion"/>
  </si>
  <si>
    <t>ALIGNMENT</t>
    <phoneticPr fontId="6" type="noConversion"/>
  </si>
  <si>
    <t>NAVIGATION</t>
    <phoneticPr fontId="6" type="noConversion"/>
  </si>
  <si>
    <t>foc um</t>
    <phoneticPr fontId="6" type="noConversion"/>
  </si>
  <si>
    <t>CRA [°]</t>
    <phoneticPr fontId="6" type="noConversion"/>
  </si>
  <si>
    <t>2014 layout</t>
    <phoneticPr fontId="6" type="noConversion"/>
  </si>
  <si>
    <t>SHARP Zoneplate Chip Design</t>
    <phoneticPr fontId="6" type="noConversion"/>
  </si>
  <si>
    <t>WF Coded, 5 W</t>
    <phoneticPr fontId="6" type="noConversion"/>
  </si>
  <si>
    <t>WF Coded, 7.5 W</t>
    <phoneticPr fontId="6" type="noConversion"/>
  </si>
  <si>
    <t>#</t>
    <phoneticPr fontId="6" type="noConversion"/>
  </si>
  <si>
    <t>0.4-0.8</t>
    <phoneticPr fontId="6" type="noConversion"/>
  </si>
  <si>
    <t>Membrane</t>
    <phoneticPr fontId="6" type="noConversion"/>
  </si>
  <si>
    <t>NA</t>
    <phoneticPr fontId="6" type="noConversion"/>
  </si>
  <si>
    <t>Xspacing</t>
    <phoneticPr fontId="6" type="noConversion"/>
  </si>
  <si>
    <t>1 ZP</t>
    <phoneticPr fontId="6" type="noConversion"/>
  </si>
  <si>
    <t>Notes</t>
    <phoneticPr fontId="6" type="noConversion"/>
  </si>
  <si>
    <t>Y0</t>
    <phoneticPr fontId="6" type="noConversion"/>
  </si>
  <si>
    <t>Pattern Start</t>
    <phoneticPr fontId="6" type="noConversion"/>
  </si>
  <si>
    <t>X0</t>
    <phoneticPr fontId="6" type="noConversion"/>
  </si>
  <si>
    <t>Group of 6 ZPs</t>
    <phoneticPr fontId="6" type="noConversion"/>
  </si>
  <si>
    <t>R</t>
    <phoneticPr fontId="6" type="noConversion"/>
  </si>
  <si>
    <t>1 Alignment ZP</t>
    <phoneticPr fontId="6" type="noConversion"/>
  </si>
  <si>
    <t>Window Yc</t>
    <phoneticPr fontId="6" type="noConversion"/>
  </si>
  <si>
    <t>Window</t>
    <phoneticPr fontId="6" type="noConversion"/>
  </si>
  <si>
    <t>open ellipse</t>
  </si>
  <si>
    <t>open ellipse</t>
    <phoneticPr fontId="6" type="noConversion"/>
  </si>
  <si>
    <t>Repeat</t>
    <phoneticPr fontId="6" type="noConversion"/>
  </si>
  <si>
    <t>Name</t>
  </si>
  <si>
    <t>ZPList</t>
  </si>
  <si>
    <t>Mask required</t>
  </si>
  <si>
    <t>Num</t>
  </si>
  <si>
    <t>TDS ZP1</t>
  </si>
  <si>
    <t>N</t>
  </si>
  <si>
    <t>TDS ZP2</t>
  </si>
  <si>
    <t>TDS ZP3</t>
  </si>
  <si>
    <t>TDS ZP4</t>
  </si>
  <si>
    <t>Y</t>
  </si>
  <si>
    <t>MET abb</t>
  </si>
  <si>
    <t>Intel MET abb</t>
  </si>
  <si>
    <t>Z4-8 solo</t>
  </si>
  <si>
    <t>Z4-8 mix</t>
  </si>
  <si>
    <t>REF</t>
  </si>
  <si>
    <t>TDS Berk</t>
  </si>
  <si>
    <t>Z15 mix</t>
  </si>
  <si>
    <t>Z24mix</t>
  </si>
  <si>
    <t>Z37mix</t>
  </si>
  <si>
    <t>COH</t>
  </si>
  <si>
    <t>ANA</t>
  </si>
  <si>
    <t>AZP2_275</t>
  </si>
  <si>
    <t>AZP3_320</t>
  </si>
  <si>
    <t>AZP4_360</t>
  </si>
  <si>
    <t>AZP6_360_8</t>
  </si>
  <si>
    <t>Z4_50</t>
  </si>
  <si>
    <t>Z5_50</t>
  </si>
  <si>
    <t>Z6_50</t>
  </si>
  <si>
    <t>Z7_50</t>
  </si>
  <si>
    <t>Z8_50</t>
  </si>
  <si>
    <t>Z8mix_50</t>
  </si>
  <si>
    <t>Z8mix_100</t>
  </si>
  <si>
    <t>Z15mix_50</t>
  </si>
  <si>
    <t>Z15mix_100</t>
  </si>
  <si>
    <t>Z24mix_100</t>
  </si>
  <si>
    <t>Z37mix_100</t>
  </si>
  <si>
    <t>INTEL_MET_Z4_50</t>
  </si>
  <si>
    <t>INTEL_MET_Z5_50</t>
  </si>
  <si>
    <t>INTEL_MET_Z6_50</t>
  </si>
  <si>
    <t>INTEL_MET_Z7_50</t>
  </si>
  <si>
    <t>INTEL_MET_Z8_50</t>
  </si>
  <si>
    <t>INTEL_MET_Z8mix_50</t>
  </si>
  <si>
    <t>TDS_ZP1_0</t>
  </si>
  <si>
    <t>TDS_ZP1_50</t>
  </si>
  <si>
    <t>TDS_ZP1_100</t>
  </si>
  <si>
    <t>TDS_ZP1_150</t>
  </si>
  <si>
    <t>TDS_ZP2_0</t>
  </si>
  <si>
    <t>TDS_ZP2_50</t>
  </si>
  <si>
    <t>TDS_ZP2_100</t>
  </si>
  <si>
    <t>TDS_ZP2_150</t>
  </si>
  <si>
    <t>TDS_ZP3_0</t>
  </si>
  <si>
    <t>TDS_ZP3_50</t>
  </si>
  <si>
    <t>TDS_ZP3_100</t>
  </si>
  <si>
    <t>TDS_ZP3_150</t>
  </si>
  <si>
    <t>TDS_ZP4_0</t>
  </si>
  <si>
    <t>TDS_ZP4_100</t>
  </si>
  <si>
    <t>TDS_ZPB_0</t>
  </si>
  <si>
    <t>TDS_ZPB_50</t>
  </si>
  <si>
    <t>TDS_ZPB_100</t>
  </si>
  <si>
    <t>TDS_ZP4_200</t>
  </si>
  <si>
    <t>TDS_ZP4_300</t>
  </si>
  <si>
    <t>TDS_ZPB_150</t>
  </si>
  <si>
    <t>BMET_Z8mix_50</t>
  </si>
  <si>
    <t>BMET_Z15mix_50</t>
  </si>
  <si>
    <t>BMET_Z15mix_100</t>
  </si>
  <si>
    <t>INTEL_MET_Z8mix_100</t>
  </si>
  <si>
    <t>INTEL_MET_Z10mix_50</t>
  </si>
  <si>
    <t>INTEL_MET_Z10mix_100</t>
  </si>
  <si>
    <t>SQ</t>
  </si>
  <si>
    <t>February 6, 2017</t>
  </si>
  <si>
    <t>Finished?</t>
  </si>
  <si>
    <t>Offset</t>
  </si>
  <si>
    <t>REF_lowZT_20</t>
  </si>
  <si>
    <t>Ab notes</t>
  </si>
  <si>
    <t>Z24mix_200</t>
  </si>
  <si>
    <t>Z37mix_200</t>
  </si>
  <si>
    <t>BMET_REF</t>
  </si>
  <si>
    <t>INTEL_MET_REF</t>
  </si>
  <si>
    <t>1xNA</t>
  </si>
  <si>
    <t>.55 x .225</t>
  </si>
  <si>
    <t>.55 x .226</t>
  </si>
  <si>
    <t>.55 x .227</t>
  </si>
  <si>
    <t>.55 x .228</t>
  </si>
  <si>
    <t>.55 x .229</t>
  </si>
  <si>
    <t>.55 x .230</t>
  </si>
  <si>
    <t>0.13 x 0.068</t>
  </si>
  <si>
    <t>0.13 x 0.069</t>
  </si>
  <si>
    <t>0.13 x 0.070</t>
  </si>
  <si>
    <t>0.13 x 0.071</t>
  </si>
  <si>
    <t>0.13 x 0.072</t>
  </si>
  <si>
    <t>0.13 x 0.073</t>
  </si>
  <si>
    <t>.15 x .24</t>
  </si>
  <si>
    <t>.606 x .96</t>
  </si>
  <si>
    <t>[]</t>
  </si>
  <si>
    <t>[4 -0.0193 5 -0.0129 6 0.0102 7 -0.0182 8 0.0783 9 -0.0918 10 -0.0156 11 -0.0241 12 -0.0043 13 0.0295 14 -0.0284 15 -0.0236 16 0.0290 17 0.0070 18 0.0177 19 0.0118 20 0.0150 21 -0.0016 22 0.0016 23 0.0064 24 0.0038 ]</t>
  </si>
  <si>
    <t>[4 -0.0386 5 -0.0258 6 0.0204 7 -0.0365 8 0.1567 9 -0.1835 10 -0.0311 11 -0.0483 12 -0.0086 13 0.0590 14 -0.0569 15 -0.0472 16 0.0580 17 0.0140 18 0.0354 19 0.0236 20 0.0300 21 -0.0032 22 0.0032 23 0.0129 24 0.0075 ]</t>
  </si>
  <si>
    <t>[4 -0.0580 5 -0.0386 6 0.0306 7 -0.0547 8 0.2350 9 -0.2753 10 -0.0467 11 -0.0724 12 -0.0129 13 0.0885 14 -0.0853 15 -0.0708 16 0.0869 17 0.0209 18 0.0531 19 0.0354 20 0.0451 21 -0.0048 22 0.0048 23 0.0193 24 0.0113 ]</t>
  </si>
  <si>
    <t>[4 -0.0404 5 -0.0269 6 0.0213 7 -0.0382 8 0.1639 9 -0.1920 10 -0.0326 11 -0.0505 12 -0.0090 13 0.0617 14 -0.0595 15 -0.0494 16 0.0606 17 0.0146 18 0.0370 19 0.0247 20 0.0314 21 -0.0034 22 0.0034 23 0.0135 24 0.0079 ]</t>
  </si>
  <si>
    <t>[4 -0.0808 5 -0.0539 6 0.0427 7 -0.0763 8 0.3278 9 -0.3839 10 -0.0651 11 -0.1010 12 -0.0180 13 0.1235 14 -0.1190 15 -0.0988 16 0.1212 17 0.0292 18 0.0741 19 0.0494 20 0.0629 21 -0.0067 22 0.0067 23 0.0269 24 0.0157 ]</t>
  </si>
  <si>
    <t>[4 -0.1212 5 -0.0808 6 0.0640 7 -0.1145 8 0.4917 9 -0.5759 10 -0.0977 11 -0.1515 12 -0.0269 13 0.1852 14 -0.1785 15 -0.1482 16 0.1819 17 0.0438 18 0.1111 19 0.0741 20 0.0943 21 -0.0101 22 0.0101 23 0.0404 24 0.0236 ]</t>
  </si>
  <si>
    <t>[4 -0.0360 5 -0.0240 6 0.0190 7 -0.0340 8 0.1461 9 -0.1711 10 -0.0290 11 -0.0450 12 -0.0080 13 0.0550 14 -0.0530 15 -0.0440 16 0.0540 17 0.0130 18 0.0330 19 0.0220 20 0.0280 21 -0.0030 22 0.0030 23 0.0120 24 0.0070 ]</t>
  </si>
  <si>
    <t>[4 -0.0180 5 -0.0120 6 0.0095 7 -0.0170 8 0.0730 9 -0.0855 10 -0.0145 11 -0.0225 12 -0.0040 13 0.0275 14 -0.0265 15 -0.0220 16 0.0270 17 0.0065 18 0.0165 19 0.0110 20 0.0140 21 -0.0015 22 0.0015 23 0.0060 24 0.0035 ]</t>
  </si>
  <si>
    <t>[4 -0.0540 5 -0.0360 6 0.0285 7 -0.0510 8 0.2191 9 -0.2566 10 -0.0435 11 -0.0675 12 -0.0120 13 0.0825 14 -0.0795 15 -0.0660 16 0.0810 17 0.0195 18 0.0495 19 0.0330 20 0.0420 21 -0.0045 22 0.0045 23 0.0180 24 0.0105 ]</t>
  </si>
  <si>
    <t>[4 0.0770 5 -0.0770 6 0.0385 7 0.0192 8 0.0385 ]</t>
  </si>
  <si>
    <t>[4 0.1540 5 -0.1540 6 0.0770 7 0.0385 8 0.0770 ]</t>
  </si>
  <si>
    <t>[4 0.0708 5 0.0472 6 -0.0708 7 0.0354 8 0.0236 9 0.0354 10 -0.0236 11 -0.0236 12 0.0118 13 0.0118 14 -0.0118 15 0.0236 ]</t>
  </si>
  <si>
    <t>[4 0.1417 5 0.0944 6 -0.1417 7 0.0708 8 0.0472 9 0.0708 10 -0.0472 11 -0.0472 12 0.0236 13 0.0236 14 -0.0236 15 0.0472 ]</t>
  </si>
  <si>
    <t>[4 -0.0906 5 0.0526 6 0.1165 7 0.0341 8 0.0703 9 0.0481 10 -0.0195 11 0.0184 12 -0.0478 13 0.0524 14 -0.0656 15 -0.0592 16 -0.0434 17 -0.1526 18 0.0720 19 0.0157 20 -0.0351 21 0.0612 22 -0.0734 23 -0.0042 24 -0.0095 ]</t>
  </si>
  <si>
    <t>[4 -0.1813 5 0.1051 6 0.2331 7 0.0682 8 0.1405 9 0.0961 10 -0.0390 11 0.0368 12 -0.0957 13 0.1048 14 -0.1312 15 -0.1184 16 -0.0868 17 -0.3052 18 0.1440 19 0.0314 20 -0.0702 21 0.1224 22 -0.1468 23 -0.0084 24 -0.0190 ]</t>
  </si>
  <si>
    <t>[4 0.0719 5 -0.0719 6 0.0359 7 0.0180 8 0.0359 9 -0.0359 10 -0.0359 ]</t>
  </si>
  <si>
    <t>[4 0.1437 5 -0.1437 6 0.0719 7 0.0359 8 0.0719 9 -0.0719 10 -0.0719 ]</t>
  </si>
  <si>
    <t>W_ISO_f500_CRA6</t>
  </si>
  <si>
    <t>Window</t>
  </si>
  <si>
    <t>WTZP1_f320</t>
  </si>
  <si>
    <t>WTZP234_f320</t>
  </si>
  <si>
    <t>WTZPB_f320</t>
  </si>
  <si>
    <t>W_ISO_f360_CRA8</t>
  </si>
  <si>
    <t>W_ANA_f360_CRA6</t>
  </si>
  <si>
    <t>W_ANA_f320_CRA6</t>
  </si>
  <si>
    <t>W_ANA_f275_CRA6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</si>
</sst>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26" x14ac:knownFonts="1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57"/>
      <name val="Verdana"/>
      <family val="2"/>
    </font>
    <font>
      <sz val="10"/>
      <color indexed="12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b/>
      <sz val="10"/>
      <color indexed="12"/>
      <name val="Verdana"/>
      <family val="2"/>
    </font>
    <font>
      <b/>
      <sz val="12"/>
      <name val="Verdana"/>
    </font>
    <font>
      <b/>
      <sz val="10"/>
      <color indexed="43"/>
      <name val="Verdana"/>
      <family val="2"/>
    </font>
    <font>
      <sz val="10"/>
      <color indexed="55"/>
      <name val="Verdana"/>
    </font>
    <font>
      <b/>
      <sz val="10"/>
      <color indexed="55"/>
      <name val="Verdana"/>
    </font>
    <font>
      <sz val="10"/>
      <color indexed="10"/>
      <name val="Verdana"/>
    </font>
    <font>
      <b/>
      <sz val="10"/>
      <color indexed="17"/>
      <name val="Verdana"/>
    </font>
    <font>
      <b/>
      <i/>
      <sz val="12"/>
      <name val="Verdana"/>
    </font>
    <font>
      <b/>
      <sz val="12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color rgb="FFFF6600"/>
      <name val="Verdana"/>
    </font>
    <font>
      <b/>
      <sz val="10"/>
      <color theme="0" tint="-0.249977111117893"/>
      <name val="Verdana"/>
    </font>
    <font>
      <b/>
      <sz val="10"/>
      <color rgb="FFFF0000"/>
      <name val="Verdana"/>
    </font>
    <font>
      <b/>
      <sz val="10"/>
      <color theme="4" tint="-0.249977111117893"/>
      <name val="Verdana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0">
    <xf numFmtId="0" fontId="0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9" borderId="0" xfId="0" applyFont="1" applyFill="1"/>
    <xf numFmtId="2" fontId="13" fillId="9" borderId="0" xfId="0" applyNumberFormat="1" applyFont="1" applyFill="1"/>
    <xf numFmtId="0" fontId="13" fillId="9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/>
    <xf numFmtId="166" fontId="3" fillId="0" borderId="0" xfId="1" applyNumberFormat="1"/>
    <xf numFmtId="0" fontId="2" fillId="0" borderId="1" xfId="1" applyFont="1" applyBorder="1"/>
    <xf numFmtId="0" fontId="2" fillId="0" borderId="1" xfId="1" applyFont="1" applyFill="1" applyBorder="1"/>
    <xf numFmtId="0" fontId="14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/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 vertical="top"/>
    </xf>
    <xf numFmtId="0" fontId="15" fillId="0" borderId="0" xfId="0" applyFont="1" applyFill="1" applyAlignment="1">
      <alignment horizontal="center" vertical="top"/>
    </xf>
    <xf numFmtId="164" fontId="14" fillId="0" borderId="0" xfId="0" applyNumberFormat="1" applyFont="1" applyFill="1" applyAlignment="1">
      <alignment horizontal="center" vertical="top"/>
    </xf>
    <xf numFmtId="0" fontId="14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1" xfId="0" applyFont="1" applyBorder="1"/>
    <xf numFmtId="0" fontId="11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2" fillId="3" borderId="0" xfId="0" applyFont="1" applyFill="1"/>
    <xf numFmtId="0" fontId="17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7" fillId="8" borderId="0" xfId="0" applyFont="1" applyFill="1"/>
    <xf numFmtId="0" fontId="2" fillId="8" borderId="0" xfId="0" applyFont="1" applyFill="1"/>
    <xf numFmtId="164" fontId="2" fillId="8" borderId="0" xfId="0" applyNumberFormat="1" applyFont="1" applyFill="1"/>
    <xf numFmtId="0" fontId="17" fillId="2" borderId="0" xfId="0" applyFont="1" applyFill="1"/>
    <xf numFmtId="0" fontId="17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Border="1"/>
    <xf numFmtId="0" fontId="2" fillId="6" borderId="0" xfId="0" applyFont="1" applyFill="1"/>
    <xf numFmtId="0" fontId="11" fillId="6" borderId="0" xfId="0" applyFont="1" applyFill="1"/>
    <xf numFmtId="0" fontId="11" fillId="7" borderId="0" xfId="0" applyFont="1" applyFill="1"/>
    <xf numFmtId="0" fontId="2" fillId="7" borderId="0" xfId="0" applyFont="1" applyFill="1"/>
    <xf numFmtId="2" fontId="2" fillId="7" borderId="0" xfId="0" applyNumberFormat="1" applyFont="1" applyFill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22" fillId="10" borderId="6" xfId="0" applyFont="1" applyFill="1" applyBorder="1" applyAlignment="1">
      <alignment horizontal="center"/>
    </xf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3" borderId="0" xfId="0" applyFont="1" applyFill="1"/>
    <xf numFmtId="0" fontId="11" fillId="13" borderId="0" xfId="0" applyFont="1" applyFill="1"/>
    <xf numFmtId="0" fontId="23" fillId="0" borderId="0" xfId="0" applyFont="1"/>
    <xf numFmtId="0" fontId="24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13" fillId="11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/>
    <xf numFmtId="0" fontId="2" fillId="1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FFFCE"/>
      <rgbColor rgb="00FFFFC5"/>
      <rgbColor rgb="00CBE4FF"/>
      <rgbColor rgb="00FDD9ED"/>
      <rgbColor rgb="00CC99FF"/>
      <rgbColor rgb="00FFDFC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'Layout 2013-11-12'!$D$8:$D$81</c:f>
              <c:numCache>
                <c:formatCode>General</c:formatCode>
                <c:ptCount val="74"/>
                <c:pt idx="0">
                  <c:v>100.0</c:v>
                </c:pt>
                <c:pt idx="1">
                  <c:v>260.0</c:v>
                </c:pt>
                <c:pt idx="2">
                  <c:v>420.0</c:v>
                </c:pt>
                <c:pt idx="3">
                  <c:v>580.0</c:v>
                </c:pt>
                <c:pt idx="4">
                  <c:v>740.0</c:v>
                </c:pt>
                <c:pt idx="5">
                  <c:v>900.0</c:v>
                </c:pt>
                <c:pt idx="6">
                  <c:v>1060.0</c:v>
                </c:pt>
                <c:pt idx="7">
                  <c:v>1220.0</c:v>
                </c:pt>
                <c:pt idx="8">
                  <c:v>1460.0</c:v>
                </c:pt>
                <c:pt idx="9">
                  <c:v>1620.0</c:v>
                </c:pt>
                <c:pt idx="10">
                  <c:v>1780.0</c:v>
                </c:pt>
                <c:pt idx="11">
                  <c:v>1940.0</c:v>
                </c:pt>
                <c:pt idx="12">
                  <c:v>2100.0</c:v>
                </c:pt>
                <c:pt idx="13">
                  <c:v>2260.0</c:v>
                </c:pt>
                <c:pt idx="14">
                  <c:v>2420.0</c:v>
                </c:pt>
                <c:pt idx="15">
                  <c:v>2580.0</c:v>
                </c:pt>
                <c:pt idx="16">
                  <c:v>2820.0</c:v>
                </c:pt>
                <c:pt idx="17">
                  <c:v>2980.0</c:v>
                </c:pt>
                <c:pt idx="18">
                  <c:v>3140.0</c:v>
                </c:pt>
                <c:pt idx="19">
                  <c:v>3300.0</c:v>
                </c:pt>
                <c:pt idx="20">
                  <c:v>3460.0</c:v>
                </c:pt>
                <c:pt idx="21">
                  <c:v>3620.0</c:v>
                </c:pt>
                <c:pt idx="23">
                  <c:v>3900.0</c:v>
                </c:pt>
                <c:pt idx="26">
                  <c:v>100.0</c:v>
                </c:pt>
                <c:pt idx="27">
                  <c:v>260.0</c:v>
                </c:pt>
                <c:pt idx="28">
                  <c:v>420.0</c:v>
                </c:pt>
                <c:pt idx="29">
                  <c:v>580.0</c:v>
                </c:pt>
                <c:pt idx="30">
                  <c:v>820.0</c:v>
                </c:pt>
                <c:pt idx="31">
                  <c:v>980.0</c:v>
                </c:pt>
                <c:pt idx="32">
                  <c:v>1140.0</c:v>
                </c:pt>
                <c:pt idx="33">
                  <c:v>1300.0</c:v>
                </c:pt>
                <c:pt idx="34">
                  <c:v>1460.0</c:v>
                </c:pt>
                <c:pt idx="35">
                  <c:v>1620.0</c:v>
                </c:pt>
                <c:pt idx="36">
                  <c:v>1780.0</c:v>
                </c:pt>
                <c:pt idx="37">
                  <c:v>2020.0</c:v>
                </c:pt>
                <c:pt idx="38">
                  <c:v>2180.0</c:v>
                </c:pt>
                <c:pt idx="39">
                  <c:v>2340.0</c:v>
                </c:pt>
                <c:pt idx="40">
                  <c:v>2580.0</c:v>
                </c:pt>
                <c:pt idx="41">
                  <c:v>2740.0</c:v>
                </c:pt>
                <c:pt idx="42">
                  <c:v>2900.0</c:v>
                </c:pt>
                <c:pt idx="43">
                  <c:v>3060.0</c:v>
                </c:pt>
                <c:pt idx="44">
                  <c:v>3220.0</c:v>
                </c:pt>
                <c:pt idx="45">
                  <c:v>3460.0</c:v>
                </c:pt>
                <c:pt idx="46">
                  <c:v>3620.0</c:v>
                </c:pt>
                <c:pt idx="47">
                  <c:v>3780.0</c:v>
                </c:pt>
                <c:pt idx="51">
                  <c:v>100.0</c:v>
                </c:pt>
                <c:pt idx="52">
                  <c:v>260.0</c:v>
                </c:pt>
                <c:pt idx="53">
                  <c:v>420.0</c:v>
                </c:pt>
                <c:pt idx="54">
                  <c:v>580.0</c:v>
                </c:pt>
                <c:pt idx="55">
                  <c:v>820.0</c:v>
                </c:pt>
                <c:pt idx="56">
                  <c:v>980.0</c:v>
                </c:pt>
                <c:pt idx="57">
                  <c:v>1140.0</c:v>
                </c:pt>
                <c:pt idx="58">
                  <c:v>1300.0</c:v>
                </c:pt>
                <c:pt idx="59">
                  <c:v>1540.0</c:v>
                </c:pt>
                <c:pt idx="60">
                  <c:v>1700.0</c:v>
                </c:pt>
                <c:pt idx="61">
                  <c:v>1860.0</c:v>
                </c:pt>
                <c:pt idx="62">
                  <c:v>2020.0</c:v>
                </c:pt>
                <c:pt idx="63">
                  <c:v>2260.0</c:v>
                </c:pt>
                <c:pt idx="64">
                  <c:v>2420.0</c:v>
                </c:pt>
                <c:pt idx="65">
                  <c:v>2580.0</c:v>
                </c:pt>
                <c:pt idx="66">
                  <c:v>2740.0</c:v>
                </c:pt>
                <c:pt idx="67">
                  <c:v>2900.0</c:v>
                </c:pt>
                <c:pt idx="68">
                  <c:v>3060.0</c:v>
                </c:pt>
                <c:pt idx="69">
                  <c:v>3300.0</c:v>
                </c:pt>
                <c:pt idx="70">
                  <c:v>3460.0</c:v>
                </c:pt>
              </c:numCache>
            </c:numRef>
          </c:xVal>
          <c:yVal>
            <c:numRef>
              <c:f>'Layout 2013-11-12'!$E$8:$E$81</c:f>
              <c:numCache>
                <c:formatCode>General</c:formatCode>
                <c:ptCount val="74"/>
                <c:pt idx="0">
                  <c:v>135.0</c:v>
                </c:pt>
                <c:pt idx="1">
                  <c:v>135.0</c:v>
                </c:pt>
                <c:pt idx="2">
                  <c:v>135.0</c:v>
                </c:pt>
                <c:pt idx="3">
                  <c:v>135.0</c:v>
                </c:pt>
                <c:pt idx="4">
                  <c:v>135.0</c:v>
                </c:pt>
                <c:pt idx="5">
                  <c:v>135.0</c:v>
                </c:pt>
                <c:pt idx="6">
                  <c:v>135.0</c:v>
                </c:pt>
                <c:pt idx="7">
                  <c:v>135.0</c:v>
                </c:pt>
                <c:pt idx="8">
                  <c:v>135.0</c:v>
                </c:pt>
                <c:pt idx="9">
                  <c:v>135.0</c:v>
                </c:pt>
                <c:pt idx="10">
                  <c:v>135.0</c:v>
                </c:pt>
                <c:pt idx="11">
                  <c:v>135.0</c:v>
                </c:pt>
                <c:pt idx="12">
                  <c:v>135.0</c:v>
                </c:pt>
                <c:pt idx="13">
                  <c:v>135.0</c:v>
                </c:pt>
                <c:pt idx="14">
                  <c:v>135.0</c:v>
                </c:pt>
                <c:pt idx="15">
                  <c:v>135.0</c:v>
                </c:pt>
                <c:pt idx="16">
                  <c:v>135.0</c:v>
                </c:pt>
                <c:pt idx="17">
                  <c:v>135.0</c:v>
                </c:pt>
                <c:pt idx="18">
                  <c:v>135.0</c:v>
                </c:pt>
                <c:pt idx="19">
                  <c:v>135.0</c:v>
                </c:pt>
                <c:pt idx="20">
                  <c:v>135.0</c:v>
                </c:pt>
                <c:pt idx="21">
                  <c:v>135.0</c:v>
                </c:pt>
                <c:pt idx="23">
                  <c:v>135.0</c:v>
                </c:pt>
                <c:pt idx="26">
                  <c:v>1235.0</c:v>
                </c:pt>
                <c:pt idx="27">
                  <c:v>1235.0</c:v>
                </c:pt>
                <c:pt idx="28">
                  <c:v>1235.0</c:v>
                </c:pt>
                <c:pt idx="29">
                  <c:v>1235.0</c:v>
                </c:pt>
                <c:pt idx="30">
                  <c:v>1235.0</c:v>
                </c:pt>
                <c:pt idx="31">
                  <c:v>1235.0</c:v>
                </c:pt>
                <c:pt idx="32">
                  <c:v>1235.0</c:v>
                </c:pt>
                <c:pt idx="33">
                  <c:v>1235.0</c:v>
                </c:pt>
                <c:pt idx="34">
                  <c:v>1235.0</c:v>
                </c:pt>
                <c:pt idx="35">
                  <c:v>1235.0</c:v>
                </c:pt>
                <c:pt idx="36">
                  <c:v>1235.0</c:v>
                </c:pt>
                <c:pt idx="37">
                  <c:v>1235.0</c:v>
                </c:pt>
                <c:pt idx="38">
                  <c:v>1235.0</c:v>
                </c:pt>
                <c:pt idx="39">
                  <c:v>1235.0</c:v>
                </c:pt>
                <c:pt idx="40">
                  <c:v>1235.0</c:v>
                </c:pt>
                <c:pt idx="41">
                  <c:v>1235.0</c:v>
                </c:pt>
                <c:pt idx="42">
                  <c:v>1235.0</c:v>
                </c:pt>
                <c:pt idx="43">
                  <c:v>1235.0</c:v>
                </c:pt>
                <c:pt idx="44">
                  <c:v>1235.0</c:v>
                </c:pt>
                <c:pt idx="45">
                  <c:v>1235.0</c:v>
                </c:pt>
                <c:pt idx="46">
                  <c:v>1235.0</c:v>
                </c:pt>
                <c:pt idx="47">
                  <c:v>1235.0</c:v>
                </c:pt>
                <c:pt idx="51">
                  <c:v>2335.0</c:v>
                </c:pt>
                <c:pt idx="52">
                  <c:v>2335.0</c:v>
                </c:pt>
                <c:pt idx="53">
                  <c:v>2335.0</c:v>
                </c:pt>
                <c:pt idx="54">
                  <c:v>2335.0</c:v>
                </c:pt>
                <c:pt idx="55">
                  <c:v>2335.0</c:v>
                </c:pt>
                <c:pt idx="56">
                  <c:v>2335.0</c:v>
                </c:pt>
                <c:pt idx="57">
                  <c:v>2335.0</c:v>
                </c:pt>
                <c:pt idx="58">
                  <c:v>2335.0</c:v>
                </c:pt>
                <c:pt idx="59">
                  <c:v>2335.0</c:v>
                </c:pt>
                <c:pt idx="60">
                  <c:v>2335.0</c:v>
                </c:pt>
                <c:pt idx="61">
                  <c:v>2335.0</c:v>
                </c:pt>
                <c:pt idx="62">
                  <c:v>2335.0</c:v>
                </c:pt>
                <c:pt idx="63">
                  <c:v>2335.0</c:v>
                </c:pt>
                <c:pt idx="64">
                  <c:v>2335.0</c:v>
                </c:pt>
                <c:pt idx="65">
                  <c:v>2335.0</c:v>
                </c:pt>
                <c:pt idx="66">
                  <c:v>2335.0</c:v>
                </c:pt>
                <c:pt idx="67">
                  <c:v>2335.0</c:v>
                </c:pt>
                <c:pt idx="68">
                  <c:v>2335.0</c:v>
                </c:pt>
                <c:pt idx="69">
                  <c:v>2335.0</c:v>
                </c:pt>
                <c:pt idx="70">
                  <c:v>2335.0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57304"/>
        <c:axId val="-2103555432"/>
      </c:scatterChart>
      <c:valAx>
        <c:axId val="-2103557304"/>
        <c:scaling>
          <c:orientation val="minMax"/>
          <c:max val="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3555432"/>
        <c:crosses val="autoZero"/>
        <c:crossBetween val="midCat"/>
      </c:valAx>
      <c:valAx>
        <c:axId val="-2103555432"/>
        <c:scaling>
          <c:orientation val="minMax"/>
          <c:max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5573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429260</xdr:colOff>
      <xdr:row>7</xdr:row>
      <xdr:rowOff>50800</xdr:rowOff>
    </xdr:from>
    <xdr:to>
      <xdr:col>22</xdr:col>
      <xdr:colOff>508000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990600</xdr:colOff>
      <xdr:row>10</xdr:row>
      <xdr:rowOff>0</xdr:rowOff>
    </xdr:from>
    <xdr:ext cx="1752600" cy="338554"/>
    <xdr:sp macro="" textlink="">
      <xdr:nvSpPr>
        <xdr:cNvPr id="24" name="TextBox 23"/>
        <xdr:cNvSpPr txBox="1"/>
      </xdr:nvSpPr>
      <xdr:spPr>
        <a:xfrm>
          <a:off x="11417300" y="18415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3</a:t>
          </a:r>
        </a:p>
      </xdr:txBody>
    </xdr:sp>
    <xdr:clientData/>
  </xdr:oneCellAnchor>
  <xdr:oneCellAnchor>
    <xdr:from>
      <xdr:col>13</xdr:col>
      <xdr:colOff>1016000</xdr:colOff>
      <xdr:row>17</xdr:row>
      <xdr:rowOff>76200</xdr:rowOff>
    </xdr:from>
    <xdr:ext cx="1752600" cy="338554"/>
    <xdr:sp macro="" textlink="">
      <xdr:nvSpPr>
        <xdr:cNvPr id="25" name="TextBox 24"/>
        <xdr:cNvSpPr txBox="1"/>
      </xdr:nvSpPr>
      <xdr:spPr>
        <a:xfrm>
          <a:off x="11442700" y="30734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2</a:t>
          </a:r>
        </a:p>
      </xdr:txBody>
    </xdr:sp>
    <xdr:clientData/>
  </xdr:oneCellAnchor>
  <xdr:oneCellAnchor>
    <xdr:from>
      <xdr:col>13</xdr:col>
      <xdr:colOff>990600</xdr:colOff>
      <xdr:row>25</xdr:row>
      <xdr:rowOff>25400</xdr:rowOff>
    </xdr:from>
    <xdr:ext cx="1752600" cy="338554"/>
    <xdr:sp macro="" textlink="">
      <xdr:nvSpPr>
        <xdr:cNvPr id="26" name="TextBox 25"/>
        <xdr:cNvSpPr txBox="1"/>
      </xdr:nvSpPr>
      <xdr:spPr>
        <a:xfrm>
          <a:off x="11417300" y="4343400"/>
          <a:ext cx="1752600" cy="3385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/>
          <a:r>
            <a:rPr lang="en-US" sz="1600" b="1"/>
            <a:t>Membrane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tabSelected="1" topLeftCell="A39" workbookViewId="0">
      <selection activeCell="M51" sqref="M51"/>
    </sheetView>
  </sheetViews>
  <sheetFormatPr baseColWidth="10" defaultColWidth="11" defaultRowHeight="13" x14ac:dyDescent="0"/>
  <cols>
    <col min="1" max="1" width="6.140625" style="42" customWidth="1"/>
    <col min="2" max="2" width="21.85546875" style="42" customWidth="1"/>
    <col min="3" max="3" width="10.28515625" style="42" customWidth="1"/>
    <col min="4" max="4" width="9.140625" style="42" customWidth="1"/>
    <col min="5" max="5" width="8.7109375" style="42" customWidth="1"/>
    <col min="6" max="6" width="8.5703125" style="42" customWidth="1"/>
    <col min="7" max="7" width="11.85546875" style="42" customWidth="1"/>
    <col min="8" max="8" width="10.42578125" style="42" customWidth="1"/>
    <col min="9" max="9" width="19.85546875" style="94" customWidth="1"/>
    <col min="10" max="10" width="10.140625" style="42" customWidth="1"/>
    <col min="11" max="11" width="12.28515625" style="42" customWidth="1"/>
    <col min="12" max="12" width="14.28515625" style="17" customWidth="1"/>
    <col min="13" max="13" width="41.5703125" style="42" customWidth="1"/>
    <col min="14" max="14" width="19.28515625" style="42" customWidth="1"/>
    <col min="15" max="15" width="16.140625" style="42" customWidth="1"/>
    <col min="16" max="16" width="8.85546875" style="42" customWidth="1"/>
    <col min="17" max="17" width="10" style="42" customWidth="1"/>
    <col min="18" max="20" width="11" style="42"/>
    <col min="21" max="21" width="6.5703125" style="42" customWidth="1"/>
    <col min="22" max="22" width="9" style="42" customWidth="1"/>
    <col min="23" max="23" width="8.28515625" style="42" customWidth="1"/>
    <col min="24" max="24" width="9.85546875" style="42" customWidth="1"/>
    <col min="25" max="25" width="8.7109375" style="42" customWidth="1"/>
    <col min="26" max="16384" width="11" style="42"/>
  </cols>
  <sheetData>
    <row r="1" spans="1:13" ht="23">
      <c r="A1" s="11" t="s">
        <v>42</v>
      </c>
      <c r="B1" s="11"/>
    </row>
    <row r="2" spans="1:13" ht="18">
      <c r="A2" s="10" t="s">
        <v>41</v>
      </c>
      <c r="B2" s="10"/>
    </row>
    <row r="3" spans="1:13">
      <c r="A3" s="43" t="s">
        <v>132</v>
      </c>
      <c r="B3" s="43"/>
    </row>
    <row r="4" spans="1:13">
      <c r="F4" s="42" t="s">
        <v>19</v>
      </c>
      <c r="H4" s="42" t="s">
        <v>20</v>
      </c>
    </row>
    <row r="5" spans="1:13">
      <c r="F5" s="42">
        <v>160</v>
      </c>
      <c r="H5" s="42">
        <f>F5+80</f>
        <v>240</v>
      </c>
      <c r="J5" s="42">
        <f>0.55/8</f>
        <v>6.8750000000000006E-2</v>
      </c>
    </row>
    <row r="6" spans="1:13">
      <c r="J6" s="17"/>
    </row>
    <row r="7" spans="1:13">
      <c r="A7" s="37" t="s">
        <v>18</v>
      </c>
      <c r="B7" s="37" t="s">
        <v>63</v>
      </c>
      <c r="C7" s="37" t="s">
        <v>15</v>
      </c>
      <c r="D7" s="37" t="s">
        <v>16</v>
      </c>
      <c r="E7" s="37" t="s">
        <v>17</v>
      </c>
      <c r="F7" s="37" t="s">
        <v>21</v>
      </c>
      <c r="G7" s="37" t="s">
        <v>141</v>
      </c>
      <c r="H7" s="37" t="s">
        <v>39</v>
      </c>
      <c r="I7" s="95" t="s">
        <v>175</v>
      </c>
      <c r="J7" s="37" t="s">
        <v>134</v>
      </c>
      <c r="K7" s="37" t="s">
        <v>40</v>
      </c>
      <c r="L7" s="44" t="s">
        <v>133</v>
      </c>
      <c r="M7" s="42" t="s">
        <v>136</v>
      </c>
    </row>
    <row r="8" spans="1:13">
      <c r="A8" s="45">
        <v>1</v>
      </c>
      <c r="B8" s="45" t="s">
        <v>84</v>
      </c>
      <c r="C8" s="45">
        <v>1</v>
      </c>
      <c r="D8" s="45">
        <v>100</v>
      </c>
      <c r="E8" s="45">
        <v>135</v>
      </c>
      <c r="F8" s="45" t="s">
        <v>142</v>
      </c>
      <c r="G8" s="45" t="s">
        <v>148</v>
      </c>
      <c r="H8" s="45">
        <v>275</v>
      </c>
      <c r="I8" s="96" t="s">
        <v>182</v>
      </c>
      <c r="J8" s="45">
        <v>0</v>
      </c>
      <c r="K8" s="45">
        <v>6</v>
      </c>
      <c r="L8" s="80"/>
      <c r="M8" s="81"/>
    </row>
    <row r="9" spans="1:13">
      <c r="A9" s="45">
        <f t="shared" ref="A9:A24" si="0">A8+1</f>
        <v>2</v>
      </c>
      <c r="B9" s="45" t="s">
        <v>85</v>
      </c>
      <c r="C9" s="45">
        <f>C8</f>
        <v>1</v>
      </c>
      <c r="D9" s="45">
        <f t="shared" ref="D9:D14" si="1">D8+$F$5</f>
        <v>260</v>
      </c>
      <c r="E9" s="45">
        <f>E8</f>
        <v>135</v>
      </c>
      <c r="F9" s="45" t="s">
        <v>143</v>
      </c>
      <c r="G9" s="45" t="s">
        <v>149</v>
      </c>
      <c r="H9" s="45">
        <v>320</v>
      </c>
      <c r="I9" s="96" t="s">
        <v>181</v>
      </c>
      <c r="J9" s="45">
        <v>0</v>
      </c>
      <c r="K9" s="45">
        <v>6</v>
      </c>
      <c r="L9" s="80"/>
      <c r="M9" s="81"/>
    </row>
    <row r="10" spans="1:13">
      <c r="A10" s="45">
        <f t="shared" si="0"/>
        <v>3</v>
      </c>
      <c r="B10" s="45" t="s">
        <v>85</v>
      </c>
      <c r="C10" s="45">
        <v>1</v>
      </c>
      <c r="D10" s="45">
        <f t="shared" si="1"/>
        <v>420</v>
      </c>
      <c r="E10" s="45">
        <f>E9</f>
        <v>135</v>
      </c>
      <c r="F10" s="45" t="s">
        <v>144</v>
      </c>
      <c r="G10" s="45" t="s">
        <v>150</v>
      </c>
      <c r="H10" s="45">
        <v>320</v>
      </c>
      <c r="I10" s="96" t="s">
        <v>181</v>
      </c>
      <c r="J10" s="45">
        <v>0</v>
      </c>
      <c r="K10" s="45">
        <v>6</v>
      </c>
      <c r="L10" s="80"/>
      <c r="M10" s="81"/>
    </row>
    <row r="11" spans="1:13">
      <c r="A11" s="45">
        <f t="shared" si="0"/>
        <v>4</v>
      </c>
      <c r="B11" s="45" t="s">
        <v>86</v>
      </c>
      <c r="C11" s="45">
        <v>1</v>
      </c>
      <c r="D11" s="45">
        <f t="shared" si="1"/>
        <v>580</v>
      </c>
      <c r="E11" s="45">
        <f>E10</f>
        <v>135</v>
      </c>
      <c r="F11" s="45" t="s">
        <v>145</v>
      </c>
      <c r="G11" s="45" t="s">
        <v>151</v>
      </c>
      <c r="H11" s="45">
        <v>360</v>
      </c>
      <c r="I11" s="96" t="s">
        <v>180</v>
      </c>
      <c r="J11" s="45">
        <v>0</v>
      </c>
      <c r="K11" s="45">
        <v>6</v>
      </c>
      <c r="L11" s="80"/>
      <c r="M11" s="81"/>
    </row>
    <row r="12" spans="1:13">
      <c r="A12" s="45">
        <f t="shared" si="0"/>
        <v>5</v>
      </c>
      <c r="B12" s="45" t="s">
        <v>86</v>
      </c>
      <c r="C12" s="45">
        <v>1</v>
      </c>
      <c r="D12" s="45">
        <f t="shared" si="1"/>
        <v>740</v>
      </c>
      <c r="E12" s="46">
        <f>E11</f>
        <v>135</v>
      </c>
      <c r="F12" s="45" t="s">
        <v>146</v>
      </c>
      <c r="G12" s="45" t="s">
        <v>152</v>
      </c>
      <c r="H12" s="45">
        <v>360</v>
      </c>
      <c r="I12" s="96" t="s">
        <v>180</v>
      </c>
      <c r="J12" s="45">
        <v>0</v>
      </c>
      <c r="K12" s="45">
        <v>6</v>
      </c>
      <c r="L12" s="80"/>
      <c r="M12" s="81"/>
    </row>
    <row r="13" spans="1:13">
      <c r="A13" s="45">
        <f t="shared" si="0"/>
        <v>6</v>
      </c>
      <c r="B13" s="45" t="s">
        <v>86</v>
      </c>
      <c r="C13" s="45">
        <v>1</v>
      </c>
      <c r="D13" s="45">
        <f t="shared" si="1"/>
        <v>900</v>
      </c>
      <c r="E13" s="46">
        <f>E12</f>
        <v>135</v>
      </c>
      <c r="F13" s="45" t="s">
        <v>147</v>
      </c>
      <c r="G13" s="45" t="s">
        <v>153</v>
      </c>
      <c r="H13" s="45">
        <v>360</v>
      </c>
      <c r="I13" s="96" t="s">
        <v>180</v>
      </c>
      <c r="J13" s="45">
        <v>0</v>
      </c>
      <c r="K13" s="45">
        <v>6</v>
      </c>
      <c r="L13" s="80"/>
      <c r="M13" s="81"/>
    </row>
    <row r="14" spans="1:13">
      <c r="A14" s="45">
        <f t="shared" si="0"/>
        <v>7</v>
      </c>
      <c r="B14" s="45" t="s">
        <v>87</v>
      </c>
      <c r="C14" s="46">
        <f>C9</f>
        <v>1</v>
      </c>
      <c r="D14" s="46">
        <f t="shared" si="1"/>
        <v>1060</v>
      </c>
      <c r="E14" s="46">
        <f>E9</f>
        <v>135</v>
      </c>
      <c r="F14" s="45">
        <v>0.5</v>
      </c>
      <c r="G14" s="45">
        <f>F14/4</f>
        <v>0.125</v>
      </c>
      <c r="H14" s="45">
        <v>360</v>
      </c>
      <c r="I14" s="96" t="s">
        <v>179</v>
      </c>
      <c r="J14" s="45">
        <v>0</v>
      </c>
      <c r="K14" s="84">
        <v>8</v>
      </c>
      <c r="L14" s="80"/>
      <c r="M14" s="81"/>
    </row>
    <row r="15" spans="1:13">
      <c r="A15" s="46">
        <f t="shared" si="0"/>
        <v>8</v>
      </c>
      <c r="B15" s="46" t="s">
        <v>77</v>
      </c>
      <c r="C15" s="46">
        <f>C14</f>
        <v>1</v>
      </c>
      <c r="D15" s="46">
        <f t="shared" ref="D15:D23" si="2">D14+$F$5</f>
        <v>1220</v>
      </c>
      <c r="E15" s="46">
        <f t="shared" ref="E15:E21" si="3">E14</f>
        <v>135</v>
      </c>
      <c r="F15" s="85">
        <v>0.33</v>
      </c>
      <c r="G15" s="85">
        <f t="shared" ref="G15:G28" si="4">F15/4</f>
        <v>8.2500000000000004E-2</v>
      </c>
      <c r="H15" s="46">
        <v>500</v>
      </c>
      <c r="I15" s="97" t="s">
        <v>174</v>
      </c>
      <c r="J15" s="45">
        <v>0</v>
      </c>
      <c r="K15" s="45">
        <v>6</v>
      </c>
      <c r="L15" s="80"/>
      <c r="M15" s="81"/>
    </row>
    <row r="16" spans="1:13">
      <c r="A16" s="47">
        <f t="shared" si="0"/>
        <v>9</v>
      </c>
      <c r="B16" s="47" t="s">
        <v>88</v>
      </c>
      <c r="C16" s="47">
        <f>C15</f>
        <v>1</v>
      </c>
      <c r="D16" s="47">
        <f>D15+$H$5</f>
        <v>1460</v>
      </c>
      <c r="E16" s="47">
        <f t="shared" si="3"/>
        <v>135</v>
      </c>
      <c r="F16" s="86">
        <v>0.33</v>
      </c>
      <c r="G16" s="86">
        <f>F16/4</f>
        <v>8.2500000000000004E-2</v>
      </c>
      <c r="H16" s="47">
        <v>500</v>
      </c>
      <c r="I16" s="98" t="s">
        <v>174</v>
      </c>
      <c r="J16" s="47">
        <v>0</v>
      </c>
      <c r="K16" s="47">
        <v>6</v>
      </c>
      <c r="L16" s="80"/>
      <c r="M16" s="81"/>
    </row>
    <row r="17" spans="1:13">
      <c r="A17" s="47">
        <f t="shared" si="0"/>
        <v>10</v>
      </c>
      <c r="B17" s="47" t="s">
        <v>89</v>
      </c>
      <c r="C17" s="47">
        <f>C16</f>
        <v>1</v>
      </c>
      <c r="D17" s="47">
        <f t="shared" si="2"/>
        <v>1620</v>
      </c>
      <c r="E17" s="47">
        <f t="shared" si="3"/>
        <v>135</v>
      </c>
      <c r="F17" s="86">
        <v>0.33</v>
      </c>
      <c r="G17" s="86">
        <f t="shared" ref="G17:G23" si="5">F17/4</f>
        <v>8.2500000000000004E-2</v>
      </c>
      <c r="H17" s="47">
        <v>500</v>
      </c>
      <c r="I17" s="98" t="s">
        <v>174</v>
      </c>
      <c r="J17" s="47">
        <v>0</v>
      </c>
      <c r="K17" s="47">
        <v>6</v>
      </c>
      <c r="L17" s="80"/>
      <c r="M17" s="81"/>
    </row>
    <row r="18" spans="1:13">
      <c r="A18" s="47">
        <f t="shared" si="0"/>
        <v>11</v>
      </c>
      <c r="B18" s="47" t="s">
        <v>90</v>
      </c>
      <c r="C18" s="47">
        <v>1</v>
      </c>
      <c r="D18" s="47">
        <f t="shared" si="2"/>
        <v>1780</v>
      </c>
      <c r="E18" s="47">
        <f t="shared" si="3"/>
        <v>135</v>
      </c>
      <c r="F18" s="86">
        <v>0.33</v>
      </c>
      <c r="G18" s="86">
        <f t="shared" si="5"/>
        <v>8.2500000000000004E-2</v>
      </c>
      <c r="H18" s="47">
        <v>500</v>
      </c>
      <c r="I18" s="98" t="s">
        <v>174</v>
      </c>
      <c r="J18" s="47">
        <v>0</v>
      </c>
      <c r="K18" s="47">
        <v>6</v>
      </c>
      <c r="L18" s="80"/>
      <c r="M18" s="81"/>
    </row>
    <row r="19" spans="1:13">
      <c r="A19" s="47">
        <f t="shared" si="0"/>
        <v>12</v>
      </c>
      <c r="B19" s="47" t="s">
        <v>91</v>
      </c>
      <c r="C19" s="47">
        <v>1</v>
      </c>
      <c r="D19" s="47">
        <f t="shared" si="2"/>
        <v>1940</v>
      </c>
      <c r="E19" s="47">
        <f t="shared" si="3"/>
        <v>135</v>
      </c>
      <c r="F19" s="86">
        <v>0.33</v>
      </c>
      <c r="G19" s="86">
        <f t="shared" si="5"/>
        <v>8.2500000000000004E-2</v>
      </c>
      <c r="H19" s="47">
        <v>500</v>
      </c>
      <c r="I19" s="98" t="s">
        <v>174</v>
      </c>
      <c r="J19" s="47">
        <v>0</v>
      </c>
      <c r="K19" s="47">
        <v>6</v>
      </c>
      <c r="L19" s="80"/>
      <c r="M19" s="81"/>
    </row>
    <row r="20" spans="1:13" s="12" customFormat="1">
      <c r="A20" s="47">
        <f t="shared" si="0"/>
        <v>13</v>
      </c>
      <c r="B20" s="47" t="s">
        <v>92</v>
      </c>
      <c r="C20" s="47">
        <v>1</v>
      </c>
      <c r="D20" s="47">
        <f t="shared" si="2"/>
        <v>2100</v>
      </c>
      <c r="E20" s="47">
        <f t="shared" si="3"/>
        <v>135</v>
      </c>
      <c r="F20" s="86">
        <v>0.33</v>
      </c>
      <c r="G20" s="86">
        <f t="shared" si="5"/>
        <v>8.2500000000000004E-2</v>
      </c>
      <c r="H20" s="47">
        <v>500</v>
      </c>
      <c r="I20" s="98" t="s">
        <v>174</v>
      </c>
      <c r="J20" s="47">
        <v>0</v>
      </c>
      <c r="K20" s="47">
        <v>6</v>
      </c>
      <c r="L20" s="80"/>
      <c r="M20" s="82"/>
    </row>
    <row r="21" spans="1:13" s="12" customFormat="1">
      <c r="A21" s="47">
        <f t="shared" si="0"/>
        <v>14</v>
      </c>
      <c r="B21" s="47" t="s">
        <v>93</v>
      </c>
      <c r="C21" s="47">
        <v>1</v>
      </c>
      <c r="D21" s="47">
        <f t="shared" si="2"/>
        <v>2260</v>
      </c>
      <c r="E21" s="47">
        <f t="shared" si="3"/>
        <v>135</v>
      </c>
      <c r="F21" s="86">
        <v>0.33</v>
      </c>
      <c r="G21" s="86">
        <f t="shared" si="5"/>
        <v>8.2500000000000004E-2</v>
      </c>
      <c r="H21" s="47">
        <v>500</v>
      </c>
      <c r="I21" s="98" t="s">
        <v>174</v>
      </c>
      <c r="J21" s="47">
        <v>0</v>
      </c>
      <c r="K21" s="47">
        <v>6</v>
      </c>
      <c r="L21" s="80"/>
      <c r="M21" s="83" t="s">
        <v>166</v>
      </c>
    </row>
    <row r="22" spans="1:13" s="12" customFormat="1">
      <c r="A22" s="47">
        <f t="shared" si="0"/>
        <v>15</v>
      </c>
      <c r="B22" s="47" t="s">
        <v>94</v>
      </c>
      <c r="C22" s="47">
        <v>1</v>
      </c>
      <c r="D22" s="47">
        <f t="shared" si="2"/>
        <v>2420</v>
      </c>
      <c r="E22" s="47">
        <f>E20</f>
        <v>135</v>
      </c>
      <c r="F22" s="86">
        <v>0.33</v>
      </c>
      <c r="G22" s="86">
        <f t="shared" si="5"/>
        <v>8.2500000000000004E-2</v>
      </c>
      <c r="H22" s="47">
        <v>500</v>
      </c>
      <c r="I22" s="98" t="s">
        <v>174</v>
      </c>
      <c r="J22" s="47">
        <v>0</v>
      </c>
      <c r="K22" s="47">
        <v>6</v>
      </c>
      <c r="L22" s="80"/>
      <c r="M22" s="83" t="s">
        <v>167</v>
      </c>
    </row>
    <row r="23" spans="1:13" s="12" customFormat="1">
      <c r="A23" s="47">
        <f t="shared" si="0"/>
        <v>16</v>
      </c>
      <c r="B23" s="47" t="s">
        <v>95</v>
      </c>
      <c r="C23" s="47">
        <v>1</v>
      </c>
      <c r="D23" s="47">
        <f t="shared" si="2"/>
        <v>2580</v>
      </c>
      <c r="E23" s="47">
        <f>E21</f>
        <v>135</v>
      </c>
      <c r="F23" s="86">
        <v>0.33</v>
      </c>
      <c r="G23" s="86">
        <f t="shared" si="5"/>
        <v>8.2500000000000004E-2</v>
      </c>
      <c r="H23" s="47">
        <v>500</v>
      </c>
      <c r="I23" s="98" t="s">
        <v>174</v>
      </c>
      <c r="J23" s="47">
        <v>0</v>
      </c>
      <c r="K23" s="47">
        <v>6</v>
      </c>
      <c r="L23" s="80"/>
      <c r="M23" s="83" t="s">
        <v>168</v>
      </c>
    </row>
    <row r="24" spans="1:13">
      <c r="A24" s="48">
        <f t="shared" si="0"/>
        <v>17</v>
      </c>
      <c r="B24" s="48" t="s">
        <v>96</v>
      </c>
      <c r="C24" s="48">
        <v>1</v>
      </c>
      <c r="D24" s="48">
        <f>D23+$H$5</f>
        <v>2820</v>
      </c>
      <c r="E24" s="48">
        <f>E23</f>
        <v>135</v>
      </c>
      <c r="F24" s="87">
        <v>0.33</v>
      </c>
      <c r="G24" s="80">
        <f t="shared" si="4"/>
        <v>8.2500000000000004E-2</v>
      </c>
      <c r="H24" s="48">
        <f>H23</f>
        <v>500</v>
      </c>
      <c r="I24" s="99" t="s">
        <v>174</v>
      </c>
      <c r="J24" s="48">
        <v>0</v>
      </c>
      <c r="K24" s="48">
        <v>6</v>
      </c>
      <c r="L24" s="80"/>
      <c r="M24" s="83" t="s">
        <v>169</v>
      </c>
    </row>
    <row r="25" spans="1:13">
      <c r="A25" s="48">
        <f t="shared" ref="A25:A28" si="6">A24+1</f>
        <v>18</v>
      </c>
      <c r="B25" s="48" t="s">
        <v>97</v>
      </c>
      <c r="C25" s="48">
        <v>1</v>
      </c>
      <c r="D25" s="48">
        <f t="shared" ref="D25:D28" si="7">D24+$F$5</f>
        <v>2980</v>
      </c>
      <c r="E25" s="48">
        <f t="shared" ref="E25:E28" si="8">E24</f>
        <v>135</v>
      </c>
      <c r="F25" s="87">
        <v>0.33</v>
      </c>
      <c r="G25" s="80">
        <f t="shared" si="4"/>
        <v>8.2500000000000004E-2</v>
      </c>
      <c r="H25" s="48">
        <f t="shared" ref="H25:H28" si="9">H24</f>
        <v>500</v>
      </c>
      <c r="I25" s="99" t="s">
        <v>174</v>
      </c>
      <c r="J25" s="48">
        <v>0</v>
      </c>
      <c r="K25" s="48">
        <v>6</v>
      </c>
      <c r="L25" s="93"/>
      <c r="M25" s="91" t="s">
        <v>170</v>
      </c>
    </row>
    <row r="26" spans="1:13">
      <c r="A26" s="48">
        <f t="shared" si="6"/>
        <v>19</v>
      </c>
      <c r="B26" s="48" t="s">
        <v>137</v>
      </c>
      <c r="C26" s="48">
        <v>1</v>
      </c>
      <c r="D26" s="48">
        <f t="shared" si="7"/>
        <v>3140</v>
      </c>
      <c r="E26" s="48">
        <f t="shared" si="8"/>
        <v>135</v>
      </c>
      <c r="F26" s="87">
        <v>0.33</v>
      </c>
      <c r="G26" s="80">
        <f t="shared" si="4"/>
        <v>8.2500000000000004E-2</v>
      </c>
      <c r="H26" s="48">
        <f t="shared" si="9"/>
        <v>500</v>
      </c>
      <c r="I26" s="99" t="s">
        <v>174</v>
      </c>
      <c r="J26" s="48">
        <v>0</v>
      </c>
      <c r="K26" s="48">
        <v>6</v>
      </c>
      <c r="L26" s="93"/>
      <c r="M26" s="92" t="s">
        <v>171</v>
      </c>
    </row>
    <row r="27" spans="1:13">
      <c r="A27" s="48">
        <f t="shared" si="6"/>
        <v>20</v>
      </c>
      <c r="B27" s="48" t="s">
        <v>98</v>
      </c>
      <c r="C27" s="48">
        <v>1</v>
      </c>
      <c r="D27" s="48">
        <f t="shared" si="7"/>
        <v>3300</v>
      </c>
      <c r="E27" s="48">
        <f t="shared" si="8"/>
        <v>135</v>
      </c>
      <c r="F27" s="87">
        <v>0.33</v>
      </c>
      <c r="G27" s="80">
        <f t="shared" si="4"/>
        <v>8.2500000000000004E-2</v>
      </c>
      <c r="H27" s="48">
        <f t="shared" si="9"/>
        <v>500</v>
      </c>
      <c r="I27" s="99" t="s">
        <v>174</v>
      </c>
      <c r="J27" s="48">
        <v>0</v>
      </c>
      <c r="K27" s="48">
        <v>6</v>
      </c>
      <c r="L27" s="79"/>
    </row>
    <row r="28" spans="1:13">
      <c r="A28" s="48">
        <f t="shared" si="6"/>
        <v>21</v>
      </c>
      <c r="B28" s="48" t="s">
        <v>138</v>
      </c>
      <c r="C28" s="48">
        <v>1</v>
      </c>
      <c r="D28" s="48">
        <f t="shared" si="7"/>
        <v>3460</v>
      </c>
      <c r="E28" s="48">
        <f t="shared" si="8"/>
        <v>135</v>
      </c>
      <c r="F28" s="87">
        <v>0.33</v>
      </c>
      <c r="G28" s="80">
        <f t="shared" si="4"/>
        <v>8.2500000000000004E-2</v>
      </c>
      <c r="H28" s="48">
        <f t="shared" si="9"/>
        <v>500</v>
      </c>
      <c r="I28" s="99" t="s">
        <v>174</v>
      </c>
      <c r="J28" s="48">
        <v>0</v>
      </c>
      <c r="K28" s="48">
        <v>6</v>
      </c>
      <c r="L28" s="79"/>
    </row>
    <row r="29" spans="1:13">
      <c r="A29" s="50">
        <f>A28+1</f>
        <v>22</v>
      </c>
      <c r="B29" s="50" t="s">
        <v>77</v>
      </c>
      <c r="C29" s="50">
        <v>2</v>
      </c>
      <c r="D29" s="50">
        <f>D28+$F$5</f>
        <v>3620</v>
      </c>
      <c r="E29" s="50">
        <f>E28</f>
        <v>135</v>
      </c>
      <c r="F29" s="51">
        <v>0.625</v>
      </c>
      <c r="G29" s="51"/>
      <c r="H29" s="50">
        <v>500</v>
      </c>
      <c r="I29" s="100"/>
      <c r="J29" s="50">
        <v>0</v>
      </c>
      <c r="K29" s="50">
        <v>6</v>
      </c>
      <c r="L29" s="80"/>
    </row>
    <row r="30" spans="1:13">
      <c r="A30" s="14">
        <f t="shared" ref="A30" si="10">A29+1</f>
        <v>23</v>
      </c>
      <c r="B30" s="14"/>
      <c r="C30" s="14"/>
      <c r="D30" s="14"/>
      <c r="E30" s="14"/>
      <c r="F30" s="15"/>
      <c r="G30" s="15"/>
      <c r="H30" s="14"/>
      <c r="I30" s="101"/>
      <c r="J30" s="16"/>
      <c r="K30" s="16"/>
      <c r="L30" s="89"/>
    </row>
    <row r="31" spans="1:13">
      <c r="A31" s="52">
        <f>A30+1</f>
        <v>24</v>
      </c>
      <c r="B31" s="49" t="s">
        <v>77</v>
      </c>
      <c r="C31" s="52">
        <v>1</v>
      </c>
      <c r="D31" s="52">
        <v>3900</v>
      </c>
      <c r="E31" s="52">
        <f>E29</f>
        <v>135</v>
      </c>
      <c r="F31" s="52">
        <v>0.125</v>
      </c>
      <c r="G31" s="52"/>
      <c r="H31" s="52">
        <v>500</v>
      </c>
      <c r="I31" s="102">
        <v>1</v>
      </c>
      <c r="J31" s="53"/>
      <c r="K31" s="53">
        <v>6</v>
      </c>
      <c r="L31" s="80"/>
    </row>
    <row r="32" spans="1:13">
      <c r="L32" s="90"/>
    </row>
    <row r="33" spans="1:28">
      <c r="L33" s="90"/>
    </row>
    <row r="34" spans="1:28">
      <c r="A34" s="45">
        <f>A31+1</f>
        <v>25</v>
      </c>
      <c r="B34" s="45" t="s">
        <v>139</v>
      </c>
      <c r="C34" s="45">
        <v>2</v>
      </c>
      <c r="D34" s="45">
        <v>100</v>
      </c>
      <c r="E34" s="45">
        <f>E8+1100</f>
        <v>1235</v>
      </c>
      <c r="F34" s="88">
        <v>0.4</v>
      </c>
      <c r="G34" s="45">
        <f>F34/4</f>
        <v>0.1</v>
      </c>
      <c r="H34" s="45">
        <v>500</v>
      </c>
      <c r="I34" s="96" t="s">
        <v>174</v>
      </c>
      <c r="J34" s="45">
        <v>0</v>
      </c>
      <c r="K34" s="45">
        <v>6</v>
      </c>
      <c r="L34" s="80"/>
    </row>
    <row r="35" spans="1:28" ht="16">
      <c r="A35" s="45">
        <f t="shared" ref="A35:A55" si="11">A34+1</f>
        <v>26</v>
      </c>
      <c r="B35" s="45" t="s">
        <v>125</v>
      </c>
      <c r="C35" s="45">
        <f>C34</f>
        <v>2</v>
      </c>
      <c r="D35" s="45">
        <f>D34+$F$5</f>
        <v>260</v>
      </c>
      <c r="E35" s="45">
        <f>E34</f>
        <v>1235</v>
      </c>
      <c r="F35" s="88">
        <v>0.4</v>
      </c>
      <c r="G35" s="45">
        <f t="shared" ref="G35:G37" si="12">F35/4</f>
        <v>0.1</v>
      </c>
      <c r="H35" s="45">
        <v>500</v>
      </c>
      <c r="I35" s="96" t="s">
        <v>174</v>
      </c>
      <c r="J35" s="45">
        <v>0</v>
      </c>
      <c r="K35" s="45">
        <v>6</v>
      </c>
      <c r="L35" s="93"/>
      <c r="M35" s="83" t="s">
        <v>166</v>
      </c>
      <c r="N35" s="13"/>
    </row>
    <row r="36" spans="1:28">
      <c r="A36" s="45">
        <f t="shared" si="11"/>
        <v>27</v>
      </c>
      <c r="B36" s="45" t="s">
        <v>126</v>
      </c>
      <c r="C36" s="45">
        <f>C35</f>
        <v>2</v>
      </c>
      <c r="D36" s="45">
        <f>D35+$F$5</f>
        <v>420</v>
      </c>
      <c r="E36" s="45">
        <f>E35</f>
        <v>1235</v>
      </c>
      <c r="F36" s="88">
        <v>0.4</v>
      </c>
      <c r="G36" s="45">
        <f t="shared" si="12"/>
        <v>0.1</v>
      </c>
      <c r="H36" s="45">
        <v>500</v>
      </c>
      <c r="I36" s="96" t="s">
        <v>174</v>
      </c>
      <c r="J36" s="45">
        <v>0</v>
      </c>
      <c r="K36" s="45">
        <v>6</v>
      </c>
      <c r="L36" s="93"/>
      <c r="M36" s="83" t="s">
        <v>168</v>
      </c>
      <c r="N36" s="17"/>
      <c r="O36" s="17"/>
      <c r="P36" s="17"/>
      <c r="Q36" s="17"/>
      <c r="R36" s="17"/>
      <c r="S36" s="17"/>
      <c r="V36" s="17"/>
      <c r="W36" s="17"/>
      <c r="X36" s="17"/>
      <c r="Y36" s="17"/>
      <c r="Z36" s="17"/>
      <c r="AA36" s="17"/>
    </row>
    <row r="37" spans="1:28">
      <c r="A37" s="45">
        <f t="shared" si="11"/>
        <v>28</v>
      </c>
      <c r="B37" s="45" t="s">
        <v>127</v>
      </c>
      <c r="C37" s="45">
        <f>C36</f>
        <v>2</v>
      </c>
      <c r="D37" s="45">
        <f>D36+$F$5</f>
        <v>580</v>
      </c>
      <c r="E37" s="45">
        <f>E36</f>
        <v>1235</v>
      </c>
      <c r="F37" s="88">
        <v>0.4</v>
      </c>
      <c r="G37" s="45">
        <f t="shared" si="12"/>
        <v>0.1</v>
      </c>
      <c r="H37" s="45">
        <v>500</v>
      </c>
      <c r="I37" s="96" t="s">
        <v>174</v>
      </c>
      <c r="J37" s="45">
        <v>0</v>
      </c>
      <c r="K37" s="45">
        <v>6</v>
      </c>
      <c r="L37" s="93"/>
      <c r="M37" s="83" t="s">
        <v>169</v>
      </c>
      <c r="N37" s="68" t="s">
        <v>64</v>
      </c>
      <c r="O37" s="68" t="s">
        <v>65</v>
      </c>
      <c r="P37" s="68" t="s">
        <v>66</v>
      </c>
      <c r="Q37" s="17"/>
      <c r="R37" s="17"/>
      <c r="S37" s="17"/>
      <c r="V37" s="17"/>
      <c r="W37" s="17"/>
      <c r="X37" s="54"/>
      <c r="Y37" s="17"/>
      <c r="Z37" s="54"/>
      <c r="AA37" s="54"/>
    </row>
    <row r="38" spans="1:28">
      <c r="A38" s="47">
        <f t="shared" si="11"/>
        <v>29</v>
      </c>
      <c r="B38" s="47" t="s">
        <v>140</v>
      </c>
      <c r="C38" s="47">
        <f>C36</f>
        <v>2</v>
      </c>
      <c r="D38" s="47">
        <f>D37+$H$5</f>
        <v>820</v>
      </c>
      <c r="E38" s="47">
        <f>E36</f>
        <v>1235</v>
      </c>
      <c r="F38" s="47">
        <v>0.4</v>
      </c>
      <c r="G38" s="47">
        <f>F38/4</f>
        <v>0.1</v>
      </c>
      <c r="H38" s="47">
        <v>500</v>
      </c>
      <c r="I38" s="98" t="s">
        <v>174</v>
      </c>
      <c r="J38" s="47">
        <v>0</v>
      </c>
      <c r="K38" s="47">
        <v>6</v>
      </c>
      <c r="L38" s="80"/>
      <c r="N38" s="69" t="s">
        <v>67</v>
      </c>
      <c r="O38" s="69" t="s">
        <v>68</v>
      </c>
      <c r="P38" s="70">
        <v>4</v>
      </c>
      <c r="Q38" s="17"/>
      <c r="R38" s="17"/>
      <c r="S38" s="17"/>
      <c r="V38" s="17"/>
      <c r="W38" s="17"/>
      <c r="X38" s="54"/>
      <c r="Y38" s="54"/>
      <c r="Z38" s="54"/>
      <c r="AA38" s="54"/>
    </row>
    <row r="39" spans="1:28">
      <c r="A39" s="47">
        <f t="shared" si="11"/>
        <v>30</v>
      </c>
      <c r="B39" s="47" t="s">
        <v>99</v>
      </c>
      <c r="C39" s="47">
        <f>C38</f>
        <v>2</v>
      </c>
      <c r="D39" s="47">
        <f t="shared" ref="D39" si="13">D38+$F$5</f>
        <v>980</v>
      </c>
      <c r="E39" s="47">
        <f>E38</f>
        <v>1235</v>
      </c>
      <c r="F39" s="47">
        <v>0.4</v>
      </c>
      <c r="G39" s="47">
        <f t="shared" ref="G39:G44" si="14">F39/4</f>
        <v>0.1</v>
      </c>
      <c r="H39" s="47">
        <v>500</v>
      </c>
      <c r="I39" s="98" t="s">
        <v>174</v>
      </c>
      <c r="J39" s="47">
        <v>0</v>
      </c>
      <c r="K39" s="47">
        <v>6</v>
      </c>
      <c r="L39" s="80"/>
      <c r="N39" s="71" t="s">
        <v>69</v>
      </c>
      <c r="O39" s="77" t="s">
        <v>72</v>
      </c>
      <c r="P39" s="72">
        <v>4</v>
      </c>
      <c r="Q39" s="17"/>
      <c r="R39" s="17"/>
      <c r="S39" s="55"/>
      <c r="V39" s="17"/>
      <c r="W39" s="17"/>
      <c r="X39" s="54"/>
      <c r="Y39" s="17"/>
      <c r="Z39" s="54"/>
      <c r="AA39" s="54"/>
    </row>
    <row r="40" spans="1:28">
      <c r="A40" s="47">
        <f t="shared" si="11"/>
        <v>31</v>
      </c>
      <c r="B40" s="47" t="s">
        <v>100</v>
      </c>
      <c r="C40" s="47">
        <f>C38</f>
        <v>2</v>
      </c>
      <c r="D40" s="47">
        <f>D39+$F$5</f>
        <v>1140</v>
      </c>
      <c r="E40" s="47">
        <f>E37</f>
        <v>1235</v>
      </c>
      <c r="F40" s="47">
        <v>0.4</v>
      </c>
      <c r="G40" s="47">
        <f t="shared" si="14"/>
        <v>0.1</v>
      </c>
      <c r="H40" s="47">
        <v>500</v>
      </c>
      <c r="I40" s="98" t="s">
        <v>174</v>
      </c>
      <c r="J40" s="47">
        <v>0</v>
      </c>
      <c r="K40" s="47">
        <v>6</v>
      </c>
      <c r="L40" s="80"/>
      <c r="N40" s="71" t="s">
        <v>70</v>
      </c>
      <c r="O40" s="77" t="s">
        <v>72</v>
      </c>
      <c r="P40" s="72">
        <v>4</v>
      </c>
      <c r="Q40" s="17"/>
      <c r="R40" s="17"/>
      <c r="S40" s="55"/>
      <c r="V40" s="17"/>
      <c r="W40" s="17"/>
      <c r="X40" s="54"/>
      <c r="Y40" s="17"/>
      <c r="Z40" s="54"/>
      <c r="AA40" s="54"/>
    </row>
    <row r="41" spans="1:28">
      <c r="A41" s="47">
        <f t="shared" si="11"/>
        <v>32</v>
      </c>
      <c r="B41" s="47" t="s">
        <v>101</v>
      </c>
      <c r="C41" s="47">
        <f>C39</f>
        <v>2</v>
      </c>
      <c r="D41" s="47">
        <f>D40+$F$5</f>
        <v>1300</v>
      </c>
      <c r="E41" s="47">
        <f>E38</f>
        <v>1235</v>
      </c>
      <c r="F41" s="47">
        <v>0.4</v>
      </c>
      <c r="G41" s="47">
        <f t="shared" si="14"/>
        <v>0.1</v>
      </c>
      <c r="H41" s="47">
        <v>500</v>
      </c>
      <c r="I41" s="98" t="s">
        <v>174</v>
      </c>
      <c r="J41" s="47">
        <v>0</v>
      </c>
      <c r="K41" s="47">
        <v>6</v>
      </c>
      <c r="L41" s="80"/>
      <c r="N41" s="71" t="s">
        <v>71</v>
      </c>
      <c r="O41" s="77" t="s">
        <v>72</v>
      </c>
      <c r="P41" s="72">
        <v>4</v>
      </c>
      <c r="Q41" s="17"/>
      <c r="R41" s="17"/>
      <c r="S41" s="55"/>
      <c r="T41" s="12"/>
      <c r="U41" s="12"/>
      <c r="V41" s="17"/>
      <c r="W41" s="17"/>
      <c r="X41" s="54"/>
      <c r="Y41" s="17"/>
      <c r="Z41" s="54"/>
      <c r="AA41" s="54"/>
    </row>
    <row r="42" spans="1:28" ht="14" customHeight="1">
      <c r="A42" s="47">
        <f t="shared" si="11"/>
        <v>33</v>
      </c>
      <c r="B42" s="47" t="s">
        <v>102</v>
      </c>
      <c r="C42" s="47">
        <f>C39</f>
        <v>2</v>
      </c>
      <c r="D42" s="47">
        <f>D41+$F$5</f>
        <v>1460</v>
      </c>
      <c r="E42" s="47">
        <f t="shared" ref="E42:E47" si="15">E38</f>
        <v>1235</v>
      </c>
      <c r="F42" s="47">
        <v>0.4</v>
      </c>
      <c r="G42" s="47">
        <f t="shared" si="14"/>
        <v>0.1</v>
      </c>
      <c r="H42" s="47">
        <v>500</v>
      </c>
      <c r="I42" s="98" t="s">
        <v>174</v>
      </c>
      <c r="J42" s="47">
        <v>0</v>
      </c>
      <c r="K42" s="47">
        <v>6</v>
      </c>
      <c r="L42" s="80"/>
      <c r="N42" s="71" t="s">
        <v>78</v>
      </c>
      <c r="O42" s="77" t="s">
        <v>72</v>
      </c>
      <c r="P42" s="72">
        <v>2</v>
      </c>
      <c r="Q42" s="56"/>
      <c r="R42" s="56"/>
      <c r="S42" s="56"/>
      <c r="T42" s="38"/>
      <c r="U42" s="12"/>
      <c r="V42" s="17"/>
      <c r="W42" s="17"/>
      <c r="X42" s="54"/>
      <c r="Y42" s="17"/>
      <c r="Z42" s="54"/>
      <c r="AA42" s="54"/>
      <c r="AB42" s="12"/>
    </row>
    <row r="43" spans="1:28" ht="14" customHeight="1">
      <c r="A43" s="47">
        <f t="shared" si="11"/>
        <v>34</v>
      </c>
      <c r="B43" s="47" t="s">
        <v>103</v>
      </c>
      <c r="C43" s="47">
        <f>C40</f>
        <v>2</v>
      </c>
      <c r="D43" s="47">
        <f>D42+$F$5</f>
        <v>1620</v>
      </c>
      <c r="E43" s="47">
        <f t="shared" si="15"/>
        <v>1235</v>
      </c>
      <c r="F43" s="47">
        <v>0.4</v>
      </c>
      <c r="G43" s="47">
        <f t="shared" si="14"/>
        <v>0.1</v>
      </c>
      <c r="H43" s="47">
        <v>500</v>
      </c>
      <c r="I43" s="98" t="s">
        <v>174</v>
      </c>
      <c r="J43" s="47">
        <v>0</v>
      </c>
      <c r="K43" s="47">
        <v>6</v>
      </c>
      <c r="L43" s="80"/>
      <c r="N43" s="71" t="s">
        <v>73</v>
      </c>
      <c r="O43" s="77" t="s">
        <v>72</v>
      </c>
      <c r="P43" s="74">
        <v>3</v>
      </c>
      <c r="Q43" s="57"/>
      <c r="R43" s="57"/>
      <c r="S43" s="56"/>
      <c r="T43" s="38"/>
      <c r="U43" s="12"/>
      <c r="V43" s="17"/>
      <c r="W43" s="17"/>
      <c r="X43" s="54"/>
      <c r="Y43" s="58"/>
      <c r="Z43" s="54"/>
      <c r="AA43" s="54"/>
      <c r="AB43" s="12"/>
    </row>
    <row r="44" spans="1:28">
      <c r="A44" s="47">
        <f t="shared" si="11"/>
        <v>35</v>
      </c>
      <c r="B44" s="47" t="s">
        <v>104</v>
      </c>
      <c r="C44" s="47">
        <f>C41</f>
        <v>2</v>
      </c>
      <c r="D44" s="47">
        <f>D43+$F$5</f>
        <v>1780</v>
      </c>
      <c r="E44" s="47">
        <f t="shared" si="15"/>
        <v>1235</v>
      </c>
      <c r="F44" s="47">
        <v>0.4</v>
      </c>
      <c r="G44" s="47">
        <f t="shared" si="14"/>
        <v>0.1</v>
      </c>
      <c r="H44" s="47">
        <v>500</v>
      </c>
      <c r="I44" s="98" t="s">
        <v>174</v>
      </c>
      <c r="J44" s="47">
        <v>0</v>
      </c>
      <c r="K44" s="47">
        <v>6</v>
      </c>
      <c r="L44" s="93"/>
      <c r="M44" s="83" t="s">
        <v>166</v>
      </c>
      <c r="N44" s="71" t="s">
        <v>74</v>
      </c>
      <c r="O44" s="71" t="s">
        <v>72</v>
      </c>
      <c r="P44" s="72">
        <v>7</v>
      </c>
      <c r="Q44" s="56"/>
      <c r="R44" s="56"/>
      <c r="S44" s="56"/>
      <c r="T44" s="59"/>
      <c r="U44" s="12"/>
      <c r="V44" s="17"/>
      <c r="W44" s="17"/>
      <c r="X44" s="54"/>
      <c r="Y44" s="17"/>
      <c r="Z44" s="54"/>
      <c r="AA44" s="54"/>
    </row>
    <row r="45" spans="1:28">
      <c r="A45" s="48">
        <f t="shared" si="11"/>
        <v>36</v>
      </c>
      <c r="B45" s="78" t="s">
        <v>128</v>
      </c>
      <c r="C45" s="48">
        <v>2</v>
      </c>
      <c r="D45" s="48">
        <f>D44+$H$5</f>
        <v>2020</v>
      </c>
      <c r="E45" s="48">
        <f t="shared" si="15"/>
        <v>1235</v>
      </c>
      <c r="F45" s="48">
        <v>0.4</v>
      </c>
      <c r="G45" s="48">
        <f>F45/4</f>
        <v>0.1</v>
      </c>
      <c r="H45" s="48">
        <f>H41</f>
        <v>500</v>
      </c>
      <c r="I45" s="99" t="s">
        <v>174</v>
      </c>
      <c r="J45" s="48">
        <v>0</v>
      </c>
      <c r="K45" s="48">
        <v>6</v>
      </c>
      <c r="L45" s="93"/>
      <c r="M45" s="83" t="s">
        <v>167</v>
      </c>
      <c r="N45" s="71" t="s">
        <v>75</v>
      </c>
      <c r="O45" s="71" t="s">
        <v>68</v>
      </c>
      <c r="P45" s="74">
        <v>5</v>
      </c>
      <c r="Q45" s="57"/>
      <c r="R45" s="57"/>
      <c r="S45" s="57"/>
      <c r="T45" s="57"/>
      <c r="V45" s="12"/>
      <c r="W45" s="12"/>
      <c r="X45" s="12"/>
      <c r="Y45" s="12"/>
      <c r="Z45" s="12"/>
      <c r="AA45" s="12"/>
    </row>
    <row r="46" spans="1:28">
      <c r="A46" s="48">
        <f t="shared" si="11"/>
        <v>37</v>
      </c>
      <c r="B46" s="78" t="s">
        <v>129</v>
      </c>
      <c r="C46" s="48">
        <v>2</v>
      </c>
      <c r="D46" s="48">
        <f>D45+$F$5</f>
        <v>2180</v>
      </c>
      <c r="E46" s="48">
        <f t="shared" si="15"/>
        <v>1235</v>
      </c>
      <c r="F46" s="48">
        <v>0.4</v>
      </c>
      <c r="G46" s="48">
        <f>F46/4</f>
        <v>0.1</v>
      </c>
      <c r="H46" s="48">
        <f>H42</f>
        <v>500</v>
      </c>
      <c r="I46" s="99" t="s">
        <v>174</v>
      </c>
      <c r="J46" s="48">
        <v>0</v>
      </c>
      <c r="K46" s="48">
        <v>6</v>
      </c>
      <c r="L46" s="93"/>
      <c r="M46" s="83" t="s">
        <v>172</v>
      </c>
      <c r="N46" s="71" t="s">
        <v>76</v>
      </c>
      <c r="O46" s="71" t="s">
        <v>68</v>
      </c>
      <c r="P46" s="72">
        <v>2</v>
      </c>
      <c r="Q46" s="59"/>
      <c r="R46" s="59"/>
      <c r="S46" s="59"/>
      <c r="T46" s="59"/>
      <c r="V46" s="12"/>
      <c r="W46" s="12"/>
      <c r="X46" s="12"/>
      <c r="Y46" s="12"/>
      <c r="Z46" s="12"/>
      <c r="AA46" s="12"/>
    </row>
    <row r="47" spans="1:28" s="12" customFormat="1">
      <c r="A47" s="48">
        <f t="shared" si="11"/>
        <v>38</v>
      </c>
      <c r="B47" s="78" t="s">
        <v>130</v>
      </c>
      <c r="C47" s="48">
        <v>2</v>
      </c>
      <c r="D47" s="48">
        <f>D46+$F$5</f>
        <v>2340</v>
      </c>
      <c r="E47" s="48">
        <f t="shared" si="15"/>
        <v>1235</v>
      </c>
      <c r="F47" s="48">
        <v>0.4</v>
      </c>
      <c r="G47" s="48">
        <f>F47/4</f>
        <v>0.1</v>
      </c>
      <c r="H47" s="48">
        <f>H43</f>
        <v>500</v>
      </c>
      <c r="I47" s="99" t="s">
        <v>174</v>
      </c>
      <c r="J47" s="48">
        <v>0</v>
      </c>
      <c r="K47" s="48">
        <v>6</v>
      </c>
      <c r="L47" s="93"/>
      <c r="M47" s="83" t="s">
        <v>173</v>
      </c>
      <c r="N47" s="71" t="s">
        <v>79</v>
      </c>
      <c r="O47" s="71" t="s">
        <v>68</v>
      </c>
      <c r="P47" s="72">
        <v>2</v>
      </c>
      <c r="Q47" s="38"/>
      <c r="R47" s="38"/>
      <c r="S47" s="38"/>
      <c r="T47" s="38"/>
      <c r="V47" s="42"/>
      <c r="W47" s="42"/>
      <c r="X47" s="42"/>
      <c r="Y47" s="42"/>
      <c r="Z47" s="42"/>
      <c r="AA47" s="42"/>
    </row>
    <row r="48" spans="1:28" s="12" customFormat="1">
      <c r="A48" s="60">
        <f t="shared" si="11"/>
        <v>39</v>
      </c>
      <c r="B48" s="60" t="s">
        <v>77</v>
      </c>
      <c r="C48" s="60">
        <v>2</v>
      </c>
      <c r="D48" s="60">
        <f>D47+$H$5</f>
        <v>2580</v>
      </c>
      <c r="E48" s="60">
        <f t="shared" ref="E48:E52" si="16">E47</f>
        <v>1235</v>
      </c>
      <c r="F48" s="60">
        <v>0.33</v>
      </c>
      <c r="G48" s="60">
        <f>F48/4</f>
        <v>8.2500000000000004E-2</v>
      </c>
      <c r="H48" s="60">
        <v>500</v>
      </c>
      <c r="I48" s="103" t="s">
        <v>174</v>
      </c>
      <c r="J48" s="60">
        <v>0</v>
      </c>
      <c r="K48" s="60">
        <v>6</v>
      </c>
      <c r="L48" s="80"/>
      <c r="N48" s="73" t="s">
        <v>80</v>
      </c>
      <c r="O48" s="73" t="s">
        <v>68</v>
      </c>
      <c r="P48" s="74">
        <v>2</v>
      </c>
      <c r="Q48" s="38"/>
      <c r="R48" s="38"/>
      <c r="S48" s="38"/>
      <c r="T48" s="38"/>
      <c r="V48" s="42"/>
      <c r="W48" s="42"/>
      <c r="X48" s="42"/>
      <c r="Y48" s="42"/>
      <c r="Z48" s="42"/>
      <c r="AA48" s="42"/>
    </row>
    <row r="49" spans="1:28" s="12" customFormat="1">
      <c r="A49" s="60">
        <f t="shared" si="11"/>
        <v>40</v>
      </c>
      <c r="B49" s="60" t="s">
        <v>135</v>
      </c>
      <c r="C49" s="61">
        <v>2</v>
      </c>
      <c r="D49" s="60">
        <f>D48+$F$5</f>
        <v>2740</v>
      </c>
      <c r="E49" s="60">
        <f t="shared" si="16"/>
        <v>1235</v>
      </c>
      <c r="F49" s="60">
        <v>0.33</v>
      </c>
      <c r="G49" s="60">
        <f>F49/4</f>
        <v>8.2500000000000004E-2</v>
      </c>
      <c r="H49" s="60">
        <v>500</v>
      </c>
      <c r="I49" s="103" t="s">
        <v>174</v>
      </c>
      <c r="J49" s="60">
        <v>0</v>
      </c>
      <c r="K49" s="60">
        <v>6</v>
      </c>
      <c r="L49" s="79"/>
      <c r="N49" s="73" t="s">
        <v>81</v>
      </c>
      <c r="O49" s="73" t="s">
        <v>68</v>
      </c>
      <c r="P49" s="74">
        <v>2</v>
      </c>
      <c r="Q49" s="38"/>
      <c r="R49" s="38"/>
      <c r="S49" s="38"/>
      <c r="T49" s="38"/>
      <c r="V49" s="42"/>
      <c r="W49" s="42"/>
      <c r="X49" s="42"/>
      <c r="Y49" s="42"/>
      <c r="Z49" s="42"/>
      <c r="AA49" s="42"/>
      <c r="AB49" s="42"/>
    </row>
    <row r="50" spans="1:28" s="12" customFormat="1">
      <c r="A50" s="61">
        <f t="shared" si="11"/>
        <v>41</v>
      </c>
      <c r="B50" s="61"/>
      <c r="C50" s="61">
        <v>2</v>
      </c>
      <c r="D50" s="60">
        <f t="shared" ref="D50:D52" si="17">D49+$F$5</f>
        <v>2900</v>
      </c>
      <c r="E50" s="60">
        <f t="shared" si="16"/>
        <v>1235</v>
      </c>
      <c r="F50" s="60"/>
      <c r="G50" s="60"/>
      <c r="H50" s="60">
        <v>500</v>
      </c>
      <c r="I50" s="103"/>
      <c r="J50" s="60">
        <v>0</v>
      </c>
      <c r="K50" s="60">
        <v>6</v>
      </c>
      <c r="L50" s="79"/>
      <c r="N50" s="73" t="s">
        <v>82</v>
      </c>
      <c r="O50" s="73" t="s">
        <v>68</v>
      </c>
      <c r="P50" s="74">
        <v>2</v>
      </c>
      <c r="V50" s="42"/>
      <c r="W50" s="42"/>
      <c r="X50" s="42"/>
      <c r="Y50" s="42"/>
      <c r="Z50" s="42"/>
      <c r="AA50" s="42"/>
      <c r="AB50" s="42"/>
    </row>
    <row r="51" spans="1:28">
      <c r="A51" s="61">
        <f t="shared" si="11"/>
        <v>42</v>
      </c>
      <c r="B51" s="61" t="s">
        <v>131</v>
      </c>
      <c r="C51" s="61">
        <v>2</v>
      </c>
      <c r="D51" s="60">
        <f t="shared" si="17"/>
        <v>3060</v>
      </c>
      <c r="E51" s="60">
        <f t="shared" si="16"/>
        <v>1235</v>
      </c>
      <c r="F51" s="60"/>
      <c r="G51" s="60"/>
      <c r="H51" s="60">
        <v>500</v>
      </c>
      <c r="I51" s="103"/>
      <c r="J51" s="60">
        <v>0</v>
      </c>
      <c r="K51" s="60">
        <v>6</v>
      </c>
      <c r="L51" s="79"/>
      <c r="N51" s="71" t="s">
        <v>83</v>
      </c>
      <c r="O51" s="71" t="s">
        <v>68</v>
      </c>
      <c r="P51" s="72">
        <v>7</v>
      </c>
    </row>
    <row r="52" spans="1:28">
      <c r="A52" s="61">
        <f t="shared" si="11"/>
        <v>43</v>
      </c>
      <c r="B52" s="61" t="s">
        <v>131</v>
      </c>
      <c r="C52" s="61">
        <v>2</v>
      </c>
      <c r="D52" s="60">
        <f t="shared" si="17"/>
        <v>3220</v>
      </c>
      <c r="E52" s="60">
        <f t="shared" si="16"/>
        <v>1235</v>
      </c>
      <c r="F52" s="60"/>
      <c r="G52" s="60"/>
      <c r="H52" s="60">
        <v>500</v>
      </c>
      <c r="I52" s="103"/>
      <c r="J52" s="60">
        <v>0</v>
      </c>
      <c r="K52" s="60">
        <v>6</v>
      </c>
      <c r="L52" s="79"/>
      <c r="N52" s="71" t="s">
        <v>77</v>
      </c>
      <c r="O52" s="71" t="s">
        <v>68</v>
      </c>
      <c r="P52" s="72">
        <v>4</v>
      </c>
    </row>
    <row r="53" spans="1:28">
      <c r="A53" s="62">
        <f t="shared" si="11"/>
        <v>44</v>
      </c>
      <c r="B53" s="62" t="s">
        <v>82</v>
      </c>
      <c r="C53" s="62">
        <v>2</v>
      </c>
      <c r="D53" s="63">
        <f>D52+$H$5</f>
        <v>3460</v>
      </c>
      <c r="E53" s="63">
        <f>E52</f>
        <v>1235</v>
      </c>
      <c r="F53" s="64"/>
      <c r="G53" s="64"/>
      <c r="H53" s="63">
        <v>500</v>
      </c>
      <c r="I53" s="104"/>
      <c r="J53" s="63">
        <v>0</v>
      </c>
      <c r="K53" s="63">
        <v>6</v>
      </c>
      <c r="L53" s="79"/>
      <c r="N53" s="71"/>
      <c r="O53" s="71"/>
      <c r="P53" s="72"/>
    </row>
    <row r="54" spans="1:28">
      <c r="A54" s="62">
        <f t="shared" si="11"/>
        <v>45</v>
      </c>
      <c r="B54" s="62" t="s">
        <v>82</v>
      </c>
      <c r="C54" s="62">
        <v>2</v>
      </c>
      <c r="D54" s="63">
        <f t="shared" ref="D54" si="18">D53+$F$5</f>
        <v>3620</v>
      </c>
      <c r="E54" s="63">
        <f>E53</f>
        <v>1235</v>
      </c>
      <c r="F54" s="64"/>
      <c r="G54" s="64"/>
      <c r="H54" s="63">
        <v>500</v>
      </c>
      <c r="I54" s="104"/>
      <c r="J54" s="63">
        <v>0</v>
      </c>
      <c r="K54" s="63">
        <v>6</v>
      </c>
      <c r="L54" s="79"/>
      <c r="N54" s="71"/>
      <c r="O54" s="71"/>
      <c r="P54" s="72"/>
    </row>
    <row r="55" spans="1:28">
      <c r="A55" s="14">
        <f t="shared" si="11"/>
        <v>46</v>
      </c>
      <c r="B55" s="14"/>
      <c r="C55" s="14">
        <v>2</v>
      </c>
      <c r="D55" s="14">
        <f>D54+$F$5</f>
        <v>3780</v>
      </c>
      <c r="E55" s="14">
        <f>E54</f>
        <v>1235</v>
      </c>
      <c r="F55" s="15"/>
      <c r="G55" s="15"/>
      <c r="H55" s="14">
        <v>500</v>
      </c>
      <c r="I55" s="101"/>
      <c r="J55" s="16" t="s">
        <v>22</v>
      </c>
      <c r="K55" s="16">
        <v>6</v>
      </c>
      <c r="L55" s="90"/>
      <c r="N55" s="75"/>
      <c r="O55" s="75"/>
      <c r="P55" s="76"/>
    </row>
    <row r="56" spans="1:28">
      <c r="A56" s="52"/>
      <c r="B56" s="52"/>
      <c r="C56" s="52"/>
      <c r="D56" s="52"/>
      <c r="E56" s="52"/>
      <c r="F56" s="52"/>
      <c r="G56" s="52"/>
      <c r="H56" s="52"/>
      <c r="I56" s="102"/>
      <c r="J56" s="53"/>
      <c r="K56" s="53"/>
      <c r="L56" s="90"/>
    </row>
    <row r="57" spans="1:28">
      <c r="L57" s="90"/>
    </row>
    <row r="58" spans="1:28">
      <c r="L58" s="90"/>
    </row>
    <row r="59" spans="1:28">
      <c r="A59" s="45">
        <f>A56+1</f>
        <v>1</v>
      </c>
      <c r="B59" s="45" t="s">
        <v>105</v>
      </c>
      <c r="C59" s="45">
        <v>2</v>
      </c>
      <c r="D59" s="45">
        <v>100</v>
      </c>
      <c r="E59" s="45">
        <f>E34+1100</f>
        <v>2335</v>
      </c>
      <c r="F59" s="45">
        <f>G59*4</f>
        <v>0.53400000000000003</v>
      </c>
      <c r="G59" s="45">
        <v>0.13350000000000001</v>
      </c>
      <c r="H59" s="45">
        <v>320</v>
      </c>
      <c r="I59" s="96" t="s">
        <v>176</v>
      </c>
      <c r="J59" s="45">
        <v>0</v>
      </c>
      <c r="K59" s="45">
        <v>6</v>
      </c>
      <c r="L59" s="80"/>
      <c r="M59" s="42" t="s">
        <v>156</v>
      </c>
    </row>
    <row r="60" spans="1:28">
      <c r="A60" s="45">
        <f t="shared" ref="A60:A67" si="19">A59+1</f>
        <v>2</v>
      </c>
      <c r="B60" s="45" t="s">
        <v>106</v>
      </c>
      <c r="C60" s="45">
        <f>C59</f>
        <v>2</v>
      </c>
      <c r="D60" s="45">
        <f>D59+$F$5</f>
        <v>260</v>
      </c>
      <c r="E60" s="45">
        <f>E59</f>
        <v>2335</v>
      </c>
      <c r="F60" s="45">
        <f t="shared" ref="F60:F62" si="20">G60*4</f>
        <v>0.53400000000000003</v>
      </c>
      <c r="G60" s="45">
        <v>0.13350000000000001</v>
      </c>
      <c r="H60" s="45">
        <v>320</v>
      </c>
      <c r="I60" s="96" t="s">
        <v>176</v>
      </c>
      <c r="J60" s="45">
        <v>0</v>
      </c>
      <c r="K60" s="45">
        <v>6</v>
      </c>
      <c r="L60" s="80"/>
      <c r="M60" s="42" t="s">
        <v>164</v>
      </c>
      <c r="V60" s="12"/>
      <c r="W60" s="12"/>
      <c r="X60" s="12"/>
      <c r="Y60" s="12"/>
      <c r="Z60" s="12"/>
      <c r="AA60" s="12"/>
    </row>
    <row r="61" spans="1:28">
      <c r="A61" s="45">
        <f t="shared" si="19"/>
        <v>3</v>
      </c>
      <c r="B61" s="45" t="s">
        <v>107</v>
      </c>
      <c r="C61" s="45">
        <f>C60</f>
        <v>2</v>
      </c>
      <c r="D61" s="45">
        <f>D60+$F$5</f>
        <v>420</v>
      </c>
      <c r="E61" s="45">
        <f>E60</f>
        <v>2335</v>
      </c>
      <c r="F61" s="45">
        <f t="shared" si="20"/>
        <v>0.53400000000000003</v>
      </c>
      <c r="G61" s="45">
        <v>0.13350000000000001</v>
      </c>
      <c r="H61" s="45">
        <v>320</v>
      </c>
      <c r="I61" s="96" t="s">
        <v>176</v>
      </c>
      <c r="J61" s="45">
        <v>0</v>
      </c>
      <c r="K61" s="45">
        <v>6</v>
      </c>
      <c r="L61" s="80"/>
      <c r="M61" s="42" t="s">
        <v>163</v>
      </c>
      <c r="V61" s="12"/>
      <c r="W61" s="12"/>
      <c r="X61" s="12"/>
      <c r="Y61" s="12"/>
      <c r="Z61" s="12"/>
      <c r="AA61" s="12"/>
    </row>
    <row r="62" spans="1:28">
      <c r="A62" s="45">
        <f t="shared" si="19"/>
        <v>4</v>
      </c>
      <c r="B62" s="45" t="s">
        <v>108</v>
      </c>
      <c r="C62" s="45">
        <f>C61</f>
        <v>2</v>
      </c>
      <c r="D62" s="45">
        <f>D61+$F$5</f>
        <v>580</v>
      </c>
      <c r="E62" s="45">
        <f>E61</f>
        <v>2335</v>
      </c>
      <c r="F62" s="45">
        <f t="shared" si="20"/>
        <v>0.53400000000000003</v>
      </c>
      <c r="G62" s="45">
        <v>0.13350000000000001</v>
      </c>
      <c r="H62" s="45">
        <v>320</v>
      </c>
      <c r="I62" s="96" t="s">
        <v>176</v>
      </c>
      <c r="J62" s="45">
        <v>0</v>
      </c>
      <c r="K62" s="45">
        <v>6</v>
      </c>
      <c r="L62" s="80"/>
      <c r="M62" s="42" t="s">
        <v>165</v>
      </c>
      <c r="V62" s="12"/>
      <c r="W62" s="12"/>
      <c r="X62" s="12"/>
      <c r="Y62" s="12"/>
      <c r="Z62" s="12"/>
      <c r="AA62" s="12"/>
      <c r="AB62" s="12"/>
    </row>
    <row r="63" spans="1:28">
      <c r="A63" s="47">
        <f t="shared" si="19"/>
        <v>5</v>
      </c>
      <c r="B63" s="47" t="s">
        <v>109</v>
      </c>
      <c r="C63" s="47">
        <f>C62</f>
        <v>2</v>
      </c>
      <c r="D63" s="47">
        <f>D62+$H$5</f>
        <v>820</v>
      </c>
      <c r="E63" s="47">
        <f>E62</f>
        <v>2335</v>
      </c>
      <c r="F63" s="47">
        <f t="shared" ref="F63:F66" si="21">G63*4</f>
        <v>0.60599999999999998</v>
      </c>
      <c r="G63" s="47">
        <v>0.1515</v>
      </c>
      <c r="H63" s="47">
        <v>320</v>
      </c>
      <c r="I63" s="98" t="s">
        <v>177</v>
      </c>
      <c r="J63" s="47">
        <v>0</v>
      </c>
      <c r="K63" s="47">
        <v>6</v>
      </c>
      <c r="L63" s="80"/>
      <c r="M63" s="42" t="s">
        <v>156</v>
      </c>
      <c r="V63" s="12"/>
      <c r="W63" s="12"/>
      <c r="X63" s="12"/>
      <c r="Y63" s="12"/>
      <c r="Z63" s="12"/>
      <c r="AA63" s="12"/>
      <c r="AB63" s="12"/>
    </row>
    <row r="64" spans="1:28">
      <c r="A64" s="47">
        <f t="shared" si="19"/>
        <v>6</v>
      </c>
      <c r="B64" s="47" t="s">
        <v>110</v>
      </c>
      <c r="C64" s="47">
        <f>C62</f>
        <v>2</v>
      </c>
      <c r="D64" s="47">
        <f>D63+$F$5</f>
        <v>980</v>
      </c>
      <c r="E64" s="47">
        <f>E61</f>
        <v>2335</v>
      </c>
      <c r="F64" s="47">
        <f t="shared" si="21"/>
        <v>0.60599999999999998</v>
      </c>
      <c r="G64" s="47">
        <v>0.1515</v>
      </c>
      <c r="H64" s="47">
        <v>320</v>
      </c>
      <c r="I64" s="98" t="s">
        <v>177</v>
      </c>
      <c r="J64" s="47">
        <v>0</v>
      </c>
      <c r="K64" s="47">
        <v>6</v>
      </c>
      <c r="L64" s="80"/>
      <c r="M64" s="42" t="s">
        <v>164</v>
      </c>
      <c r="AB64" s="12"/>
    </row>
    <row r="65" spans="1:28">
      <c r="A65" s="47">
        <f t="shared" si="19"/>
        <v>7</v>
      </c>
      <c r="B65" s="47" t="s">
        <v>111</v>
      </c>
      <c r="C65" s="47">
        <f>C63</f>
        <v>2</v>
      </c>
      <c r="D65" s="47">
        <f>D64+$F$5</f>
        <v>1140</v>
      </c>
      <c r="E65" s="47">
        <f>E62</f>
        <v>2335</v>
      </c>
      <c r="F65" s="47">
        <f t="shared" si="21"/>
        <v>0.60599999999999998</v>
      </c>
      <c r="G65" s="47">
        <v>0.1515</v>
      </c>
      <c r="H65" s="47">
        <v>320</v>
      </c>
      <c r="I65" s="98" t="s">
        <v>177</v>
      </c>
      <c r="J65" s="47">
        <v>0</v>
      </c>
      <c r="K65" s="47">
        <v>6</v>
      </c>
      <c r="L65" s="80"/>
      <c r="M65" s="42" t="s">
        <v>163</v>
      </c>
      <c r="AB65" s="12"/>
    </row>
    <row r="66" spans="1:28">
      <c r="A66" s="47">
        <f t="shared" si="19"/>
        <v>8</v>
      </c>
      <c r="B66" s="47" t="s">
        <v>112</v>
      </c>
      <c r="C66" s="47">
        <f>C63</f>
        <v>2</v>
      </c>
      <c r="D66" s="47">
        <f>D65+$F$5</f>
        <v>1300</v>
      </c>
      <c r="E66" s="47">
        <f t="shared" ref="E66:E70" si="22">E62</f>
        <v>2335</v>
      </c>
      <c r="F66" s="47">
        <f t="shared" si="21"/>
        <v>0.60599999999999998</v>
      </c>
      <c r="G66" s="47">
        <v>0.1515</v>
      </c>
      <c r="H66" s="47">
        <v>320</v>
      </c>
      <c r="I66" s="98" t="s">
        <v>177</v>
      </c>
      <c r="J66" s="47">
        <v>0</v>
      </c>
      <c r="K66" s="47">
        <v>6</v>
      </c>
      <c r="L66" s="80"/>
      <c r="M66" s="42" t="s">
        <v>165</v>
      </c>
    </row>
    <row r="67" spans="1:28" s="12" customFormat="1">
      <c r="A67" s="78">
        <f t="shared" si="19"/>
        <v>9</v>
      </c>
      <c r="B67" s="78" t="s">
        <v>113</v>
      </c>
      <c r="C67" s="78">
        <f>C64</f>
        <v>2</v>
      </c>
      <c r="D67" s="78">
        <f>D66+$H$5</f>
        <v>1540</v>
      </c>
      <c r="E67" s="78">
        <f t="shared" si="22"/>
        <v>2335</v>
      </c>
      <c r="F67" s="78" t="s">
        <v>155</v>
      </c>
      <c r="G67" s="78" t="s">
        <v>154</v>
      </c>
      <c r="H67" s="78">
        <v>320</v>
      </c>
      <c r="I67" s="105" t="s">
        <v>177</v>
      </c>
      <c r="J67" s="78">
        <v>0</v>
      </c>
      <c r="K67" s="78">
        <v>6</v>
      </c>
      <c r="L67" s="80"/>
      <c r="M67" s="12" t="s">
        <v>156</v>
      </c>
      <c r="V67" s="42"/>
      <c r="W67" s="42"/>
      <c r="X67" s="42"/>
      <c r="Y67" s="42"/>
      <c r="Z67" s="42"/>
      <c r="AA67" s="42"/>
      <c r="AB67" s="42"/>
    </row>
    <row r="68" spans="1:28" s="12" customFormat="1">
      <c r="A68" s="48">
        <f t="shared" ref="A68:A76" si="23">A67+1</f>
        <v>10</v>
      </c>
      <c r="B68" s="48" t="s">
        <v>114</v>
      </c>
      <c r="C68" s="48">
        <v>2</v>
      </c>
      <c r="D68" s="48">
        <f>D67+$F$5</f>
        <v>1700</v>
      </c>
      <c r="E68" s="48">
        <f t="shared" si="22"/>
        <v>2335</v>
      </c>
      <c r="F68" s="78" t="s">
        <v>155</v>
      </c>
      <c r="G68" s="48"/>
      <c r="H68" s="48">
        <f>H64</f>
        <v>320</v>
      </c>
      <c r="I68" s="99" t="s">
        <v>177</v>
      </c>
      <c r="J68" s="48">
        <v>0</v>
      </c>
      <c r="K68" s="48">
        <v>6</v>
      </c>
      <c r="L68" s="93"/>
      <c r="M68" s="12" t="s">
        <v>157</v>
      </c>
      <c r="V68" s="42"/>
      <c r="W68" s="42"/>
      <c r="X68" s="42"/>
      <c r="Y68" s="42"/>
      <c r="Z68" s="42"/>
      <c r="AA68" s="42"/>
      <c r="AB68" s="42"/>
    </row>
    <row r="69" spans="1:28" s="12" customFormat="1">
      <c r="A69" s="48">
        <f>A68+1</f>
        <v>11</v>
      </c>
      <c r="B69" s="48" t="s">
        <v>115</v>
      </c>
      <c r="C69" s="48">
        <v>2</v>
      </c>
      <c r="D69" s="48">
        <f>D68+$F$5</f>
        <v>1860</v>
      </c>
      <c r="E69" s="48">
        <f t="shared" si="22"/>
        <v>2335</v>
      </c>
      <c r="F69" s="78" t="s">
        <v>155</v>
      </c>
      <c r="G69" s="48"/>
      <c r="H69" s="48">
        <f>H65</f>
        <v>320</v>
      </c>
      <c r="I69" s="99" t="s">
        <v>177</v>
      </c>
      <c r="J69" s="48">
        <v>0</v>
      </c>
      <c r="K69" s="48">
        <v>6</v>
      </c>
      <c r="L69" s="93"/>
      <c r="M69" s="12" t="s">
        <v>158</v>
      </c>
      <c r="V69" s="42"/>
      <c r="W69" s="42"/>
      <c r="X69" s="42"/>
      <c r="Y69" s="42"/>
      <c r="Z69" s="42"/>
      <c r="AA69" s="42"/>
      <c r="AB69" s="42"/>
    </row>
    <row r="70" spans="1:28" s="12" customFormat="1">
      <c r="A70" s="48">
        <f>A69+1</f>
        <v>12</v>
      </c>
      <c r="B70" s="48" t="s">
        <v>116</v>
      </c>
      <c r="C70" s="48">
        <v>2</v>
      </c>
      <c r="D70" s="48">
        <f>D69+$F$5</f>
        <v>2020</v>
      </c>
      <c r="E70" s="48">
        <f t="shared" si="22"/>
        <v>2335</v>
      </c>
      <c r="F70" s="78" t="s">
        <v>155</v>
      </c>
      <c r="G70" s="48"/>
      <c r="H70" s="48">
        <f>H66</f>
        <v>320</v>
      </c>
      <c r="I70" s="99" t="s">
        <v>177</v>
      </c>
      <c r="J70" s="48">
        <v>0</v>
      </c>
      <c r="K70" s="48">
        <v>6</v>
      </c>
      <c r="L70" s="93"/>
      <c r="M70" s="12" t="s">
        <v>159</v>
      </c>
      <c r="V70" s="42"/>
      <c r="W70" s="42"/>
      <c r="X70" s="42"/>
      <c r="Y70" s="42"/>
      <c r="Z70" s="42"/>
      <c r="AA70" s="42"/>
      <c r="AB70" s="42"/>
    </row>
    <row r="71" spans="1:28">
      <c r="A71" s="60">
        <f t="shared" si="23"/>
        <v>13</v>
      </c>
      <c r="B71" s="60" t="s">
        <v>117</v>
      </c>
      <c r="C71" s="60">
        <v>2</v>
      </c>
      <c r="D71" s="60">
        <f>D70+$H$5</f>
        <v>2260</v>
      </c>
      <c r="E71" s="60">
        <f t="shared" ref="E71:E76" si="24">E70</f>
        <v>2335</v>
      </c>
      <c r="F71" s="60">
        <v>0.42</v>
      </c>
      <c r="G71" s="60"/>
      <c r="H71" s="60">
        <v>320</v>
      </c>
      <c r="I71" s="103" t="s">
        <v>177</v>
      </c>
      <c r="J71" s="60">
        <v>0</v>
      </c>
      <c r="K71" s="60">
        <v>6</v>
      </c>
      <c r="L71" s="80"/>
      <c r="M71" s="12" t="s">
        <v>156</v>
      </c>
    </row>
    <row r="72" spans="1:28">
      <c r="A72" s="60">
        <f t="shared" si="23"/>
        <v>14</v>
      </c>
      <c r="B72" s="60" t="s">
        <v>118</v>
      </c>
      <c r="C72" s="61">
        <v>2</v>
      </c>
      <c r="D72" s="60">
        <f>D71+$F$5</f>
        <v>2420</v>
      </c>
      <c r="E72" s="60">
        <f t="shared" si="24"/>
        <v>2335</v>
      </c>
      <c r="F72" s="60">
        <v>0.42</v>
      </c>
      <c r="G72" s="60"/>
      <c r="H72" s="60">
        <v>320</v>
      </c>
      <c r="I72" s="103" t="s">
        <v>177</v>
      </c>
      <c r="J72" s="60">
        <v>0</v>
      </c>
      <c r="K72" s="60">
        <v>6</v>
      </c>
      <c r="L72" s="93"/>
      <c r="M72" s="42" t="s">
        <v>160</v>
      </c>
    </row>
    <row r="73" spans="1:28">
      <c r="A73" s="60">
        <f t="shared" si="23"/>
        <v>15</v>
      </c>
      <c r="B73" s="60" t="s">
        <v>122</v>
      </c>
      <c r="C73" s="60">
        <v>2</v>
      </c>
      <c r="D73" s="60">
        <f>D72+$F$5</f>
        <v>2580</v>
      </c>
      <c r="E73" s="60">
        <f t="shared" si="24"/>
        <v>2335</v>
      </c>
      <c r="F73" s="60">
        <v>0.42</v>
      </c>
      <c r="G73" s="60"/>
      <c r="H73" s="60">
        <v>320</v>
      </c>
      <c r="I73" s="103" t="s">
        <v>177</v>
      </c>
      <c r="J73" s="60">
        <v>0</v>
      </c>
      <c r="K73" s="60">
        <v>6</v>
      </c>
      <c r="L73" s="93"/>
      <c r="M73" s="42" t="s">
        <v>161</v>
      </c>
    </row>
    <row r="74" spans="1:28">
      <c r="A74" s="60">
        <f t="shared" si="23"/>
        <v>16</v>
      </c>
      <c r="B74" s="60" t="s">
        <v>123</v>
      </c>
      <c r="C74" s="60">
        <v>2</v>
      </c>
      <c r="D74" s="60">
        <f>D73+$F$5</f>
        <v>2740</v>
      </c>
      <c r="E74" s="60">
        <f t="shared" si="24"/>
        <v>2335</v>
      </c>
      <c r="F74" s="60">
        <v>0.42</v>
      </c>
      <c r="G74" s="60"/>
      <c r="H74" s="60">
        <v>320</v>
      </c>
      <c r="I74" s="103" t="s">
        <v>177</v>
      </c>
      <c r="J74" s="60">
        <v>0</v>
      </c>
      <c r="K74" s="60">
        <v>6</v>
      </c>
      <c r="L74" s="93"/>
      <c r="M74" s="42" t="s">
        <v>162</v>
      </c>
    </row>
    <row r="75" spans="1:28">
      <c r="A75" s="60">
        <f t="shared" si="23"/>
        <v>17</v>
      </c>
      <c r="B75" s="60" t="s">
        <v>119</v>
      </c>
      <c r="C75" s="60">
        <v>2</v>
      </c>
      <c r="D75" s="60">
        <f>D74+$F$5</f>
        <v>2900</v>
      </c>
      <c r="E75" s="60">
        <f t="shared" si="24"/>
        <v>2335</v>
      </c>
      <c r="F75" s="60">
        <v>0.42</v>
      </c>
      <c r="G75" s="60"/>
      <c r="H75" s="60">
        <v>320</v>
      </c>
      <c r="I75" s="103" t="s">
        <v>178</v>
      </c>
      <c r="J75" s="60">
        <v>0</v>
      </c>
      <c r="K75" s="60">
        <v>6</v>
      </c>
      <c r="L75" s="80"/>
      <c r="M75" s="42" t="s">
        <v>156</v>
      </c>
    </row>
    <row r="76" spans="1:28">
      <c r="A76" s="60">
        <f t="shared" si="23"/>
        <v>18</v>
      </c>
      <c r="B76" s="60" t="s">
        <v>120</v>
      </c>
      <c r="C76" s="60">
        <v>2</v>
      </c>
      <c r="D76" s="60">
        <f>D75+$F$5</f>
        <v>3060</v>
      </c>
      <c r="E76" s="60">
        <f t="shared" si="24"/>
        <v>2335</v>
      </c>
      <c r="F76" s="60">
        <v>0.42</v>
      </c>
      <c r="G76" s="60"/>
      <c r="H76" s="60">
        <v>320</v>
      </c>
      <c r="I76" s="103" t="s">
        <v>178</v>
      </c>
      <c r="J76" s="60">
        <v>0</v>
      </c>
      <c r="K76" s="60">
        <v>6</v>
      </c>
      <c r="L76" s="80"/>
      <c r="M76" s="42" t="s">
        <v>164</v>
      </c>
    </row>
    <row r="77" spans="1:28">
      <c r="A77" s="63">
        <f>A76+1</f>
        <v>19</v>
      </c>
      <c r="B77" s="63" t="s">
        <v>121</v>
      </c>
      <c r="C77" s="63">
        <v>2</v>
      </c>
      <c r="D77" s="63">
        <f>D76+$H$5</f>
        <v>3300</v>
      </c>
      <c r="E77" s="63">
        <f>E76</f>
        <v>2335</v>
      </c>
      <c r="F77" s="64">
        <v>0.5</v>
      </c>
      <c r="G77" s="64"/>
      <c r="H77" s="63">
        <v>320</v>
      </c>
      <c r="I77" s="104" t="s">
        <v>178</v>
      </c>
      <c r="J77" s="63">
        <v>0</v>
      </c>
      <c r="K77" s="63">
        <v>6</v>
      </c>
      <c r="L77" s="80"/>
      <c r="M77" s="42" t="s">
        <v>163</v>
      </c>
    </row>
    <row r="78" spans="1:28">
      <c r="A78" s="63">
        <f>A77+1</f>
        <v>20</v>
      </c>
      <c r="B78" s="63" t="s">
        <v>124</v>
      </c>
      <c r="C78" s="63">
        <v>2</v>
      </c>
      <c r="D78" s="63">
        <f>D77+$F$5</f>
        <v>3460</v>
      </c>
      <c r="E78" s="63">
        <f>E77</f>
        <v>2335</v>
      </c>
      <c r="F78" s="64">
        <v>0.5</v>
      </c>
      <c r="G78" s="64"/>
      <c r="H78" s="63">
        <v>320</v>
      </c>
      <c r="I78" s="104" t="s">
        <v>178</v>
      </c>
      <c r="J78" s="63">
        <v>0</v>
      </c>
      <c r="K78" s="63">
        <v>6</v>
      </c>
      <c r="L78" s="80"/>
      <c r="M78" s="42" t="s">
        <v>165</v>
      </c>
    </row>
    <row r="79" spans="1:28">
      <c r="A79" s="50"/>
      <c r="B79" s="50"/>
      <c r="C79" s="50"/>
      <c r="D79" s="50"/>
      <c r="E79" s="50"/>
      <c r="F79" s="51"/>
      <c r="G79" s="51"/>
      <c r="H79" s="50"/>
      <c r="I79" s="100"/>
      <c r="J79" s="50"/>
      <c r="K79" s="50"/>
      <c r="L79" s="90"/>
    </row>
    <row r="80" spans="1:28">
      <c r="A80" s="14"/>
      <c r="B80" s="14"/>
      <c r="C80" s="14"/>
      <c r="D80" s="14"/>
      <c r="E80" s="14"/>
      <c r="F80" s="15"/>
      <c r="G80" s="15"/>
      <c r="H80" s="14"/>
      <c r="I80" s="101"/>
      <c r="J80" s="16"/>
      <c r="K80" s="16"/>
      <c r="L80" s="90"/>
    </row>
    <row r="81" spans="1:15">
      <c r="A81" s="52"/>
      <c r="B81" s="52"/>
      <c r="C81" s="52"/>
      <c r="D81" s="52"/>
      <c r="E81" s="52"/>
      <c r="F81" s="52"/>
      <c r="G81" s="52"/>
      <c r="H81" s="52"/>
      <c r="I81" s="102"/>
      <c r="J81" s="53"/>
      <c r="K81" s="53"/>
      <c r="L81" s="90"/>
    </row>
    <row r="83" spans="1:15" ht="16">
      <c r="A83" s="39"/>
      <c r="B83" s="39"/>
      <c r="C83" s="39"/>
      <c r="D83" s="39"/>
      <c r="E83" s="39"/>
      <c r="F83" s="39"/>
      <c r="G83" s="39"/>
      <c r="H83" s="39"/>
      <c r="I83" s="106"/>
      <c r="J83" s="39"/>
      <c r="K83" s="39"/>
      <c r="L83" s="40"/>
      <c r="M83" s="59"/>
      <c r="N83" s="59"/>
      <c r="O83" s="59"/>
    </row>
    <row r="84" spans="1:15" ht="16">
      <c r="A84" s="39"/>
      <c r="B84" s="39"/>
      <c r="C84" s="39"/>
      <c r="D84" s="39"/>
      <c r="E84" s="39"/>
      <c r="F84" s="39"/>
      <c r="G84" s="39"/>
      <c r="H84" s="39"/>
      <c r="I84" s="106"/>
      <c r="J84" s="39"/>
      <c r="K84" s="39"/>
      <c r="L84" s="40"/>
      <c r="M84" s="59"/>
      <c r="N84" s="59"/>
      <c r="O84" s="59"/>
    </row>
    <row r="85" spans="1:15" ht="16">
      <c r="A85" s="39"/>
      <c r="B85" s="39"/>
      <c r="C85" s="39"/>
      <c r="D85" s="39"/>
      <c r="E85" s="65"/>
      <c r="F85" s="65"/>
      <c r="G85" s="65"/>
      <c r="H85" s="59"/>
      <c r="I85" s="107"/>
      <c r="J85" s="59"/>
      <c r="K85" s="40"/>
      <c r="L85" s="40"/>
      <c r="M85" s="59"/>
      <c r="N85" s="59"/>
      <c r="O85" s="59"/>
    </row>
    <row r="86" spans="1:15" ht="16">
      <c r="A86" s="39"/>
      <c r="B86" s="39"/>
      <c r="C86" s="40"/>
      <c r="D86" s="40"/>
      <c r="E86" s="40"/>
      <c r="F86" s="40"/>
      <c r="G86" s="40"/>
      <c r="H86" s="40"/>
      <c r="I86" s="106"/>
      <c r="J86" s="40"/>
      <c r="K86" s="41"/>
      <c r="L86" s="40"/>
      <c r="M86" s="59"/>
      <c r="N86" s="59"/>
      <c r="O86" s="59"/>
    </row>
    <row r="87" spans="1:15" ht="16">
      <c r="A87" s="39"/>
      <c r="B87" s="39"/>
      <c r="C87" s="40"/>
      <c r="D87" s="40"/>
      <c r="E87" s="40"/>
      <c r="F87" s="40"/>
      <c r="G87" s="40"/>
      <c r="H87" s="40"/>
      <c r="I87" s="106"/>
      <c r="J87" s="40"/>
      <c r="K87" s="39"/>
      <c r="L87" s="40"/>
      <c r="M87" s="59"/>
      <c r="N87" s="59"/>
      <c r="O87" s="59"/>
    </row>
    <row r="88" spans="1:15" ht="16">
      <c r="A88" s="39"/>
      <c r="B88" s="39"/>
      <c r="C88" s="40"/>
      <c r="D88" s="40"/>
      <c r="E88" s="40"/>
      <c r="F88" s="40"/>
      <c r="G88" s="40"/>
      <c r="H88" s="40"/>
      <c r="I88" s="106"/>
      <c r="J88" s="40"/>
      <c r="K88" s="39"/>
      <c r="L88" s="40"/>
      <c r="M88" s="59"/>
      <c r="N88" s="59"/>
      <c r="O88" s="59"/>
    </row>
    <row r="89" spans="1:15" ht="16">
      <c r="A89" s="39"/>
      <c r="B89" s="39"/>
      <c r="C89" s="40"/>
      <c r="D89" s="40"/>
      <c r="E89" s="40"/>
      <c r="F89" s="40"/>
      <c r="G89" s="40"/>
      <c r="H89" s="40"/>
      <c r="I89" s="106"/>
      <c r="J89" s="40"/>
      <c r="K89" s="39"/>
      <c r="L89" s="40"/>
      <c r="M89" s="59"/>
      <c r="N89" s="59"/>
      <c r="O89" s="59"/>
    </row>
    <row r="90" spans="1:15" ht="16">
      <c r="A90" s="39"/>
      <c r="B90" s="39"/>
      <c r="C90" s="40"/>
      <c r="D90" s="40"/>
      <c r="E90" s="40"/>
      <c r="F90" s="40"/>
      <c r="G90" s="40"/>
      <c r="H90" s="40"/>
      <c r="I90" s="106"/>
      <c r="J90" s="40"/>
      <c r="K90" s="39"/>
      <c r="L90" s="40"/>
      <c r="M90" s="59"/>
      <c r="N90" s="59"/>
      <c r="O90" s="59"/>
    </row>
    <row r="91" spans="1:15" ht="16">
      <c r="A91" s="39"/>
      <c r="B91" s="39"/>
      <c r="C91" s="40"/>
      <c r="D91" s="40"/>
      <c r="E91" s="66"/>
      <c r="F91" s="40"/>
      <c r="G91" s="40"/>
      <c r="H91" s="40"/>
      <c r="I91" s="106"/>
      <c r="J91" s="40"/>
      <c r="K91" s="39"/>
      <c r="L91" s="40"/>
      <c r="M91" s="59"/>
      <c r="N91" s="59"/>
      <c r="O91" s="59"/>
    </row>
    <row r="92" spans="1:15" ht="16">
      <c r="A92" s="39"/>
      <c r="B92" s="39"/>
      <c r="C92" s="40"/>
      <c r="D92" s="40"/>
      <c r="E92" s="40"/>
      <c r="F92" s="40"/>
      <c r="G92" s="40"/>
      <c r="H92" s="40"/>
      <c r="I92" s="106"/>
      <c r="J92" s="40"/>
      <c r="K92" s="39"/>
      <c r="L92" s="40"/>
      <c r="M92" s="59"/>
      <c r="N92" s="59"/>
      <c r="O92" s="59"/>
    </row>
    <row r="93" spans="1:15" ht="16">
      <c r="A93" s="39"/>
      <c r="B93" s="39"/>
      <c r="C93" s="40"/>
      <c r="D93" s="40"/>
      <c r="E93" s="40"/>
      <c r="F93" s="40"/>
      <c r="G93" s="40"/>
      <c r="H93" s="40"/>
      <c r="I93" s="106"/>
      <c r="J93" s="40"/>
      <c r="K93" s="39"/>
      <c r="L93" s="40"/>
      <c r="M93" s="59"/>
      <c r="N93" s="59"/>
      <c r="O93" s="59"/>
    </row>
    <row r="94" spans="1:15" ht="16">
      <c r="A94" s="39"/>
      <c r="B94" s="39"/>
      <c r="C94" s="40"/>
      <c r="D94" s="40"/>
      <c r="E94" s="40"/>
      <c r="F94" s="40"/>
      <c r="G94" s="40"/>
      <c r="H94" s="40"/>
      <c r="I94" s="106"/>
      <c r="J94" s="40"/>
      <c r="K94" s="39"/>
      <c r="L94" s="40"/>
      <c r="M94" s="59"/>
      <c r="N94" s="59"/>
      <c r="O94" s="59"/>
    </row>
    <row r="95" spans="1:15">
      <c r="A95" s="59"/>
      <c r="B95" s="59"/>
      <c r="C95" s="57"/>
      <c r="D95" s="57"/>
      <c r="E95" s="57"/>
      <c r="F95" s="57"/>
      <c r="G95" s="57"/>
      <c r="H95" s="57"/>
      <c r="I95" s="107"/>
      <c r="J95" s="57"/>
      <c r="K95" s="59"/>
      <c r="L95" s="57"/>
      <c r="M95" s="59"/>
      <c r="N95" s="59"/>
      <c r="O95" s="59"/>
    </row>
    <row r="96" spans="1:15" ht="16">
      <c r="A96" s="59"/>
      <c r="B96" s="59"/>
      <c r="C96" s="59"/>
      <c r="D96" s="59"/>
      <c r="E96" s="67"/>
      <c r="F96" s="57"/>
      <c r="G96" s="57"/>
      <c r="H96" s="57"/>
      <c r="I96" s="107"/>
      <c r="J96" s="57"/>
      <c r="K96" s="57"/>
      <c r="L96" s="57"/>
      <c r="M96" s="59"/>
      <c r="N96" s="59"/>
      <c r="O96" s="59"/>
    </row>
    <row r="97" spans="1:15" ht="16">
      <c r="A97" s="59"/>
      <c r="B97" s="59"/>
      <c r="C97" s="59"/>
      <c r="D97" s="59"/>
      <c r="E97" s="67"/>
      <c r="F97" s="57"/>
      <c r="G97" s="57"/>
      <c r="H97" s="57"/>
      <c r="I97" s="107"/>
      <c r="J97" s="57"/>
      <c r="K97" s="57"/>
      <c r="L97" s="57"/>
      <c r="M97" s="59"/>
      <c r="N97" s="59"/>
      <c r="O97" s="59"/>
    </row>
    <row r="98" spans="1:15">
      <c r="A98" s="59"/>
      <c r="B98" s="59"/>
      <c r="C98" s="59"/>
      <c r="D98" s="59"/>
      <c r="E98" s="59"/>
      <c r="F98" s="59"/>
      <c r="G98" s="59"/>
      <c r="H98" s="59"/>
      <c r="I98" s="107"/>
      <c r="J98" s="59"/>
      <c r="K98" s="59"/>
      <c r="L98" s="57"/>
      <c r="M98" s="59"/>
      <c r="N98" s="59"/>
      <c r="O98" s="59"/>
    </row>
    <row r="99" spans="1:15">
      <c r="A99" s="59"/>
      <c r="B99" s="59"/>
      <c r="C99" s="59"/>
      <c r="D99" s="59"/>
      <c r="E99" s="59"/>
      <c r="F99" s="59"/>
      <c r="G99" s="59"/>
      <c r="H99" s="59"/>
      <c r="I99" s="107"/>
      <c r="J99" s="59"/>
      <c r="K99" s="59"/>
      <c r="L99" s="57"/>
      <c r="M99" s="59"/>
      <c r="N99" s="59"/>
      <c r="O99" s="59"/>
    </row>
    <row r="100" spans="1:15">
      <c r="A100" s="59"/>
      <c r="B100" s="59"/>
      <c r="C100" s="59"/>
      <c r="D100" s="59"/>
      <c r="E100" s="59"/>
      <c r="F100" s="59"/>
      <c r="G100" s="59"/>
      <c r="H100" s="59"/>
      <c r="I100" s="107"/>
      <c r="J100" s="59"/>
      <c r="K100" s="59"/>
      <c r="L100" s="57"/>
      <c r="M100" s="59"/>
      <c r="N100" s="59"/>
      <c r="O100" s="59"/>
    </row>
    <row r="101" spans="1:15">
      <c r="A101" s="59"/>
      <c r="B101" s="59"/>
      <c r="C101" s="59"/>
      <c r="D101" s="59"/>
      <c r="E101" s="59"/>
      <c r="F101" s="59"/>
      <c r="G101" s="59"/>
      <c r="H101" s="59"/>
      <c r="I101" s="107"/>
      <c r="J101" s="59"/>
      <c r="K101" s="59"/>
      <c r="L101" s="57"/>
      <c r="M101" s="59"/>
      <c r="N101" s="59"/>
      <c r="O101" s="59"/>
    </row>
    <row r="102" spans="1:15">
      <c r="A102" s="59"/>
      <c r="B102" s="59"/>
      <c r="C102" s="59"/>
      <c r="D102" s="59"/>
      <c r="E102" s="59"/>
      <c r="F102" s="59"/>
      <c r="G102" s="59"/>
      <c r="H102" s="59"/>
      <c r="I102" s="107"/>
      <c r="J102" s="59"/>
      <c r="K102" s="59"/>
      <c r="L102" s="57"/>
      <c r="M102" s="59"/>
      <c r="N102" s="59"/>
      <c r="O102" s="59"/>
    </row>
    <row r="103" spans="1:15">
      <c r="A103" s="59"/>
      <c r="B103" s="59"/>
      <c r="C103" s="59"/>
      <c r="D103" s="59"/>
      <c r="E103" s="59"/>
      <c r="F103" s="59"/>
      <c r="G103" s="59"/>
      <c r="H103" s="59"/>
      <c r="I103" s="107"/>
      <c r="J103" s="59"/>
      <c r="K103" s="59"/>
      <c r="L103" s="57"/>
      <c r="M103" s="59"/>
      <c r="N103" s="59"/>
      <c r="O103" s="59"/>
    </row>
  </sheetData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S41"/>
  <sheetViews>
    <sheetView workbookViewId="0">
      <selection activeCell="A7" sqref="A7"/>
    </sheetView>
  </sheetViews>
  <sheetFormatPr baseColWidth="10" defaultColWidth="10.7109375" defaultRowHeight="13" x14ac:dyDescent="0"/>
  <cols>
    <col min="1" max="1" width="3.5703125" style="1" customWidth="1"/>
    <col min="2" max="2" width="9.5703125" style="1" customWidth="1"/>
    <col min="3" max="3" width="9.140625" style="1" customWidth="1"/>
    <col min="4" max="4" width="6.85546875" style="1" customWidth="1"/>
    <col min="5" max="5" width="6" style="1" customWidth="1"/>
    <col min="6" max="6" width="8.28515625" style="1" customWidth="1"/>
    <col min="7" max="7" width="18.28515625" style="1" customWidth="1"/>
    <col min="8" max="8" width="8.42578125" style="1" customWidth="1"/>
    <col min="9" max="9" width="8" style="1" customWidth="1"/>
    <col min="10" max="10" width="8.42578125" style="1" customWidth="1"/>
    <col min="11" max="11" width="8" style="1" customWidth="1"/>
    <col min="12" max="12" width="6.42578125" style="1" customWidth="1"/>
    <col min="13" max="13" width="10.7109375" style="1"/>
    <col min="14" max="15" width="9.28515625" style="1" customWidth="1"/>
    <col min="16" max="16" width="10.7109375" style="1"/>
    <col min="17" max="18" width="7.42578125" style="8" customWidth="1"/>
    <col min="19" max="19" width="11.7109375" style="1" customWidth="1"/>
    <col min="20" max="16384" width="10.7109375" style="1"/>
  </cols>
  <sheetData>
    <row r="2" spans="1:18">
      <c r="C2" s="1" t="s">
        <v>8</v>
      </c>
      <c r="E2" s="1" t="s">
        <v>5</v>
      </c>
      <c r="F2" s="1" t="s">
        <v>6</v>
      </c>
      <c r="H2" s="3" t="s">
        <v>53</v>
      </c>
      <c r="I2" s="2"/>
      <c r="J2" s="3" t="s">
        <v>14</v>
      </c>
      <c r="K2" s="2"/>
      <c r="N2" s="7" t="s">
        <v>0</v>
      </c>
    </row>
    <row r="3" spans="1:18">
      <c r="A3" s="6" t="s">
        <v>45</v>
      </c>
      <c r="B3" s="2" t="s">
        <v>47</v>
      </c>
      <c r="C3" s="2" t="s">
        <v>9</v>
      </c>
      <c r="D3" s="2" t="s">
        <v>48</v>
      </c>
      <c r="E3" s="2" t="s">
        <v>7</v>
      </c>
      <c r="F3" s="2" t="s">
        <v>49</v>
      </c>
      <c r="G3" s="2" t="s">
        <v>51</v>
      </c>
      <c r="H3" s="2" t="s">
        <v>54</v>
      </c>
      <c r="I3" s="2" t="s">
        <v>52</v>
      </c>
      <c r="J3" s="2" t="s">
        <v>12</v>
      </c>
      <c r="K3" s="2" t="s">
        <v>13</v>
      </c>
      <c r="L3" s="2" t="s">
        <v>62</v>
      </c>
      <c r="M3" s="2" t="s">
        <v>58</v>
      </c>
      <c r="N3" s="2" t="s">
        <v>1</v>
      </c>
      <c r="O3" s="2" t="s">
        <v>2</v>
      </c>
      <c r="P3" s="6" t="s">
        <v>59</v>
      </c>
      <c r="Q3" s="8" t="s">
        <v>3</v>
      </c>
      <c r="R3" s="8" t="s">
        <v>4</v>
      </c>
    </row>
    <row r="4" spans="1:18">
      <c r="A4" s="1">
        <v>6</v>
      </c>
      <c r="B4" s="1">
        <v>1</v>
      </c>
      <c r="C4" s="1">
        <v>6</v>
      </c>
      <c r="D4" s="1">
        <v>0.25</v>
      </c>
      <c r="E4" s="1">
        <v>500</v>
      </c>
      <c r="F4" s="1">
        <v>160</v>
      </c>
      <c r="G4" s="1" t="s">
        <v>55</v>
      </c>
      <c r="H4" s="1">
        <v>80</v>
      </c>
      <c r="I4" s="1">
        <v>290</v>
      </c>
      <c r="J4" s="1">
        <f t="shared" ref="J4:J9" si="0">H4-$H$4</f>
        <v>0</v>
      </c>
      <c r="K4" s="1">
        <f t="shared" ref="K4:K9" si="1">I4-$I$4</f>
        <v>0</v>
      </c>
      <c r="M4" s="5">
        <f t="shared" ref="M4:M9" si="2">-E4*(TAN(1*PI()/180)+TAN(C4*PI()/180))</f>
        <v>-61.279650096947023</v>
      </c>
      <c r="N4" s="5">
        <f t="shared" ref="N4:N9" si="3">1.3*R4</f>
        <v>68.317752922689692</v>
      </c>
      <c r="O4" s="4">
        <f>R4</f>
        <v>52.552117632838225</v>
      </c>
      <c r="P4" s="1" t="s">
        <v>61</v>
      </c>
      <c r="Q4" s="9">
        <f>$E4*TAN(1*PI()/180)</f>
        <v>8.7275324641087924</v>
      </c>
      <c r="R4" s="9">
        <f>$E4*TAN(C4*PI()/180)</f>
        <v>52.552117632838225</v>
      </c>
    </row>
    <row r="5" spans="1:18">
      <c r="A5" s="1">
        <v>6</v>
      </c>
      <c r="B5" s="1">
        <v>1</v>
      </c>
      <c r="C5" s="1">
        <v>6</v>
      </c>
      <c r="D5" s="1">
        <v>0.33</v>
      </c>
      <c r="E5" s="1">
        <v>500</v>
      </c>
      <c r="F5" s="1">
        <v>160</v>
      </c>
      <c r="G5" s="1" t="s">
        <v>55</v>
      </c>
      <c r="H5" s="1">
        <v>1080</v>
      </c>
      <c r="I5" s="1">
        <v>290</v>
      </c>
      <c r="J5" s="1">
        <f t="shared" si="0"/>
        <v>1000</v>
      </c>
      <c r="K5" s="1">
        <f t="shared" si="1"/>
        <v>0</v>
      </c>
      <c r="M5" s="5">
        <f t="shared" si="2"/>
        <v>-61.279650096947023</v>
      </c>
      <c r="N5" s="5">
        <f t="shared" si="3"/>
        <v>68.317752922689692</v>
      </c>
      <c r="O5" s="4">
        <f>E5*TAN(C5*PI()/180)</f>
        <v>52.552117632838225</v>
      </c>
      <c r="P5" s="1" t="s">
        <v>61</v>
      </c>
      <c r="Q5" s="9">
        <f t="shared" ref="Q5:Q31" si="4">$E5*TAN(1*PI()/180)</f>
        <v>8.7275324641087924</v>
      </c>
      <c r="R5" s="9">
        <f t="shared" ref="R5:R7" si="5">$E5*TAN(C5*PI()/180)</f>
        <v>52.552117632838225</v>
      </c>
    </row>
    <row r="6" spans="1:18">
      <c r="A6" s="1">
        <v>6</v>
      </c>
      <c r="B6" s="1">
        <v>1</v>
      </c>
      <c r="C6" s="1">
        <v>6</v>
      </c>
      <c r="D6" s="1">
        <v>0.35</v>
      </c>
      <c r="E6" s="1">
        <v>500</v>
      </c>
      <c r="F6" s="1">
        <v>160</v>
      </c>
      <c r="G6" s="1" t="s">
        <v>55</v>
      </c>
      <c r="H6" s="1">
        <v>2080</v>
      </c>
      <c r="I6" s="1">
        <v>290</v>
      </c>
      <c r="J6" s="1">
        <f t="shared" si="0"/>
        <v>2000</v>
      </c>
      <c r="K6" s="1">
        <f t="shared" si="1"/>
        <v>0</v>
      </c>
      <c r="M6" s="5">
        <f t="shared" si="2"/>
        <v>-61.279650096947023</v>
      </c>
      <c r="N6" s="5">
        <f t="shared" si="3"/>
        <v>68.317752922689692</v>
      </c>
      <c r="O6" s="4">
        <f>E6*TAN(C6*PI()/180)</f>
        <v>52.552117632838225</v>
      </c>
      <c r="P6" s="1" t="s">
        <v>61</v>
      </c>
      <c r="Q6" s="9">
        <f t="shared" si="4"/>
        <v>8.7275324641087924</v>
      </c>
      <c r="R6" s="9">
        <f t="shared" si="5"/>
        <v>52.552117632838225</v>
      </c>
    </row>
    <row r="7" spans="1:18">
      <c r="A7" s="1">
        <v>6</v>
      </c>
      <c r="B7" s="1">
        <v>1</v>
      </c>
      <c r="C7" s="1">
        <v>8</v>
      </c>
      <c r="D7" s="1">
        <v>0.42</v>
      </c>
      <c r="E7" s="1">
        <v>380</v>
      </c>
      <c r="F7" s="1">
        <v>160</v>
      </c>
      <c r="G7" s="1" t="s">
        <v>55</v>
      </c>
      <c r="H7" s="1">
        <v>3080</v>
      </c>
      <c r="I7" s="1">
        <v>290</v>
      </c>
      <c r="J7" s="1">
        <f t="shared" si="0"/>
        <v>3000</v>
      </c>
      <c r="K7" s="1">
        <f t="shared" si="1"/>
        <v>0</v>
      </c>
      <c r="M7" s="5">
        <f>-E7*(TAN(1*PI()/180)+TAN(C7*PI()/180))</f>
        <v>-60.038441859631433</v>
      </c>
      <c r="N7" s="5">
        <f t="shared" si="3"/>
        <v>69.427172342981379</v>
      </c>
      <c r="O7" s="4">
        <f>E7*TAN(C7*PI()/180)</f>
        <v>53.405517186908753</v>
      </c>
      <c r="P7" s="1" t="s">
        <v>61</v>
      </c>
      <c r="Q7" s="9">
        <f t="shared" si="4"/>
        <v>6.632924672722682</v>
      </c>
      <c r="R7" s="9">
        <f t="shared" si="5"/>
        <v>53.405517186908753</v>
      </c>
    </row>
    <row r="8" spans="1:18">
      <c r="A8" s="1">
        <v>6</v>
      </c>
      <c r="B8" s="1">
        <v>2</v>
      </c>
      <c r="C8" s="1">
        <v>8</v>
      </c>
      <c r="D8" s="1">
        <v>0.5</v>
      </c>
      <c r="E8" s="1">
        <v>360</v>
      </c>
      <c r="F8" s="1">
        <v>160</v>
      </c>
      <c r="G8" s="1" t="s">
        <v>55</v>
      </c>
      <c r="H8" s="1">
        <v>80</v>
      </c>
      <c r="I8" s="1">
        <v>1500</v>
      </c>
      <c r="J8" s="1">
        <f t="shared" si="0"/>
        <v>0</v>
      </c>
      <c r="K8" s="1">
        <f t="shared" si="1"/>
        <v>1210</v>
      </c>
      <c r="M8" s="5">
        <f t="shared" si="2"/>
        <v>-56.878523867019254</v>
      </c>
      <c r="N8" s="5">
        <f t="shared" si="3"/>
        <v>65.773110640719196</v>
      </c>
      <c r="O8" s="4">
        <f>E8*TAN(C8*PI()/180)</f>
        <v>50.594700492860923</v>
      </c>
      <c r="P8" s="1" t="s">
        <v>61</v>
      </c>
      <c r="Q8" s="9">
        <f t="shared" si="4"/>
        <v>6.2838233741583309</v>
      </c>
      <c r="R8" s="9">
        <f t="shared" ref="R8:R9" si="6">$E8*TAN(C8*PI()/180)</f>
        <v>50.594700492860923</v>
      </c>
    </row>
    <row r="9" spans="1:18">
      <c r="A9" s="1">
        <v>6</v>
      </c>
      <c r="B9" s="1">
        <v>2</v>
      </c>
      <c r="C9" s="1">
        <v>10</v>
      </c>
      <c r="D9" s="1">
        <v>0.625</v>
      </c>
      <c r="E9" s="1">
        <v>275</v>
      </c>
      <c r="F9" s="1">
        <v>160</v>
      </c>
      <c r="G9" s="1" t="s">
        <v>55</v>
      </c>
      <c r="H9" s="1">
        <v>1080</v>
      </c>
      <c r="I9" s="1">
        <v>1500</v>
      </c>
      <c r="J9" s="1">
        <f t="shared" si="0"/>
        <v>1000</v>
      </c>
      <c r="K9" s="1">
        <f t="shared" si="1"/>
        <v>1210</v>
      </c>
      <c r="M9" s="5">
        <f t="shared" si="2"/>
        <v>-53.290062550087704</v>
      </c>
      <c r="N9" s="5">
        <f t="shared" si="3"/>
        <v>63.036895603276228</v>
      </c>
      <c r="O9" s="4">
        <f>E9*TAN(C9*PI()/180)</f>
        <v>48.489919694827869</v>
      </c>
      <c r="P9" s="1" t="s">
        <v>61</v>
      </c>
      <c r="Q9" s="9">
        <f t="shared" si="4"/>
        <v>4.8001428552598364</v>
      </c>
      <c r="R9" s="9">
        <f t="shared" si="6"/>
        <v>48.489919694827869</v>
      </c>
    </row>
    <row r="10" spans="1:18">
      <c r="M10" s="5"/>
      <c r="N10" s="5"/>
      <c r="O10" s="5"/>
      <c r="Q10" s="9"/>
      <c r="R10" s="9"/>
    </row>
    <row r="11" spans="1:18">
      <c r="C11" s="1">
        <v>6</v>
      </c>
      <c r="D11" s="27">
        <v>0.04</v>
      </c>
      <c r="E11" s="1">
        <v>500</v>
      </c>
      <c r="G11" s="28" t="s">
        <v>37</v>
      </c>
      <c r="M11" s="5">
        <f>-E11*(TAN(1*PI()/180)+TAN(C11*PI()/180))</f>
        <v>-61.279650096947023</v>
      </c>
      <c r="N11" s="5">
        <f>1.3*R11</f>
        <v>68.317752922689692</v>
      </c>
      <c r="O11" s="5">
        <f>E11*TAN(C11*PI()/180)</f>
        <v>52.552117632838225</v>
      </c>
      <c r="P11" s="1" t="s">
        <v>61</v>
      </c>
      <c r="Q11" s="9">
        <f t="shared" si="4"/>
        <v>8.7275324641087924</v>
      </c>
      <c r="R11" s="9">
        <f t="shared" ref="R11:R12" si="7">$E11*TAN(C11*PI()/180)</f>
        <v>52.552117632838225</v>
      </c>
    </row>
    <row r="12" spans="1:18">
      <c r="C12" s="1">
        <v>2</v>
      </c>
      <c r="D12" s="26">
        <v>0.125</v>
      </c>
      <c r="E12" s="1">
        <v>1500</v>
      </c>
      <c r="G12" s="28" t="s">
        <v>38</v>
      </c>
      <c r="M12" s="5">
        <f>-E12*(TAN(1*PI()/180)+TAN(C12*PI()/180))</f>
        <v>-78.563751629947973</v>
      </c>
      <c r="N12" s="5">
        <f>1.3*R12</f>
        <v>68.095500508908074</v>
      </c>
      <c r="O12" s="5">
        <f>E12*TAN(C12*PI()/180)</f>
        <v>52.381154237621594</v>
      </c>
      <c r="P12" s="1" t="s">
        <v>61</v>
      </c>
      <c r="Q12" s="9">
        <f t="shared" si="4"/>
        <v>26.182597392326379</v>
      </c>
      <c r="R12" s="9">
        <f t="shared" si="7"/>
        <v>52.381154237621594</v>
      </c>
    </row>
    <row r="13" spans="1:18">
      <c r="M13" s="5"/>
      <c r="N13" s="5"/>
      <c r="O13" s="5"/>
      <c r="Q13" s="9"/>
      <c r="R13" s="9"/>
    </row>
    <row r="14" spans="1:18" ht="209" customHeight="1"/>
    <row r="15" spans="1:18" s="29" customFormat="1">
      <c r="A15" s="29">
        <v>1</v>
      </c>
      <c r="B15" s="29">
        <v>3</v>
      </c>
      <c r="C15" s="29">
        <v>5</v>
      </c>
      <c r="D15" s="29">
        <v>0.27</v>
      </c>
      <c r="E15" s="29">
        <v>1500</v>
      </c>
      <c r="F15" s="29">
        <v>280</v>
      </c>
      <c r="G15" s="29" t="s">
        <v>28</v>
      </c>
      <c r="H15" s="29">
        <v>2975</v>
      </c>
      <c r="I15" s="29">
        <v>1500</v>
      </c>
      <c r="J15" s="29">
        <f>H15-$H$4</f>
        <v>2895</v>
      </c>
      <c r="K15" s="29">
        <f>I15-$I$4</f>
        <v>1210</v>
      </c>
      <c r="M15" s="30">
        <f>-E15*(TAN(1*PI()/180)+TAN(C15*PI()/180))</f>
        <v>-157.41559268121239</v>
      </c>
      <c r="N15" s="30">
        <f>1.3*R15</f>
        <v>170.60289387555181</v>
      </c>
      <c r="O15" s="30">
        <f>E15*TAN(C15*PI()/180)</f>
        <v>131.232995288886</v>
      </c>
      <c r="P15" s="29" t="s">
        <v>61</v>
      </c>
      <c r="Q15" s="30">
        <f t="shared" si="4"/>
        <v>26.182597392326379</v>
      </c>
      <c r="R15" s="30">
        <f t="shared" ref="R15:R18" si="8">$E15*TAN(C15*PI()/180)</f>
        <v>131.232995288886</v>
      </c>
    </row>
    <row r="16" spans="1:18" s="29" customFormat="1">
      <c r="A16" s="29">
        <v>1</v>
      </c>
      <c r="B16" s="29">
        <v>3</v>
      </c>
      <c r="C16" s="29">
        <v>5</v>
      </c>
      <c r="D16" s="29">
        <v>0.27</v>
      </c>
      <c r="E16" s="29">
        <v>1500</v>
      </c>
      <c r="F16" s="29">
        <v>280</v>
      </c>
      <c r="G16" s="29" t="s">
        <v>50</v>
      </c>
      <c r="H16" s="29">
        <v>3265</v>
      </c>
      <c r="I16" s="29">
        <v>1500</v>
      </c>
      <c r="J16" s="29">
        <f>H16-$H$4</f>
        <v>3185</v>
      </c>
      <c r="K16" s="29">
        <f>I16-$I$4</f>
        <v>1210</v>
      </c>
      <c r="M16" s="30">
        <f>-E16*(TAN(1*PI()/180)+TAN(C16*PI()/180))</f>
        <v>-157.41559268121239</v>
      </c>
      <c r="N16" s="30">
        <f>O16</f>
        <v>131.232995288886</v>
      </c>
      <c r="O16" s="30">
        <f>E16*TAN(C16*PI()/180)</f>
        <v>131.232995288886</v>
      </c>
      <c r="P16" s="29" t="s">
        <v>61</v>
      </c>
      <c r="Q16" s="30">
        <f t="shared" si="4"/>
        <v>26.182597392326379</v>
      </c>
      <c r="R16" s="30">
        <f t="shared" si="8"/>
        <v>131.232995288886</v>
      </c>
    </row>
    <row r="17" spans="1:19" s="29" customFormat="1">
      <c r="A17" s="29">
        <v>1</v>
      </c>
      <c r="B17" s="29">
        <v>3</v>
      </c>
      <c r="C17" s="29">
        <v>4</v>
      </c>
      <c r="D17" s="29">
        <v>0.21</v>
      </c>
      <c r="E17" s="29">
        <v>2000</v>
      </c>
      <c r="F17" s="29">
        <v>280</v>
      </c>
      <c r="G17" s="29" t="s">
        <v>50</v>
      </c>
      <c r="H17" s="29">
        <f>H16+280</f>
        <v>3545</v>
      </c>
      <c r="I17" s="29">
        <v>1500</v>
      </c>
      <c r="J17" s="29">
        <f>H17-$H$4</f>
        <v>3465</v>
      </c>
      <c r="K17" s="29">
        <f>I17-$I$4</f>
        <v>1210</v>
      </c>
      <c r="M17" s="30">
        <f>-E17*(TAN(1*PI()/180)+TAN(C17*PI()/180))</f>
        <v>-174.76375374345599</v>
      </c>
      <c r="N17" s="30">
        <f>O17</f>
        <v>139.85362388702083</v>
      </c>
      <c r="O17" s="30">
        <f>E17*TAN(C17*PI()/180)</f>
        <v>139.85362388702083</v>
      </c>
      <c r="P17" s="29" t="s">
        <v>61</v>
      </c>
      <c r="Q17" s="30">
        <f t="shared" si="4"/>
        <v>34.910129856435169</v>
      </c>
      <c r="R17" s="30">
        <f t="shared" si="8"/>
        <v>139.85362388702083</v>
      </c>
    </row>
    <row r="18" spans="1:19" s="31" customFormat="1" ht="39">
      <c r="A18" s="31">
        <v>1</v>
      </c>
      <c r="B18" s="31">
        <v>3</v>
      </c>
      <c r="C18" s="31">
        <v>2</v>
      </c>
      <c r="D18" s="31" t="s">
        <v>46</v>
      </c>
      <c r="E18" s="31">
        <v>750</v>
      </c>
      <c r="F18" s="31">
        <v>300</v>
      </c>
      <c r="G18" s="32" t="s">
        <v>29</v>
      </c>
      <c r="H18" s="31">
        <f>3680+150</f>
        <v>3830</v>
      </c>
      <c r="I18" s="31">
        <v>1500</v>
      </c>
      <c r="J18" s="29">
        <f>H18-$H$4</f>
        <v>3750</v>
      </c>
      <c r="K18" s="29">
        <f>I18-$I$4</f>
        <v>1210</v>
      </c>
      <c r="M18" s="33">
        <f>-E18*(TAN(1*PI()/180)+TAN(C18*PI()/180))</f>
        <v>-39.281875814973986</v>
      </c>
      <c r="N18" s="33">
        <f>1.3*R18</f>
        <v>34.047750254454037</v>
      </c>
      <c r="O18" s="33">
        <f>E18*TAN(C18*PI()/180)</f>
        <v>26.190577118810797</v>
      </c>
      <c r="P18" s="31" t="s">
        <v>30</v>
      </c>
      <c r="Q18" s="33">
        <f t="shared" si="4"/>
        <v>13.091298696163189</v>
      </c>
      <c r="R18" s="33">
        <f t="shared" si="8"/>
        <v>26.190577118810797</v>
      </c>
      <c r="S18" s="34" t="s">
        <v>31</v>
      </c>
    </row>
    <row r="19" spans="1:19" s="35" customFormat="1">
      <c r="A19" s="35" t="s">
        <v>11</v>
      </c>
      <c r="Q19" s="36"/>
      <c r="R19" s="36"/>
    </row>
    <row r="20" spans="1:19" s="22" customFormat="1">
      <c r="A20" s="22">
        <v>6</v>
      </c>
      <c r="B20" s="22">
        <v>4</v>
      </c>
      <c r="C20" s="22">
        <v>6</v>
      </c>
      <c r="D20" s="22">
        <v>0.33</v>
      </c>
      <c r="E20" s="22">
        <v>500</v>
      </c>
      <c r="F20" s="22">
        <v>160</v>
      </c>
      <c r="G20" s="22" t="s">
        <v>32</v>
      </c>
      <c r="H20" s="22">
        <v>80</v>
      </c>
      <c r="I20" s="22">
        <v>2465</v>
      </c>
      <c r="J20" s="22">
        <f>H20-$H$4</f>
        <v>0</v>
      </c>
      <c r="K20" s="22">
        <f>I20-$I$4</f>
        <v>2175</v>
      </c>
      <c r="L20" s="22" t="s">
        <v>56</v>
      </c>
      <c r="M20" s="23">
        <f>-E20*(TAN(1*PI()/180)+TAN(C20*PI()/180))</f>
        <v>-61.279650096947023</v>
      </c>
      <c r="N20" s="23">
        <f>1.3*R20</f>
        <v>68.317752922689692</v>
      </c>
      <c r="O20" s="23">
        <f>E20*TAN(C20*PI()/180)</f>
        <v>52.552117632838225</v>
      </c>
      <c r="P20" s="22" t="s">
        <v>33</v>
      </c>
      <c r="Q20" s="23">
        <f t="shared" si="4"/>
        <v>8.7275324641087924</v>
      </c>
      <c r="R20" s="23">
        <f t="shared" ref="R20:R22" si="9">$E20*TAN(C20*PI()/180)</f>
        <v>52.552117632838225</v>
      </c>
    </row>
    <row r="21" spans="1:19" s="22" customFormat="1">
      <c r="A21" s="22">
        <v>6</v>
      </c>
      <c r="B21" s="22">
        <v>4</v>
      </c>
      <c r="C21" s="22">
        <v>6</v>
      </c>
      <c r="D21" s="22">
        <v>0.35</v>
      </c>
      <c r="E21" s="22">
        <v>500</v>
      </c>
      <c r="F21" s="22">
        <v>160</v>
      </c>
      <c r="G21" s="22" t="s">
        <v>34</v>
      </c>
      <c r="H21" s="22">
        <v>1080</v>
      </c>
      <c r="I21" s="22">
        <v>2465</v>
      </c>
      <c r="J21" s="22">
        <f>H21-$H$4</f>
        <v>1000</v>
      </c>
      <c r="K21" s="22">
        <f>I21-$I$4</f>
        <v>2175</v>
      </c>
      <c r="L21" s="22" t="s">
        <v>56</v>
      </c>
      <c r="M21" s="23">
        <f>-E21*(TAN(1*PI()/180)+TAN(C21*PI()/180))</f>
        <v>-61.279650096947023</v>
      </c>
      <c r="N21" s="23">
        <f>1.3*R21</f>
        <v>68.317752922689692</v>
      </c>
      <c r="O21" s="23">
        <f>E21*TAN(C21*PI()/180)</f>
        <v>52.552117632838225</v>
      </c>
      <c r="P21" s="22" t="s">
        <v>33</v>
      </c>
      <c r="Q21" s="23">
        <f t="shared" si="4"/>
        <v>8.7275324641087924</v>
      </c>
      <c r="R21" s="23">
        <f t="shared" si="9"/>
        <v>52.552117632838225</v>
      </c>
    </row>
    <row r="22" spans="1:19" s="22" customFormat="1">
      <c r="A22" s="22">
        <v>6</v>
      </c>
      <c r="B22" s="22">
        <v>4</v>
      </c>
      <c r="C22" s="22">
        <v>8</v>
      </c>
      <c r="D22" s="22">
        <v>0.42</v>
      </c>
      <c r="E22" s="22">
        <v>400</v>
      </c>
      <c r="F22" s="22">
        <v>160</v>
      </c>
      <c r="G22" s="22" t="s">
        <v>34</v>
      </c>
      <c r="H22" s="22">
        <v>2080</v>
      </c>
      <c r="I22" s="22">
        <v>2465</v>
      </c>
      <c r="J22" s="22">
        <f>H22-$H$4</f>
        <v>2000</v>
      </c>
      <c r="K22" s="22">
        <f>I22-$I$4</f>
        <v>2175</v>
      </c>
      <c r="L22" s="22" t="s">
        <v>56</v>
      </c>
      <c r="M22" s="23">
        <f>-E22*(TAN(1*PI()/180)+TAN(C22*PI()/180))</f>
        <v>-63.198359852243613</v>
      </c>
      <c r="N22" s="23">
        <f>1.3*R22</f>
        <v>73.081234045243562</v>
      </c>
      <c r="O22" s="23">
        <f>E22*TAN(C22*PI()/180)</f>
        <v>56.216333880956583</v>
      </c>
      <c r="P22" s="22" t="s">
        <v>33</v>
      </c>
      <c r="Q22" s="23">
        <f t="shared" si="4"/>
        <v>6.9820259712870341</v>
      </c>
      <c r="R22" s="23">
        <f t="shared" si="9"/>
        <v>56.216333880956583</v>
      </c>
    </row>
    <row r="23" spans="1:19" s="22" customFormat="1"/>
    <row r="24" spans="1:19" s="22" customFormat="1">
      <c r="A24" s="22">
        <v>1</v>
      </c>
      <c r="B24" s="22">
        <v>4</v>
      </c>
      <c r="C24" s="22">
        <v>2</v>
      </c>
      <c r="D24" s="22">
        <v>0.1</v>
      </c>
      <c r="E24" s="22">
        <v>400</v>
      </c>
      <c r="F24" s="22">
        <v>100</v>
      </c>
      <c r="G24" s="22" t="s">
        <v>35</v>
      </c>
      <c r="H24" s="22">
        <v>3100</v>
      </c>
      <c r="I24" s="22">
        <v>2465</v>
      </c>
      <c r="J24" s="22">
        <f>H24-$H$4</f>
        <v>3020</v>
      </c>
      <c r="K24" s="22">
        <f>I24-$I$4</f>
        <v>2175</v>
      </c>
      <c r="M24" s="23">
        <f>-E24*(TAN(1*PI()/180)+TAN(C24*PI()/180))</f>
        <v>-20.950333767986127</v>
      </c>
      <c r="N24" s="23">
        <f>O24</f>
        <v>13.968307796699092</v>
      </c>
      <c r="O24" s="23">
        <f>E24*TAN(C24*PI()/180)</f>
        <v>13.968307796699092</v>
      </c>
      <c r="P24" s="22" t="s">
        <v>10</v>
      </c>
      <c r="Q24" s="23">
        <f t="shared" si="4"/>
        <v>6.9820259712870341</v>
      </c>
      <c r="R24" s="23">
        <f t="shared" ref="R24:R26" si="10">$E24*TAN(C24*PI()/180)</f>
        <v>13.968307796699092</v>
      </c>
    </row>
    <row r="25" spans="1:19" s="22" customFormat="1">
      <c r="A25" s="22">
        <v>1</v>
      </c>
      <c r="B25" s="22">
        <v>4</v>
      </c>
      <c r="C25" s="22">
        <v>6</v>
      </c>
      <c r="D25" s="22">
        <v>0.1</v>
      </c>
      <c r="E25" s="22">
        <v>400</v>
      </c>
      <c r="F25" s="22">
        <v>100</v>
      </c>
      <c r="G25" s="22" t="s">
        <v>57</v>
      </c>
      <c r="H25" s="22">
        <v>3200</v>
      </c>
      <c r="I25" s="22">
        <v>2465</v>
      </c>
      <c r="J25" s="22">
        <f>H25-$H$4</f>
        <v>3120</v>
      </c>
      <c r="K25" s="22">
        <f>I25-$I$4</f>
        <v>2175</v>
      </c>
      <c r="M25" s="23">
        <f>-E25*(TAN(1*PI()/180)+TAN(C25*PI()/180))</f>
        <v>-49.02372007755762</v>
      </c>
      <c r="N25" s="23">
        <f>O25</f>
        <v>42.041694106270583</v>
      </c>
      <c r="O25" s="23">
        <f>E25*TAN(C25*PI()/180)</f>
        <v>42.041694106270583</v>
      </c>
      <c r="P25" s="22" t="s">
        <v>10</v>
      </c>
      <c r="Q25" s="23">
        <f t="shared" si="4"/>
        <v>6.9820259712870341</v>
      </c>
      <c r="R25" s="23">
        <f t="shared" si="10"/>
        <v>42.041694106270583</v>
      </c>
    </row>
    <row r="26" spans="1:19" s="22" customFormat="1">
      <c r="A26" s="22">
        <v>1</v>
      </c>
      <c r="B26" s="22">
        <v>4</v>
      </c>
      <c r="C26" s="22">
        <v>10</v>
      </c>
      <c r="D26" s="22">
        <v>0.1</v>
      </c>
      <c r="E26" s="22">
        <v>400</v>
      </c>
      <c r="F26" s="22">
        <v>100</v>
      </c>
      <c r="G26" s="22" t="s">
        <v>57</v>
      </c>
      <c r="H26" s="22">
        <v>3300</v>
      </c>
      <c r="I26" s="22">
        <v>2465</v>
      </c>
      <c r="J26" s="22">
        <f>H26-$H$4</f>
        <v>3220</v>
      </c>
      <c r="K26" s="22">
        <f>I26-$I$4</f>
        <v>2175</v>
      </c>
      <c r="M26" s="23">
        <f>-E26*(TAN(1*PI()/180)+TAN(C26*PI()/180))</f>
        <v>-77.512818254673022</v>
      </c>
      <c r="N26" s="23">
        <f>O26</f>
        <v>70.530792283385992</v>
      </c>
      <c r="O26" s="23">
        <f>E26*TAN(C26*PI()/180)</f>
        <v>70.530792283385992</v>
      </c>
      <c r="P26" s="22" t="s">
        <v>10</v>
      </c>
      <c r="Q26" s="23">
        <f t="shared" si="4"/>
        <v>6.9820259712870341</v>
      </c>
      <c r="R26" s="23">
        <f t="shared" si="10"/>
        <v>70.530792283385992</v>
      </c>
    </row>
    <row r="27" spans="1:19" s="22" customFormat="1">
      <c r="H27" s="24"/>
      <c r="J27" s="24"/>
    </row>
    <row r="28" spans="1:19" s="22" customFormat="1">
      <c r="A28" s="22">
        <v>1</v>
      </c>
      <c r="B28" s="22">
        <v>4</v>
      </c>
      <c r="C28" s="22">
        <v>6</v>
      </c>
      <c r="D28" s="22">
        <v>0.35</v>
      </c>
      <c r="E28" s="22">
        <v>500</v>
      </c>
      <c r="F28" s="22">
        <v>160</v>
      </c>
      <c r="G28" s="22" t="s">
        <v>43</v>
      </c>
      <c r="H28" s="22">
        <v>3410</v>
      </c>
      <c r="I28" s="22">
        <v>2465</v>
      </c>
      <c r="J28" s="22">
        <f>H28-$H$4</f>
        <v>3330</v>
      </c>
      <c r="K28" s="22">
        <f>I28-$I$4</f>
        <v>2175</v>
      </c>
      <c r="M28" s="23">
        <f>-E28*(TAN(1*PI()/180)+TAN(C28*PI()/180))</f>
        <v>-61.279650096947023</v>
      </c>
      <c r="N28" s="23">
        <f>1.3*R28</f>
        <v>68.317752922689692</v>
      </c>
      <c r="O28" s="23">
        <f>E28*TAN(C28*PI()/180)</f>
        <v>52.552117632838225</v>
      </c>
      <c r="P28" s="22" t="s">
        <v>61</v>
      </c>
      <c r="Q28" s="23">
        <f t="shared" si="4"/>
        <v>8.7275324641087924</v>
      </c>
      <c r="R28" s="23">
        <f t="shared" ref="R28:R31" si="11">$E28*TAN(C28*PI()/180)</f>
        <v>52.552117632838225</v>
      </c>
    </row>
    <row r="29" spans="1:19" s="22" customFormat="1">
      <c r="A29" s="22">
        <v>1</v>
      </c>
      <c r="B29" s="22">
        <v>4</v>
      </c>
      <c r="C29" s="22">
        <v>6</v>
      </c>
      <c r="D29" s="25">
        <v>0.35</v>
      </c>
      <c r="E29" s="22">
        <v>500</v>
      </c>
      <c r="F29" s="22">
        <v>160</v>
      </c>
      <c r="G29" s="22" t="s">
        <v>44</v>
      </c>
      <c r="H29" s="22">
        <f>H28+160</f>
        <v>3570</v>
      </c>
      <c r="I29" s="22">
        <v>2465</v>
      </c>
      <c r="J29" s="22">
        <f>H29-$H$4</f>
        <v>3490</v>
      </c>
      <c r="K29" s="22">
        <f>I29-$I$4</f>
        <v>2175</v>
      </c>
      <c r="M29" s="23">
        <f>-E29*(TAN(1*PI()/180)+TAN(C29*PI()/180))</f>
        <v>-61.279650096947023</v>
      </c>
      <c r="N29" s="23">
        <f>1.3*R29</f>
        <v>68.317752922689692</v>
      </c>
      <c r="O29" s="23">
        <f>E29*TAN(C29*PI()/180)</f>
        <v>52.552117632838225</v>
      </c>
      <c r="P29" s="22" t="s">
        <v>60</v>
      </c>
      <c r="Q29" s="23">
        <f t="shared" si="4"/>
        <v>8.7275324641087924</v>
      </c>
      <c r="R29" s="23">
        <f t="shared" si="11"/>
        <v>52.552117632838225</v>
      </c>
    </row>
    <row r="30" spans="1:19" s="22" customFormat="1">
      <c r="A30" s="22">
        <v>1</v>
      </c>
      <c r="B30" s="22">
        <v>4</v>
      </c>
      <c r="C30" s="22">
        <v>6</v>
      </c>
      <c r="D30" s="22">
        <v>0.35</v>
      </c>
      <c r="E30" s="22">
        <v>500</v>
      </c>
      <c r="F30" s="22">
        <v>160</v>
      </c>
      <c r="G30" s="22" t="s">
        <v>36</v>
      </c>
      <c r="H30" s="22">
        <f>H29+160</f>
        <v>3730</v>
      </c>
      <c r="I30" s="22">
        <v>2465</v>
      </c>
      <c r="J30" s="22">
        <f>H30-$H$4</f>
        <v>3650</v>
      </c>
      <c r="K30" s="22">
        <f>I30-$I$4</f>
        <v>2175</v>
      </c>
      <c r="M30" s="23">
        <f>-E30*(TAN(1*PI()/180)+TAN(C30*PI()/180))</f>
        <v>-61.279650096947023</v>
      </c>
      <c r="N30" s="23">
        <f>1.3*R30</f>
        <v>68.317752922689692</v>
      </c>
      <c r="O30" s="23">
        <f>E30*TAN(C30*PI()/180)</f>
        <v>52.552117632838225</v>
      </c>
      <c r="P30" s="22" t="s">
        <v>60</v>
      </c>
      <c r="Q30" s="23">
        <f t="shared" si="4"/>
        <v>8.7275324641087924</v>
      </c>
      <c r="R30" s="23">
        <f t="shared" si="11"/>
        <v>52.552117632838225</v>
      </c>
    </row>
    <row r="31" spans="1:19" s="22" customFormat="1">
      <c r="A31" s="22">
        <v>1</v>
      </c>
      <c r="B31" s="22">
        <v>4</v>
      </c>
      <c r="C31" s="22">
        <v>8</v>
      </c>
      <c r="D31" s="22">
        <v>0.42</v>
      </c>
      <c r="E31" s="22">
        <v>400</v>
      </c>
      <c r="F31" s="22">
        <v>160</v>
      </c>
      <c r="G31" s="22" t="s">
        <v>44</v>
      </c>
      <c r="H31" s="22">
        <f>H30+160</f>
        <v>3890</v>
      </c>
      <c r="I31" s="22">
        <v>2465</v>
      </c>
      <c r="J31" s="22">
        <f>H31-$H$4</f>
        <v>3810</v>
      </c>
      <c r="K31" s="22">
        <f>I31-$I$4</f>
        <v>2175</v>
      </c>
      <c r="M31" s="23">
        <f>-E31*(TAN(1*PI()/180)+TAN(C31*PI()/180))</f>
        <v>-63.198359852243613</v>
      </c>
      <c r="N31" s="23">
        <f>1.3*R31</f>
        <v>73.081234045243562</v>
      </c>
      <c r="O31" s="23">
        <f>E31*TAN(C31*PI()/180)</f>
        <v>56.216333880956583</v>
      </c>
      <c r="P31" s="22" t="s">
        <v>60</v>
      </c>
      <c r="Q31" s="23">
        <f t="shared" si="4"/>
        <v>6.9820259712870341</v>
      </c>
      <c r="R31" s="23">
        <f t="shared" si="11"/>
        <v>56.216333880956583</v>
      </c>
    </row>
    <row r="32" spans="1:19">
      <c r="A32" s="1">
        <f>SUM(A4:A31)</f>
        <v>65</v>
      </c>
    </row>
    <row r="35" spans="16:17">
      <c r="P35" s="1">
        <f>20-56.216/10</f>
        <v>14.378399999999999</v>
      </c>
      <c r="Q35" s="8">
        <f>(R6-Q6)/10</f>
        <v>4.3824585168729433</v>
      </c>
    </row>
    <row r="36" spans="16:17">
      <c r="P36" s="1">
        <f>(R7-Q7)/10</f>
        <v>4.6772592514186071</v>
      </c>
      <c r="Q36" s="8">
        <f>20-R5/10</f>
        <v>14.744788236716177</v>
      </c>
    </row>
    <row r="37" spans="16:17">
      <c r="P37" s="1">
        <f>R7*2/10</f>
        <v>10.681103437381751</v>
      </c>
      <c r="Q37" s="8">
        <f>O5*2/10</f>
        <v>10.510423526567646</v>
      </c>
    </row>
    <row r="38" spans="16:17">
      <c r="P38" s="1">
        <f>P37*1.15</f>
        <v>12.283268952989012</v>
      </c>
      <c r="Q38" s="8">
        <f>Q37*1.3</f>
        <v>13.663550584537941</v>
      </c>
    </row>
    <row r="39" spans="16:17">
      <c r="P39" s="1">
        <f>20+(Q7+R7)/10</f>
        <v>26.003844185963143</v>
      </c>
      <c r="Q39" s="8">
        <f>20+(Q5+R5)/10</f>
        <v>26.127965009694702</v>
      </c>
    </row>
    <row r="40" spans="16:17">
      <c r="Q40" s="8">
        <f>13.23+16</f>
        <v>29.23</v>
      </c>
    </row>
    <row r="41" spans="16:17">
      <c r="Q41" s="8">
        <f>35.85+16</f>
        <v>51.85</v>
      </c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B3" sqref="B3"/>
    </sheetView>
  </sheetViews>
  <sheetFormatPr baseColWidth="10" defaultColWidth="8.7109375" defaultRowHeight="13" x14ac:dyDescent="0"/>
  <cols>
    <col min="1" max="4" width="8.7109375" style="18"/>
    <col min="5" max="5" width="11.42578125" style="18" customWidth="1"/>
    <col min="6" max="6" width="16.28515625" style="18" customWidth="1"/>
    <col min="7" max="16384" width="8.7109375" style="18"/>
  </cols>
  <sheetData>
    <row r="2" spans="2:6">
      <c r="B2" s="20" t="s">
        <v>27</v>
      </c>
      <c r="C2" s="20" t="s">
        <v>26</v>
      </c>
      <c r="D2" s="20" t="s">
        <v>25</v>
      </c>
      <c r="E2" s="21" t="s">
        <v>24</v>
      </c>
      <c r="F2" s="20" t="s">
        <v>23</v>
      </c>
    </row>
    <row r="3" spans="2:6">
      <c r="B3" s="18">
        <v>0.04</v>
      </c>
      <c r="C3" s="18">
        <v>6</v>
      </c>
      <c r="D3" s="19">
        <f t="shared" ref="D3:D10" si="0">13.5/(B3/4+SIN(C3/180*PI()))/2</f>
        <v>58.937313986525993</v>
      </c>
      <c r="E3" s="18">
        <v>10</v>
      </c>
      <c r="F3" s="19">
        <f t="shared" ref="F3:F10" si="1">+D3-E3</f>
        <v>48.937313986525993</v>
      </c>
    </row>
    <row r="4" spans="2:6">
      <c r="B4" s="18">
        <v>0.25</v>
      </c>
      <c r="C4" s="18">
        <v>6</v>
      </c>
      <c r="D4" s="19">
        <f t="shared" si="0"/>
        <v>40.412273860075658</v>
      </c>
      <c r="E4" s="18">
        <v>10</v>
      </c>
      <c r="F4" s="19">
        <f t="shared" si="1"/>
        <v>30.412273860075658</v>
      </c>
    </row>
    <row r="5" spans="2:6">
      <c r="B5" s="18">
        <v>0.33</v>
      </c>
      <c r="C5" s="18">
        <v>6</v>
      </c>
      <c r="D5" s="19">
        <f t="shared" si="0"/>
        <v>36.090763309861465</v>
      </c>
      <c r="E5" s="18">
        <v>10</v>
      </c>
      <c r="F5" s="19">
        <f t="shared" si="1"/>
        <v>26.090763309861465</v>
      </c>
    </row>
    <row r="6" spans="2:6">
      <c r="B6" s="18">
        <v>0.35</v>
      </c>
      <c r="C6" s="18">
        <v>6</v>
      </c>
      <c r="D6" s="19">
        <f t="shared" si="0"/>
        <v>35.151038992546141</v>
      </c>
      <c r="E6" s="18">
        <v>10</v>
      </c>
      <c r="F6" s="19">
        <f t="shared" si="1"/>
        <v>25.151038992546141</v>
      </c>
    </row>
    <row r="7" spans="2:6">
      <c r="B7" s="18">
        <v>0.42</v>
      </c>
      <c r="C7" s="18">
        <v>8</v>
      </c>
      <c r="D7" s="19">
        <f t="shared" si="0"/>
        <v>27.644322709830202</v>
      </c>
      <c r="E7" s="18">
        <v>10</v>
      </c>
      <c r="F7" s="19">
        <f t="shared" si="1"/>
        <v>17.644322709830202</v>
      </c>
    </row>
    <row r="8" spans="2:6">
      <c r="B8" s="18">
        <v>0.5</v>
      </c>
      <c r="C8" s="18">
        <v>8</v>
      </c>
      <c r="D8" s="19">
        <f t="shared" si="0"/>
        <v>25.55142811841538</v>
      </c>
      <c r="E8" s="18">
        <v>10</v>
      </c>
      <c r="F8" s="19">
        <f t="shared" si="1"/>
        <v>15.55142811841538</v>
      </c>
    </row>
    <row r="9" spans="2:6">
      <c r="B9" s="18">
        <v>0.625</v>
      </c>
      <c r="C9" s="18">
        <v>10</v>
      </c>
      <c r="D9" s="19">
        <f t="shared" si="0"/>
        <v>20.460858704151111</v>
      </c>
      <c r="E9" s="18">
        <v>10</v>
      </c>
      <c r="F9" s="19">
        <f t="shared" si="1"/>
        <v>10.460858704151111</v>
      </c>
    </row>
    <row r="10" spans="2:6">
      <c r="B10" s="18">
        <v>0.125</v>
      </c>
      <c r="C10" s="18">
        <v>2</v>
      </c>
      <c r="D10" s="19">
        <f t="shared" si="0"/>
        <v>102.04159270262137</v>
      </c>
      <c r="E10" s="18">
        <v>0</v>
      </c>
      <c r="F10" s="19">
        <f t="shared" si="1"/>
        <v>102.04159270262137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 2013-11-12</vt:lpstr>
      <vt:lpstr>Layout 2012-11</vt:lpstr>
      <vt:lpstr>dr calcuation</vt:lpstr>
    </vt:vector>
  </TitlesOfParts>
  <Company>CXRO / LBNL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Goldberg</dc:creator>
  <cp:lastModifiedBy>Ryan</cp:lastModifiedBy>
  <cp:lastPrinted>2012-11-29T23:55:07Z</cp:lastPrinted>
  <dcterms:created xsi:type="dcterms:W3CDTF">2012-11-29T07:21:21Z</dcterms:created>
  <dcterms:modified xsi:type="dcterms:W3CDTF">2017-02-14T05:49:34Z</dcterms:modified>
</cp:coreProperties>
</file>