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32580" windowHeight="18840" tabRatio="500"/>
  </bookViews>
  <sheets>
    <sheet name="Layout 2013-11-12" sheetId="2" r:id="rId1"/>
    <sheet name="Layout 2012-11" sheetId="1" r:id="rId2"/>
    <sheet name="dr calcuation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3"/>
  <c r="F3"/>
  <c r="D4"/>
  <c r="F4"/>
  <c r="D5"/>
  <c r="F5"/>
  <c r="D6"/>
  <c r="F6"/>
  <c r="D7"/>
  <c r="F7"/>
  <c r="D8"/>
  <c r="F8"/>
  <c r="D9"/>
  <c r="F9"/>
  <c r="D10"/>
  <c r="F10"/>
  <c r="M7" i="1"/>
  <c r="O7"/>
  <c r="R7"/>
  <c r="P37"/>
  <c r="P38"/>
  <c r="Q7"/>
  <c r="P39"/>
  <c r="P36"/>
  <c r="P35"/>
  <c r="Q41"/>
  <c r="Q40"/>
  <c r="Q5"/>
  <c r="R5"/>
  <c r="Q39"/>
  <c r="O5"/>
  <c r="Q37"/>
  <c r="Q38"/>
  <c r="Q36"/>
  <c r="R6"/>
  <c r="Q6"/>
  <c r="Q35"/>
  <c r="R12"/>
  <c r="Q12"/>
  <c r="O12"/>
  <c r="N12"/>
  <c r="M12"/>
  <c r="R11"/>
  <c r="Q11"/>
  <c r="O11"/>
  <c r="N11"/>
  <c r="M11"/>
  <c r="K31"/>
  <c r="K30"/>
  <c r="K29"/>
  <c r="K28"/>
  <c r="K26"/>
  <c r="K25"/>
  <c r="K24"/>
  <c r="K22"/>
  <c r="K21"/>
  <c r="K20"/>
  <c r="K18"/>
  <c r="K17"/>
  <c r="K16"/>
  <c r="K15"/>
  <c r="K9"/>
  <c r="K8"/>
  <c r="H29"/>
  <c r="H30"/>
  <c r="H31"/>
  <c r="J31"/>
  <c r="J30"/>
  <c r="J29"/>
  <c r="J28"/>
  <c r="J26"/>
  <c r="J25"/>
  <c r="J24"/>
  <c r="J22"/>
  <c r="J21"/>
  <c r="J20"/>
  <c r="H18"/>
  <c r="J18"/>
  <c r="H17"/>
  <c r="J17"/>
  <c r="J16"/>
  <c r="J15"/>
  <c r="J9"/>
  <c r="J8"/>
  <c r="J7"/>
  <c r="J6"/>
  <c r="J5"/>
  <c r="K7"/>
  <c r="K6"/>
  <c r="K5"/>
  <c r="K4"/>
  <c r="J4"/>
  <c r="A32"/>
  <c r="O17"/>
  <c r="N17"/>
  <c r="O16"/>
  <c r="N16"/>
  <c r="O26"/>
  <c r="N26"/>
  <c r="O25"/>
  <c r="N25"/>
  <c r="O24"/>
  <c r="N24"/>
  <c r="R31"/>
  <c r="N31"/>
  <c r="R30"/>
  <c r="N30"/>
  <c r="R29"/>
  <c r="N29"/>
  <c r="R28"/>
  <c r="N28"/>
  <c r="R22"/>
  <c r="N22"/>
  <c r="R21"/>
  <c r="N21"/>
  <c r="R20"/>
  <c r="N20"/>
  <c r="R18"/>
  <c r="N18"/>
  <c r="R15"/>
  <c r="N15"/>
  <c r="R9"/>
  <c r="N9"/>
  <c r="R8"/>
  <c r="N8"/>
  <c r="N7"/>
  <c r="N6"/>
  <c r="N5"/>
  <c r="R4"/>
  <c r="N4"/>
  <c r="O4"/>
  <c r="Q31"/>
  <c r="Q30"/>
  <c r="Q29"/>
  <c r="Q28"/>
  <c r="R26"/>
  <c r="Q26"/>
  <c r="R25"/>
  <c r="Q25"/>
  <c r="R24"/>
  <c r="Q24"/>
  <c r="Q22"/>
  <c r="Q21"/>
  <c r="Q20"/>
  <c r="Q18"/>
  <c r="R17"/>
  <c r="Q17"/>
  <c r="R16"/>
  <c r="Q16"/>
  <c r="Q15"/>
  <c r="Q9"/>
  <c r="Q8"/>
  <c r="Q4"/>
  <c r="O31"/>
  <c r="O30"/>
  <c r="O29"/>
  <c r="O28"/>
  <c r="O22"/>
  <c r="O21"/>
  <c r="O20"/>
  <c r="O18"/>
  <c r="O15"/>
  <c r="O9"/>
  <c r="O8"/>
  <c r="O6"/>
  <c r="M31"/>
  <c r="M30"/>
  <c r="M29"/>
  <c r="M28"/>
  <c r="M26"/>
  <c r="M25"/>
  <c r="M24"/>
  <c r="M22"/>
  <c r="M21"/>
  <c r="M20"/>
  <c r="M18"/>
  <c r="M17"/>
  <c r="M16"/>
  <c r="M15"/>
  <c r="M9"/>
  <c r="M8"/>
  <c r="M6"/>
  <c r="M5"/>
  <c r="M4"/>
  <c r="D34" i="2"/>
  <c r="D59"/>
  <c r="D9"/>
  <c r="D10"/>
  <c r="D11"/>
  <c r="D12"/>
  <c r="D13"/>
  <c r="V43"/>
  <c r="W43"/>
  <c r="U44"/>
  <c r="W44"/>
  <c r="X44"/>
  <c r="H88"/>
  <c r="H89"/>
  <c r="H90"/>
  <c r="H91"/>
  <c r="H92"/>
  <c r="H93"/>
  <c r="H94"/>
  <c r="H87"/>
  <c r="I88"/>
  <c r="I89"/>
  <c r="I90"/>
  <c r="I91"/>
  <c r="I92"/>
  <c r="I93"/>
  <c r="I94"/>
  <c r="I87"/>
  <c r="C87"/>
  <c r="C88"/>
  <c r="C89"/>
  <c r="C90"/>
  <c r="C91"/>
  <c r="C92"/>
  <c r="C93"/>
  <c r="C94"/>
  <c r="U37"/>
  <c r="W37"/>
  <c r="X37"/>
  <c r="U42"/>
  <c r="W42"/>
  <c r="X42"/>
  <c r="U41"/>
  <c r="W41"/>
  <c r="X41"/>
  <c r="U43"/>
  <c r="X43"/>
  <c r="U39"/>
  <c r="W39"/>
  <c r="X39"/>
  <c r="U40"/>
  <c r="W40"/>
  <c r="X40"/>
  <c r="C56"/>
  <c r="C81"/>
  <c r="D60"/>
  <c r="D62"/>
  <c r="D66"/>
  <c r="D70"/>
  <c r="D71"/>
  <c r="D72"/>
  <c r="D73"/>
  <c r="D74"/>
  <c r="D75"/>
  <c r="D76"/>
  <c r="D77"/>
  <c r="D78"/>
  <c r="D79"/>
  <c r="D80"/>
  <c r="C60"/>
  <c r="C61"/>
  <c r="F5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D14"/>
  <c r="D15"/>
  <c r="D16"/>
  <c r="D17"/>
  <c r="D18"/>
  <c r="D19"/>
  <c r="D20"/>
  <c r="D21"/>
  <c r="D23"/>
  <c r="D24"/>
  <c r="D25"/>
  <c r="D26"/>
  <c r="D27"/>
  <c r="D28"/>
  <c r="D29"/>
  <c r="D30"/>
  <c r="C30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D35"/>
  <c r="D36"/>
  <c r="D38"/>
  <c r="D39"/>
  <c r="D43"/>
  <c r="D47"/>
  <c r="D48"/>
  <c r="D49"/>
  <c r="D50"/>
  <c r="D51"/>
  <c r="D52"/>
  <c r="D53"/>
  <c r="D54"/>
  <c r="D55"/>
  <c r="F24"/>
  <c r="F25"/>
  <c r="F26"/>
  <c r="F27"/>
  <c r="F28"/>
  <c r="F70"/>
  <c r="I69"/>
  <c r="I70"/>
  <c r="I72"/>
  <c r="I73"/>
  <c r="I74"/>
  <c r="I75"/>
  <c r="I76"/>
  <c r="I78"/>
  <c r="I35"/>
  <c r="I36"/>
  <c r="I37"/>
  <c r="D37"/>
  <c r="B35"/>
  <c r="B36"/>
  <c r="B37"/>
  <c r="B38"/>
  <c r="B39"/>
  <c r="I39"/>
  <c r="B40"/>
  <c r="D40"/>
  <c r="I40"/>
  <c r="B41"/>
  <c r="D41"/>
  <c r="I41"/>
  <c r="B42"/>
  <c r="D42"/>
  <c r="I42"/>
  <c r="B43"/>
  <c r="I43"/>
  <c r="B44"/>
  <c r="D44"/>
  <c r="I44"/>
  <c r="D45"/>
  <c r="F45"/>
  <c r="D46"/>
  <c r="F46"/>
  <c r="I46"/>
  <c r="F47"/>
  <c r="I47"/>
  <c r="I49"/>
  <c r="I50"/>
  <c r="I51"/>
  <c r="I52"/>
  <c r="I63"/>
  <c r="I64"/>
  <c r="I65"/>
  <c r="I66"/>
  <c r="I67"/>
  <c r="I60"/>
  <c r="I61"/>
  <c r="D22"/>
  <c r="P45"/>
  <c r="O45"/>
  <c r="N45"/>
  <c r="M45"/>
  <c r="Q45"/>
  <c r="D63"/>
  <c r="D67"/>
  <c r="D81"/>
  <c r="D56"/>
  <c r="D61"/>
  <c r="W38"/>
  <c r="U38"/>
  <c r="X38"/>
  <c r="D65"/>
  <c r="D31"/>
  <c r="F69"/>
  <c r="D69"/>
  <c r="F68"/>
  <c r="D64"/>
  <c r="D68"/>
  <c r="B60"/>
  <c r="B62"/>
  <c r="B64"/>
  <c r="B67"/>
  <c r="B63"/>
  <c r="B66"/>
  <c r="B65"/>
  <c r="B61"/>
  <c r="B9"/>
  <c r="B14"/>
  <c r="B15"/>
  <c r="B16"/>
  <c r="B17"/>
</calcChain>
</file>

<file path=xl/sharedStrings.xml><?xml version="1.0" encoding="utf-8"?>
<sst xmlns="http://schemas.openxmlformats.org/spreadsheetml/2006/main" count="140" uniqueCount="100">
  <si>
    <t>Window Rxy</t>
    <phoneticPr fontId="10" type="noConversion"/>
  </si>
  <si>
    <t>Rx=1.3Rc</t>
    <phoneticPr fontId="10" type="noConversion"/>
  </si>
  <si>
    <t>Ry=Rc</t>
    <phoneticPr fontId="10" type="noConversion"/>
  </si>
  <si>
    <t>R1</t>
    <phoneticPr fontId="10" type="noConversion"/>
  </si>
  <si>
    <t>Rc</t>
    <phoneticPr fontId="10" type="noConversion"/>
  </si>
  <si>
    <t>µm</t>
    <phoneticPr fontId="10" type="noConversion"/>
  </si>
  <si>
    <t>µm</t>
    <phoneticPr fontId="10" type="noConversion"/>
  </si>
  <si>
    <t>z</t>
    <phoneticPr fontId="10" type="noConversion"/>
  </si>
  <si>
    <t>deg</t>
    <phoneticPr fontId="10" type="noConversion"/>
  </si>
  <si>
    <t>CRA</t>
    <phoneticPr fontId="10" type="noConversion"/>
  </si>
  <si>
    <t>open circle</t>
    <phoneticPr fontId="10" type="noConversion"/>
  </si>
  <si>
    <t xml:space="preserve"> </t>
    <phoneticPr fontId="10" type="noConversion"/>
  </si>
  <si>
    <t>X1</t>
    <phoneticPr fontId="10" type="noConversion"/>
  </si>
  <si>
    <t>Y1</t>
    <phoneticPr fontId="10" type="noConversion"/>
  </si>
  <si>
    <t>Relative to LL</t>
    <phoneticPr fontId="10" type="noConversion"/>
  </si>
  <si>
    <t>Membrane</t>
    <phoneticPr fontId="10" type="noConversion"/>
  </si>
  <si>
    <t>ZP_X</t>
    <phoneticPr fontId="10" type="noConversion"/>
  </si>
  <si>
    <t>ZP_Y</t>
    <phoneticPr fontId="10" type="noConversion"/>
  </si>
  <si>
    <t>ID</t>
    <phoneticPr fontId="10" type="noConversion"/>
  </si>
  <si>
    <t>Spacing1</t>
    <phoneticPr fontId="10" type="noConversion"/>
  </si>
  <si>
    <t>Spacing2</t>
    <phoneticPr fontId="10" type="noConversion"/>
  </si>
  <si>
    <t># of this type</t>
    <phoneticPr fontId="10" type="noConversion"/>
  </si>
  <si>
    <t>4xNA</t>
    <phoneticPr fontId="10" type="noConversion"/>
  </si>
  <si>
    <t>count:</t>
    <phoneticPr fontId="10" type="noConversion"/>
  </si>
  <si>
    <t>TOTAL</t>
    <phoneticPr fontId="10" type="noConversion"/>
  </si>
  <si>
    <t>sep [µm]</t>
    <phoneticPr fontId="10" type="noConversion"/>
  </si>
  <si>
    <t>angle [°]</t>
    <phoneticPr fontId="10" type="noConversion"/>
  </si>
  <si>
    <t>f [µm]</t>
    <phoneticPr fontId="10" type="noConversion"/>
  </si>
  <si>
    <t>ALIGN</t>
  </si>
  <si>
    <t>ALIGN</t>
    <phoneticPr fontId="10" type="noConversion"/>
  </si>
  <si>
    <t>Align</t>
    <phoneticPr fontId="10" type="noConversion"/>
  </si>
  <si>
    <t>Nav</t>
    <phoneticPr fontId="10" type="noConversion"/>
  </si>
  <si>
    <t>dr in design (nm)</t>
  </si>
  <si>
    <t>"bias" (nm)</t>
  </si>
  <si>
    <t>dr (nm)</t>
  </si>
  <si>
    <t>CRA [°]</t>
    <phoneticPr fontId="9" type="noConversion"/>
  </si>
  <si>
    <t>4xNA</t>
    <phoneticPr fontId="9" type="noConversion"/>
  </si>
  <si>
    <t>WF Coded, 5 W</t>
    <phoneticPr fontId="10" type="noConversion"/>
  </si>
  <si>
    <t>1 DF ZP</t>
    <phoneticPr fontId="10" type="noConversion"/>
  </si>
  <si>
    <t>open ellipse</t>
    <phoneticPr fontId="10" type="noConversion"/>
  </si>
  <si>
    <t>Yc=26.191, Rin=75.378, Rout=153.093</t>
    <phoneticPr fontId="10" type="noConversion"/>
  </si>
  <si>
    <t>Group of 6 ZPs</t>
    <phoneticPr fontId="10" type="noConversion"/>
  </si>
  <si>
    <t>open ellipse</t>
    <phoneticPr fontId="10" type="noConversion"/>
  </si>
  <si>
    <t>Group of 6 ZPs</t>
    <phoneticPr fontId="10" type="noConversion"/>
  </si>
  <si>
    <t>1 Alignment ZP</t>
    <phoneticPr fontId="10" type="noConversion"/>
  </si>
  <si>
    <t>WF Coded, 7.5 W, 22.5°</t>
    <phoneticPr fontId="10" type="noConversion"/>
  </si>
  <si>
    <t>ALIGNMENT</t>
    <phoneticPr fontId="10" type="noConversion"/>
  </si>
  <si>
    <t>NAVIGATION</t>
    <phoneticPr fontId="10" type="noConversion"/>
  </si>
  <si>
    <t>diam. [µm]</t>
    <phoneticPr fontId="10" type="noConversion"/>
  </si>
  <si>
    <t>Max extent</t>
    <phoneticPr fontId="10" type="noConversion"/>
  </si>
  <si>
    <t>foc um</t>
    <phoneticPr fontId="10" type="noConversion"/>
  </si>
  <si>
    <t>CRA [°]</t>
    <phoneticPr fontId="10" type="noConversion"/>
  </si>
  <si>
    <t>0°</t>
    <phoneticPr fontId="10" type="noConversion"/>
  </si>
  <si>
    <t>align</t>
    <phoneticPr fontId="10" type="noConversion"/>
  </si>
  <si>
    <t>nav</t>
    <phoneticPr fontId="10" type="noConversion"/>
  </si>
  <si>
    <t>4xNA</t>
    <phoneticPr fontId="10" type="noConversion"/>
  </si>
  <si>
    <t>List of Unique Zoneplate specs</t>
    <phoneticPr fontId="10" type="noConversion"/>
  </si>
  <si>
    <t>4xNA</t>
    <phoneticPr fontId="10" type="noConversion"/>
  </si>
  <si>
    <t>1xNA</t>
    <phoneticPr fontId="10" type="noConversion"/>
  </si>
  <si>
    <t>p [µm]</t>
    <phoneticPr fontId="10" type="noConversion"/>
  </si>
  <si>
    <t>q [mm]</t>
    <phoneticPr fontId="10" type="noConversion"/>
  </si>
  <si>
    <t>Azimuth</t>
    <phoneticPr fontId="10" type="noConversion"/>
  </si>
  <si>
    <t>f [µm]</t>
    <phoneticPr fontId="10" type="noConversion"/>
  </si>
  <si>
    <t>mag</t>
    <phoneticPr fontId="10" type="noConversion"/>
  </si>
  <si>
    <t>p = membrane to mask (object) distance</t>
    <phoneticPr fontId="10" type="noConversion"/>
  </si>
  <si>
    <t>q = membrane to CCD (image) distance</t>
    <phoneticPr fontId="10" type="noConversion"/>
  </si>
  <si>
    <t>February 6, 2014</t>
    <phoneticPr fontId="10" type="noConversion"/>
  </si>
  <si>
    <t>conj 1</t>
    <phoneticPr fontId="10" type="noConversion"/>
  </si>
  <si>
    <t>conj 2</t>
    <phoneticPr fontId="10" type="noConversion"/>
  </si>
  <si>
    <t>Azimuth [°]</t>
    <phoneticPr fontId="10" type="noConversion"/>
  </si>
  <si>
    <t>2014 layout</t>
    <phoneticPr fontId="10" type="noConversion"/>
  </si>
  <si>
    <t>GRAND TOT</t>
    <phoneticPr fontId="10" type="noConversion"/>
  </si>
  <si>
    <t>Tally</t>
    <phoneticPr fontId="10" type="noConversion"/>
  </si>
  <si>
    <t>ID</t>
    <phoneticPr fontId="10" type="noConversion"/>
  </si>
  <si>
    <t>NAV</t>
    <phoneticPr fontId="10" type="noConversion"/>
  </si>
  <si>
    <t>NAV ZPs</t>
    <phoneticPr fontId="10" type="noConversion"/>
  </si>
  <si>
    <t>SHARP Zoneplate Chip Design</t>
    <phoneticPr fontId="10" type="noConversion"/>
  </si>
  <si>
    <t>0° Count</t>
    <phoneticPr fontId="10" type="noConversion"/>
  </si>
  <si>
    <t>WFC Count</t>
    <phoneticPr fontId="10" type="noConversion"/>
  </si>
  <si>
    <t>Azi Count</t>
    <phoneticPr fontId="10" type="noConversion"/>
  </si>
  <si>
    <t>WF Coded, 5 W</t>
    <phoneticPr fontId="10" type="noConversion"/>
  </si>
  <si>
    <t>WF Coded, 7.5 W</t>
    <phoneticPr fontId="10" type="noConversion"/>
  </si>
  <si>
    <t>#</t>
    <phoneticPr fontId="10" type="noConversion"/>
  </si>
  <si>
    <t>0.4-0.8</t>
    <phoneticPr fontId="10" type="noConversion"/>
  </si>
  <si>
    <t>Membrane</t>
    <phoneticPr fontId="10" type="noConversion"/>
  </si>
  <si>
    <t>NA</t>
    <phoneticPr fontId="10" type="noConversion"/>
  </si>
  <si>
    <t>Xspacing</t>
    <phoneticPr fontId="10" type="noConversion"/>
  </si>
  <si>
    <t>1 ZP</t>
    <phoneticPr fontId="10" type="noConversion"/>
  </si>
  <si>
    <t>Notes</t>
    <phoneticPr fontId="10" type="noConversion"/>
  </si>
  <si>
    <t>Y0</t>
    <phoneticPr fontId="10" type="noConversion"/>
  </si>
  <si>
    <t>Pattern Start</t>
    <phoneticPr fontId="10" type="noConversion"/>
  </si>
  <si>
    <t>X0</t>
    <phoneticPr fontId="10" type="noConversion"/>
  </si>
  <si>
    <t>Group of 6 ZPs</t>
    <phoneticPr fontId="10" type="noConversion"/>
  </si>
  <si>
    <t>R</t>
    <phoneticPr fontId="10" type="noConversion"/>
  </si>
  <si>
    <t>1 Alignment ZP</t>
    <phoneticPr fontId="10" type="noConversion"/>
  </si>
  <si>
    <t>Window Yc</t>
    <phoneticPr fontId="10" type="noConversion"/>
  </si>
  <si>
    <t>Window</t>
    <phoneticPr fontId="10" type="noConversion"/>
  </si>
  <si>
    <t>open ellipse</t>
  </si>
  <si>
    <t>open ellipse</t>
    <phoneticPr fontId="10" type="noConversion"/>
  </si>
  <si>
    <t>Repeat</t>
    <phoneticPr fontId="10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</si>
</sst>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"/>
    <numFmt numFmtId="170" formatCode="0.0"/>
  </numFmts>
  <fonts count="28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57"/>
      <name val="Verdana"/>
      <family val="2"/>
    </font>
    <font>
      <sz val="10"/>
      <color indexed="12"/>
      <name val="Verdana"/>
      <family val="2"/>
    </font>
    <font>
      <sz val="10"/>
      <color indexed="17"/>
      <name val="Verdana"/>
      <family val="2"/>
    </font>
    <font>
      <sz val="10"/>
      <name val="Verdana"/>
    </font>
    <font>
      <b/>
      <sz val="14"/>
      <name val="Verdana"/>
      <family val="2"/>
    </font>
    <font>
      <b/>
      <sz val="18"/>
      <name val="Verdana"/>
      <family val="2"/>
    </font>
    <font>
      <b/>
      <sz val="10"/>
      <color indexed="12"/>
      <name val="Verdana"/>
      <family val="2"/>
    </font>
    <font>
      <b/>
      <sz val="12"/>
      <name val="Verdana"/>
    </font>
    <font>
      <sz val="10"/>
      <color indexed="43"/>
      <name val="Verdana"/>
      <family val="2"/>
    </font>
    <font>
      <b/>
      <sz val="10"/>
      <color indexed="43"/>
      <name val="Verdana"/>
      <family val="2"/>
    </font>
    <font>
      <sz val="12"/>
      <name val="Verdana"/>
    </font>
    <font>
      <i/>
      <sz val="12"/>
      <name val="Verdana"/>
    </font>
    <font>
      <sz val="10"/>
      <color indexed="55"/>
      <name val="Verdana"/>
    </font>
    <font>
      <b/>
      <sz val="10"/>
      <color indexed="55"/>
      <name val="Verdana"/>
    </font>
    <font>
      <sz val="10"/>
      <color indexed="10"/>
      <name val="Verdana"/>
    </font>
    <font>
      <b/>
      <sz val="10"/>
      <color indexed="10"/>
      <name val="Verdana"/>
    </font>
    <font>
      <sz val="12"/>
      <color indexed="10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12" fillId="0" borderId="0" xfId="0" applyFont="1"/>
    <xf numFmtId="0" fontId="0" fillId="4" borderId="0" xfId="0" applyFill="1"/>
    <xf numFmtId="0" fontId="12" fillId="4" borderId="0" xfId="0" applyFont="1" applyFill="1"/>
    <xf numFmtId="0" fontId="13" fillId="4" borderId="0" xfId="0" applyFont="1" applyFill="1"/>
    <xf numFmtId="0" fontId="13" fillId="3" borderId="0" xfId="0" applyFont="1" applyFill="1"/>
    <xf numFmtId="0" fontId="12" fillId="5" borderId="0" xfId="0" applyFont="1" applyFill="1"/>
    <xf numFmtId="0" fontId="13" fillId="5" borderId="0" xfId="0" applyFont="1" applyFill="1"/>
    <xf numFmtId="0" fontId="6" fillId="5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0" borderId="1" xfId="0" applyFont="1" applyBorder="1"/>
    <xf numFmtId="0" fontId="7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6" fillId="6" borderId="0" xfId="0" applyFont="1" applyFill="1"/>
    <xf numFmtId="0" fontId="12" fillId="6" borderId="0" xfId="0" applyFont="1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7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12" fillId="3" borderId="0" xfId="0" applyFont="1" applyFill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49" fontId="6" fillId="0" borderId="0" xfId="0" applyNumberFormat="1" applyFont="1"/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3" fillId="8" borderId="0" xfId="0" applyFont="1" applyFill="1"/>
    <xf numFmtId="0" fontId="6" fillId="8" borderId="0" xfId="0" applyFont="1" applyFill="1"/>
    <xf numFmtId="168" fontId="6" fillId="8" borderId="0" xfId="0" applyNumberFormat="1" applyFont="1" applyFill="1"/>
    <xf numFmtId="0" fontId="6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9" fillId="9" borderId="0" xfId="0" applyFont="1" applyFill="1"/>
    <xf numFmtId="0" fontId="20" fillId="9" borderId="0" xfId="0" applyFont="1" applyFill="1"/>
    <xf numFmtId="2" fontId="20" fillId="9" borderId="0" xfId="0" applyNumberFormat="1" applyFont="1" applyFill="1"/>
    <xf numFmtId="0" fontId="20" fillId="9" borderId="0" xfId="0" applyFont="1" applyFill="1" applyAlignment="1">
      <alignment horizontal="center"/>
    </xf>
    <xf numFmtId="0" fontId="20" fillId="9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0" fontId="4" fillId="0" borderId="0" xfId="1"/>
    <xf numFmtId="170" fontId="4" fillId="0" borderId="0" xfId="1" applyNumberFormat="1"/>
    <xf numFmtId="0" fontId="2" fillId="0" borderId="1" xfId="1" applyFont="1" applyBorder="1"/>
    <xf numFmtId="0" fontId="2" fillId="0" borderId="1" xfId="1" applyFont="1" applyFill="1" applyBorder="1"/>
    <xf numFmtId="0" fontId="23" fillId="0" borderId="0" xfId="0" applyFont="1" applyAlignment="1">
      <alignment horizontal="center"/>
    </xf>
    <xf numFmtId="168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/>
    <xf numFmtId="0" fontId="25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168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 vertical="top"/>
    </xf>
    <xf numFmtId="0" fontId="24" fillId="0" borderId="0" xfId="0" applyFont="1" applyFill="1" applyAlignment="1">
      <alignment horizontal="center" vertical="top"/>
    </xf>
    <xf numFmtId="168" fontId="23" fillId="0" borderId="0" xfId="0" applyNumberFormat="1" applyFont="1" applyFill="1" applyAlignment="1">
      <alignment horizontal="center" vertical="top"/>
    </xf>
    <xf numFmtId="0" fontId="2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26" fillId="6" borderId="0" xfId="0" applyFont="1" applyFill="1"/>
    <xf numFmtId="0" fontId="2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FFFCE"/>
      <rgbColor rgb="00FFFFC5"/>
      <rgbColor rgb="00CBE4FF"/>
      <rgbColor rgb="00FDD9ED"/>
      <rgbColor rgb="00CC99FF"/>
      <rgbColor rgb="00FFDFC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'Layout 2013-11-12'!$C$8:$C$81</c:f>
              <c:numCache>
                <c:formatCode>General</c:formatCode>
                <c:ptCount val="74"/>
                <c:pt idx="0">
                  <c:v>100.0</c:v>
                </c:pt>
                <c:pt idx="1">
                  <c:v>260.0</c:v>
                </c:pt>
                <c:pt idx="2">
                  <c:v>420.0</c:v>
                </c:pt>
                <c:pt idx="3">
                  <c:v>580.0</c:v>
                </c:pt>
                <c:pt idx="4">
                  <c:v>740.0</c:v>
                </c:pt>
                <c:pt idx="5">
                  <c:v>900.0</c:v>
                </c:pt>
                <c:pt idx="6">
                  <c:v>1060.0</c:v>
                </c:pt>
                <c:pt idx="7">
                  <c:v>1220.0</c:v>
                </c:pt>
                <c:pt idx="8">
                  <c:v>1460.0</c:v>
                </c:pt>
                <c:pt idx="9">
                  <c:v>1620.0</c:v>
                </c:pt>
                <c:pt idx="10">
                  <c:v>1780.0</c:v>
                </c:pt>
                <c:pt idx="11">
                  <c:v>1940.0</c:v>
                </c:pt>
                <c:pt idx="12">
                  <c:v>2100.0</c:v>
                </c:pt>
                <c:pt idx="13">
                  <c:v>2260.0</c:v>
                </c:pt>
                <c:pt idx="14">
                  <c:v>2420.0</c:v>
                </c:pt>
                <c:pt idx="15">
                  <c:v>2580.0</c:v>
                </c:pt>
                <c:pt idx="16">
                  <c:v>2820.0</c:v>
                </c:pt>
                <c:pt idx="17">
                  <c:v>2980.0</c:v>
                </c:pt>
                <c:pt idx="18">
                  <c:v>3140.0</c:v>
                </c:pt>
                <c:pt idx="19">
                  <c:v>3300.0</c:v>
                </c:pt>
                <c:pt idx="20">
                  <c:v>3460.0</c:v>
                </c:pt>
                <c:pt idx="21">
                  <c:v>3620.0</c:v>
                </c:pt>
                <c:pt idx="22">
                  <c:v>3780.0</c:v>
                </c:pt>
                <c:pt idx="23">
                  <c:v>3900.0</c:v>
                </c:pt>
                <c:pt idx="26">
                  <c:v>100.0</c:v>
                </c:pt>
                <c:pt idx="27">
                  <c:v>260.0</c:v>
                </c:pt>
                <c:pt idx="28">
                  <c:v>420.0</c:v>
                </c:pt>
                <c:pt idx="29">
                  <c:v>580.0</c:v>
                </c:pt>
                <c:pt idx="30">
                  <c:v>820.0</c:v>
                </c:pt>
                <c:pt idx="31">
                  <c:v>980.0</c:v>
                </c:pt>
                <c:pt idx="32">
                  <c:v>1140.0</c:v>
                </c:pt>
                <c:pt idx="33">
                  <c:v>1300.0</c:v>
                </c:pt>
                <c:pt idx="34">
                  <c:v>1460.0</c:v>
                </c:pt>
                <c:pt idx="35">
                  <c:v>1620.0</c:v>
                </c:pt>
                <c:pt idx="36">
                  <c:v>1780.0</c:v>
                </c:pt>
                <c:pt idx="37">
                  <c:v>2020.0</c:v>
                </c:pt>
                <c:pt idx="38">
                  <c:v>2180.0</c:v>
                </c:pt>
                <c:pt idx="39">
                  <c:v>2340.0</c:v>
                </c:pt>
                <c:pt idx="40">
                  <c:v>2580.0</c:v>
                </c:pt>
                <c:pt idx="41">
                  <c:v>2740.0</c:v>
                </c:pt>
                <c:pt idx="42">
                  <c:v>2900.0</c:v>
                </c:pt>
                <c:pt idx="43">
                  <c:v>3060.0</c:v>
                </c:pt>
                <c:pt idx="44">
                  <c:v>3220.0</c:v>
                </c:pt>
                <c:pt idx="45">
                  <c:v>3460.0</c:v>
                </c:pt>
                <c:pt idx="46">
                  <c:v>3620.0</c:v>
                </c:pt>
                <c:pt idx="47">
                  <c:v>3780.0</c:v>
                </c:pt>
                <c:pt idx="48">
                  <c:v>3900.0</c:v>
                </c:pt>
                <c:pt idx="51">
                  <c:v>100.0</c:v>
                </c:pt>
                <c:pt idx="52">
                  <c:v>260.0</c:v>
                </c:pt>
                <c:pt idx="53">
                  <c:v>420.0</c:v>
                </c:pt>
                <c:pt idx="54">
                  <c:v>660.0</c:v>
                </c:pt>
                <c:pt idx="55">
                  <c:v>820.0</c:v>
                </c:pt>
                <c:pt idx="56">
                  <c:v>980.0</c:v>
                </c:pt>
                <c:pt idx="57">
                  <c:v>1140.0</c:v>
                </c:pt>
                <c:pt idx="58">
                  <c:v>1300.0</c:v>
                </c:pt>
                <c:pt idx="59">
                  <c:v>1460.0</c:v>
                </c:pt>
                <c:pt idx="60">
                  <c:v>1700.0</c:v>
                </c:pt>
                <c:pt idx="61">
                  <c:v>1860.0</c:v>
                </c:pt>
                <c:pt idx="62">
                  <c:v>2020.0</c:v>
                </c:pt>
                <c:pt idx="63">
                  <c:v>2260.0</c:v>
                </c:pt>
                <c:pt idx="64">
                  <c:v>2420.0</c:v>
                </c:pt>
                <c:pt idx="65">
                  <c:v>2580.0</c:v>
                </c:pt>
                <c:pt idx="66">
                  <c:v>2740.0</c:v>
                </c:pt>
                <c:pt idx="67">
                  <c:v>2900.0</c:v>
                </c:pt>
                <c:pt idx="68">
                  <c:v>3060.0</c:v>
                </c:pt>
                <c:pt idx="69">
                  <c:v>3300.0</c:v>
                </c:pt>
                <c:pt idx="70">
                  <c:v>3460.0</c:v>
                </c:pt>
                <c:pt idx="71">
                  <c:v>3620.0</c:v>
                </c:pt>
                <c:pt idx="72">
                  <c:v>3780.0</c:v>
                </c:pt>
                <c:pt idx="73">
                  <c:v>3900.0</c:v>
                </c:pt>
              </c:numCache>
            </c:numRef>
          </c:xVal>
          <c:yVal>
            <c:numRef>
              <c:f>'Layout 2013-11-12'!$D$8:$D$81</c:f>
              <c:numCache>
                <c:formatCode>General</c:formatCode>
                <c:ptCount val="74"/>
                <c:pt idx="0">
                  <c:v>135.0</c:v>
                </c:pt>
                <c:pt idx="1">
                  <c:v>135.0</c:v>
                </c:pt>
                <c:pt idx="2">
                  <c:v>135.0</c:v>
                </c:pt>
                <c:pt idx="3">
                  <c:v>135.0</c:v>
                </c:pt>
                <c:pt idx="4">
                  <c:v>135.0</c:v>
                </c:pt>
                <c:pt idx="5">
                  <c:v>135.0</c:v>
                </c:pt>
                <c:pt idx="6">
                  <c:v>135.0</c:v>
                </c:pt>
                <c:pt idx="7">
                  <c:v>135.0</c:v>
                </c:pt>
                <c:pt idx="8">
                  <c:v>135.0</c:v>
                </c:pt>
                <c:pt idx="9">
                  <c:v>135.0</c:v>
                </c:pt>
                <c:pt idx="10">
                  <c:v>135.0</c:v>
                </c:pt>
                <c:pt idx="11">
                  <c:v>135.0</c:v>
                </c:pt>
                <c:pt idx="12">
                  <c:v>135.0</c:v>
                </c:pt>
                <c:pt idx="13">
                  <c:v>135.0</c:v>
                </c:pt>
                <c:pt idx="14">
                  <c:v>135.0</c:v>
                </c:pt>
                <c:pt idx="15">
                  <c:v>135.0</c:v>
                </c:pt>
                <c:pt idx="16">
                  <c:v>135.0</c:v>
                </c:pt>
                <c:pt idx="17">
                  <c:v>135.0</c:v>
                </c:pt>
                <c:pt idx="18">
                  <c:v>135.0</c:v>
                </c:pt>
                <c:pt idx="19">
                  <c:v>135.0</c:v>
                </c:pt>
                <c:pt idx="20">
                  <c:v>135.0</c:v>
                </c:pt>
                <c:pt idx="21">
                  <c:v>135.0</c:v>
                </c:pt>
                <c:pt idx="22">
                  <c:v>135.0</c:v>
                </c:pt>
                <c:pt idx="23">
                  <c:v>135.0</c:v>
                </c:pt>
                <c:pt idx="26">
                  <c:v>1235.0</c:v>
                </c:pt>
                <c:pt idx="27">
                  <c:v>1235.0</c:v>
                </c:pt>
                <c:pt idx="28">
                  <c:v>1235.0</c:v>
                </c:pt>
                <c:pt idx="29">
                  <c:v>1235.0</c:v>
                </c:pt>
                <c:pt idx="30">
                  <c:v>1235.0</c:v>
                </c:pt>
                <c:pt idx="31">
                  <c:v>1235.0</c:v>
                </c:pt>
                <c:pt idx="32">
                  <c:v>1235.0</c:v>
                </c:pt>
                <c:pt idx="33">
                  <c:v>1235.0</c:v>
                </c:pt>
                <c:pt idx="34">
                  <c:v>1235.0</c:v>
                </c:pt>
                <c:pt idx="35">
                  <c:v>1235.0</c:v>
                </c:pt>
                <c:pt idx="36">
                  <c:v>1235.0</c:v>
                </c:pt>
                <c:pt idx="37">
                  <c:v>1235.0</c:v>
                </c:pt>
                <c:pt idx="38">
                  <c:v>1235.0</c:v>
                </c:pt>
                <c:pt idx="39">
                  <c:v>1235.0</c:v>
                </c:pt>
                <c:pt idx="40">
                  <c:v>1235.0</c:v>
                </c:pt>
                <c:pt idx="41">
                  <c:v>1235.0</c:v>
                </c:pt>
                <c:pt idx="42">
                  <c:v>1235.0</c:v>
                </c:pt>
                <c:pt idx="43">
                  <c:v>1235.0</c:v>
                </c:pt>
                <c:pt idx="44">
                  <c:v>1235.0</c:v>
                </c:pt>
                <c:pt idx="45">
                  <c:v>1235.0</c:v>
                </c:pt>
                <c:pt idx="46">
                  <c:v>1235.0</c:v>
                </c:pt>
                <c:pt idx="47">
                  <c:v>1235.0</c:v>
                </c:pt>
                <c:pt idx="48">
                  <c:v>1235.0</c:v>
                </c:pt>
                <c:pt idx="51">
                  <c:v>2335.0</c:v>
                </c:pt>
                <c:pt idx="52">
                  <c:v>2335.0</c:v>
                </c:pt>
                <c:pt idx="53">
                  <c:v>2335.0</c:v>
                </c:pt>
                <c:pt idx="54">
                  <c:v>2335.0</c:v>
                </c:pt>
                <c:pt idx="55">
                  <c:v>2335.0</c:v>
                </c:pt>
                <c:pt idx="56">
                  <c:v>2335.0</c:v>
                </c:pt>
                <c:pt idx="57">
                  <c:v>2335.0</c:v>
                </c:pt>
                <c:pt idx="58">
                  <c:v>2335.0</c:v>
                </c:pt>
                <c:pt idx="59">
                  <c:v>2335.0</c:v>
                </c:pt>
                <c:pt idx="60">
                  <c:v>2335.0</c:v>
                </c:pt>
                <c:pt idx="61">
                  <c:v>2335.0</c:v>
                </c:pt>
                <c:pt idx="62">
                  <c:v>2335.0</c:v>
                </c:pt>
                <c:pt idx="63">
                  <c:v>2335.0</c:v>
                </c:pt>
                <c:pt idx="64">
                  <c:v>2335.0</c:v>
                </c:pt>
                <c:pt idx="65">
                  <c:v>2335.0</c:v>
                </c:pt>
                <c:pt idx="66">
                  <c:v>2335.0</c:v>
                </c:pt>
                <c:pt idx="67">
                  <c:v>2335.0</c:v>
                </c:pt>
                <c:pt idx="68">
                  <c:v>2335.0</c:v>
                </c:pt>
                <c:pt idx="69">
                  <c:v>2335.0</c:v>
                </c:pt>
                <c:pt idx="70">
                  <c:v>2335.0</c:v>
                </c:pt>
                <c:pt idx="71">
                  <c:v>2335.0</c:v>
                </c:pt>
                <c:pt idx="72">
                  <c:v>2335.0</c:v>
                </c:pt>
                <c:pt idx="73">
                  <c:v>2335.0</c:v>
                </c:pt>
              </c:numCache>
            </c:numRef>
          </c:yVal>
        </c:ser>
        <c:axId val="324513368"/>
        <c:axId val="324516472"/>
      </c:scatterChart>
      <c:valAx>
        <c:axId val="324513368"/>
        <c:scaling>
          <c:orientation val="minMax"/>
          <c:max val="4000.0"/>
        </c:scaling>
        <c:axPos val="b"/>
        <c:numFmt formatCode="General" sourceLinked="1"/>
        <c:tickLblPos val="nextTo"/>
        <c:crossAx val="324516472"/>
        <c:crosses val="autoZero"/>
        <c:crossBetween val="midCat"/>
      </c:valAx>
      <c:valAx>
        <c:axId val="324516472"/>
        <c:scaling>
          <c:orientation val="minMax"/>
          <c:max val="3000.0"/>
        </c:scaling>
        <c:axPos val="l"/>
        <c:majorGridlines/>
        <c:numFmt formatCode="General" sourceLinked="1"/>
        <c:tickLblPos val="nextTo"/>
        <c:crossAx val="324513368"/>
        <c:crosses val="autoZero"/>
        <c:crossBetween val="midCat"/>
      </c:valAx>
    </c:plotArea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Lbl>
              <c:idx val="2"/>
              <c:layout/>
              <c:dLblPos val="ctr"/>
              <c:showVal val="1"/>
            </c:dLbl>
            <c:dLbl>
              <c:idx val="3"/>
              <c:layout/>
              <c:dLblPos val="ctr"/>
              <c:showVal val="1"/>
            </c:dLbl>
            <c:dLbl>
              <c:idx val="4"/>
              <c:layout/>
              <c:dLblPos val="ctr"/>
              <c:showVal val="1"/>
            </c:dLbl>
            <c:delete val="1"/>
          </c:dLbls>
          <c:cat>
            <c:numRef>
              <c:f>'Layout 2013-11-12'!$L$37:$L$44</c:f>
              <c:numCache>
                <c:formatCode>General</c:formatCode>
                <c:ptCount val="8"/>
                <c:pt idx="0">
                  <c:v>0.25</c:v>
                </c:pt>
                <c:pt idx="1">
                  <c:v>0.33</c:v>
                </c:pt>
                <c:pt idx="2">
                  <c:v>0.35</c:v>
                </c:pt>
                <c:pt idx="3">
                  <c:v>0.42</c:v>
                </c:pt>
                <c:pt idx="4">
                  <c:v>0.5</c:v>
                </c:pt>
                <c:pt idx="5">
                  <c:v>0.625</c:v>
                </c:pt>
                <c:pt idx="6">
                  <c:v>0.04</c:v>
                </c:pt>
                <c:pt idx="7">
                  <c:v>0.125</c:v>
                </c:pt>
              </c:numCache>
            </c:numRef>
          </c:cat>
          <c:val>
            <c:numRef>
              <c:f>'Layout 2013-11-12'!$M$37:$M$44</c:f>
              <c:numCache>
                <c:formatCode>General</c:formatCode>
                <c:ptCount val="8"/>
                <c:pt idx="0">
                  <c:v>11.0</c:v>
                </c:pt>
                <c:pt idx="1">
                  <c:v>17.0</c:v>
                </c:pt>
                <c:pt idx="2">
                  <c:v>7.0</c:v>
                </c:pt>
                <c:pt idx="3">
                  <c:v>11.0</c:v>
                </c:pt>
                <c:pt idx="4">
                  <c:v>5.0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</c:ser>
        <c:axId val="324490424"/>
        <c:axId val="324492760"/>
      </c:barChart>
      <c:catAx>
        <c:axId val="324490424"/>
        <c:scaling>
          <c:orientation val="minMax"/>
        </c:scaling>
        <c:axPos val="b"/>
        <c:numFmt formatCode="General" sourceLinked="1"/>
        <c:tickLblPos val="nextTo"/>
        <c:crossAx val="324492760"/>
        <c:crosses val="autoZero"/>
        <c:auto val="1"/>
        <c:lblAlgn val="ctr"/>
        <c:lblOffset val="100"/>
      </c:catAx>
      <c:valAx>
        <c:axId val="324492760"/>
        <c:scaling>
          <c:orientation val="minMax"/>
        </c:scaling>
        <c:axPos val="l"/>
        <c:majorGridlines/>
        <c:numFmt formatCode="General" sourceLinked="1"/>
        <c:tickLblPos val="nextTo"/>
        <c:crossAx val="324490424"/>
        <c:crosses val="autoZero"/>
        <c:crossBetween val="between"/>
      </c:valAx>
    </c:plotArea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429260</xdr:colOff>
      <xdr:row>7</xdr:row>
      <xdr:rowOff>50800</xdr:rowOff>
    </xdr:from>
    <xdr:to>
      <xdr:col>19</xdr:col>
      <xdr:colOff>508000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47</xdr:row>
      <xdr:rowOff>0</xdr:rowOff>
    </xdr:from>
    <xdr:to>
      <xdr:col>18</xdr:col>
      <xdr:colOff>292100</xdr:colOff>
      <xdr:row>75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228600</xdr:colOff>
      <xdr:row>25</xdr:row>
      <xdr:rowOff>38100</xdr:rowOff>
    </xdr:from>
    <xdr:ext cx="838200" cy="338554"/>
    <xdr:sp macro="" textlink="">
      <xdr:nvSpPr>
        <xdr:cNvPr id="6" name="TextBox 5"/>
        <xdr:cNvSpPr txBox="1"/>
      </xdr:nvSpPr>
      <xdr:spPr>
        <a:xfrm>
          <a:off x="9042400" y="43561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0.25</a:t>
          </a:r>
        </a:p>
      </xdr:txBody>
    </xdr:sp>
    <xdr:clientData/>
  </xdr:oneCellAnchor>
  <xdr:oneCellAnchor>
    <xdr:from>
      <xdr:col>14</xdr:col>
      <xdr:colOff>787400</xdr:colOff>
      <xdr:row>25</xdr:row>
      <xdr:rowOff>38100</xdr:rowOff>
    </xdr:from>
    <xdr:ext cx="838200" cy="338554"/>
    <xdr:sp macro="" textlink="">
      <xdr:nvSpPr>
        <xdr:cNvPr id="7" name="TextBox 6"/>
        <xdr:cNvSpPr txBox="1"/>
      </xdr:nvSpPr>
      <xdr:spPr>
        <a:xfrm>
          <a:off x="11277600" y="43561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0.33</a:t>
          </a:r>
        </a:p>
      </xdr:txBody>
    </xdr:sp>
    <xdr:clientData/>
  </xdr:oneCellAnchor>
  <xdr:oneCellAnchor>
    <xdr:from>
      <xdr:col>16</xdr:col>
      <xdr:colOff>723900</xdr:colOff>
      <xdr:row>25</xdr:row>
      <xdr:rowOff>38100</xdr:rowOff>
    </xdr:from>
    <xdr:ext cx="838200" cy="338554"/>
    <xdr:sp macro="" textlink="">
      <xdr:nvSpPr>
        <xdr:cNvPr id="8" name="TextBox 7"/>
        <xdr:cNvSpPr txBox="1"/>
      </xdr:nvSpPr>
      <xdr:spPr>
        <a:xfrm>
          <a:off x="13119100" y="43561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0.35</a:t>
          </a:r>
        </a:p>
      </xdr:txBody>
    </xdr:sp>
    <xdr:clientData/>
  </xdr:oneCellAnchor>
  <xdr:oneCellAnchor>
    <xdr:from>
      <xdr:col>11</xdr:col>
      <xdr:colOff>482600</xdr:colOff>
      <xdr:row>16</xdr:row>
      <xdr:rowOff>114300</xdr:rowOff>
    </xdr:from>
    <xdr:ext cx="838200" cy="338554"/>
    <xdr:sp macro="" textlink="">
      <xdr:nvSpPr>
        <xdr:cNvPr id="9" name="TextBox 8"/>
        <xdr:cNvSpPr txBox="1"/>
      </xdr:nvSpPr>
      <xdr:spPr>
        <a:xfrm>
          <a:off x="8547100" y="2946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0.25</a:t>
          </a:r>
        </a:p>
      </xdr:txBody>
    </xdr:sp>
    <xdr:clientData/>
  </xdr:oneCellAnchor>
  <xdr:oneCellAnchor>
    <xdr:from>
      <xdr:col>13</xdr:col>
      <xdr:colOff>558800</xdr:colOff>
      <xdr:row>16</xdr:row>
      <xdr:rowOff>114300</xdr:rowOff>
    </xdr:from>
    <xdr:ext cx="838200" cy="338554"/>
    <xdr:sp macro="" textlink="">
      <xdr:nvSpPr>
        <xdr:cNvPr id="10" name="TextBox 9"/>
        <xdr:cNvSpPr txBox="1"/>
      </xdr:nvSpPr>
      <xdr:spPr>
        <a:xfrm>
          <a:off x="10160000" y="2946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0.33</a:t>
          </a:r>
        </a:p>
      </xdr:txBody>
    </xdr:sp>
    <xdr:clientData/>
  </xdr:oneCellAnchor>
  <xdr:oneCellAnchor>
    <xdr:from>
      <xdr:col>15</xdr:col>
      <xdr:colOff>101600</xdr:colOff>
      <xdr:row>16</xdr:row>
      <xdr:rowOff>127000</xdr:rowOff>
    </xdr:from>
    <xdr:ext cx="838200" cy="338554"/>
    <xdr:sp macro="" textlink="">
      <xdr:nvSpPr>
        <xdr:cNvPr id="11" name="TextBox 10"/>
        <xdr:cNvSpPr txBox="1"/>
      </xdr:nvSpPr>
      <xdr:spPr>
        <a:xfrm>
          <a:off x="11544300" y="29591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0.35</a:t>
          </a:r>
        </a:p>
      </xdr:txBody>
    </xdr:sp>
    <xdr:clientData/>
  </xdr:oneCellAnchor>
  <xdr:oneCellAnchor>
    <xdr:from>
      <xdr:col>16</xdr:col>
      <xdr:colOff>330200</xdr:colOff>
      <xdr:row>16</xdr:row>
      <xdr:rowOff>127000</xdr:rowOff>
    </xdr:from>
    <xdr:ext cx="838200" cy="338554"/>
    <xdr:sp macro="" textlink="">
      <xdr:nvSpPr>
        <xdr:cNvPr id="12" name="TextBox 11"/>
        <xdr:cNvSpPr txBox="1"/>
      </xdr:nvSpPr>
      <xdr:spPr>
        <a:xfrm>
          <a:off x="12725400" y="29591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0.42</a:t>
          </a:r>
        </a:p>
      </xdr:txBody>
    </xdr:sp>
    <xdr:clientData/>
  </xdr:oneCellAnchor>
  <xdr:oneCellAnchor>
    <xdr:from>
      <xdr:col>17</xdr:col>
      <xdr:colOff>406400</xdr:colOff>
      <xdr:row>16</xdr:row>
      <xdr:rowOff>127000</xdr:rowOff>
    </xdr:from>
    <xdr:ext cx="838200" cy="338554"/>
    <xdr:sp macro="" textlink="">
      <xdr:nvSpPr>
        <xdr:cNvPr id="13" name="TextBox 12"/>
        <xdr:cNvSpPr txBox="1"/>
      </xdr:nvSpPr>
      <xdr:spPr>
        <a:xfrm>
          <a:off x="13754100" y="29591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0.50</a:t>
          </a:r>
        </a:p>
      </xdr:txBody>
    </xdr:sp>
    <xdr:clientData/>
  </xdr:oneCellAnchor>
  <xdr:oneCellAnchor>
    <xdr:from>
      <xdr:col>11</xdr:col>
      <xdr:colOff>342900</xdr:colOff>
      <xdr:row>8</xdr:row>
      <xdr:rowOff>38100</xdr:rowOff>
    </xdr:from>
    <xdr:ext cx="838200" cy="338554"/>
    <xdr:sp macro="" textlink="">
      <xdr:nvSpPr>
        <xdr:cNvPr id="14" name="TextBox 13"/>
        <xdr:cNvSpPr txBox="1"/>
      </xdr:nvSpPr>
      <xdr:spPr>
        <a:xfrm>
          <a:off x="8407400" y="1549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0.25</a:t>
          </a:r>
        </a:p>
      </xdr:txBody>
    </xdr:sp>
    <xdr:clientData/>
  </xdr:oneCellAnchor>
  <xdr:oneCellAnchor>
    <xdr:from>
      <xdr:col>13</xdr:col>
      <xdr:colOff>114300</xdr:colOff>
      <xdr:row>8</xdr:row>
      <xdr:rowOff>38100</xdr:rowOff>
    </xdr:from>
    <xdr:ext cx="838200" cy="338554"/>
    <xdr:sp macro="" textlink="">
      <xdr:nvSpPr>
        <xdr:cNvPr id="15" name="TextBox 14"/>
        <xdr:cNvSpPr txBox="1"/>
      </xdr:nvSpPr>
      <xdr:spPr>
        <a:xfrm>
          <a:off x="9715500" y="1549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0.33</a:t>
          </a:r>
        </a:p>
      </xdr:txBody>
    </xdr:sp>
    <xdr:clientData/>
  </xdr:oneCellAnchor>
  <xdr:oneCellAnchor>
    <xdr:from>
      <xdr:col>14</xdr:col>
      <xdr:colOff>533400</xdr:colOff>
      <xdr:row>8</xdr:row>
      <xdr:rowOff>38100</xdr:rowOff>
    </xdr:from>
    <xdr:ext cx="838200" cy="338554"/>
    <xdr:sp macro="" textlink="">
      <xdr:nvSpPr>
        <xdr:cNvPr id="16" name="TextBox 15"/>
        <xdr:cNvSpPr txBox="1"/>
      </xdr:nvSpPr>
      <xdr:spPr>
        <a:xfrm>
          <a:off x="11023600" y="1549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0.35</a:t>
          </a:r>
        </a:p>
      </xdr:txBody>
    </xdr:sp>
    <xdr:clientData/>
  </xdr:oneCellAnchor>
  <xdr:oneCellAnchor>
    <xdr:from>
      <xdr:col>15</xdr:col>
      <xdr:colOff>901700</xdr:colOff>
      <xdr:row>8</xdr:row>
      <xdr:rowOff>38100</xdr:rowOff>
    </xdr:from>
    <xdr:ext cx="838200" cy="338554"/>
    <xdr:sp macro="" textlink="">
      <xdr:nvSpPr>
        <xdr:cNvPr id="17" name="TextBox 16"/>
        <xdr:cNvSpPr txBox="1"/>
      </xdr:nvSpPr>
      <xdr:spPr>
        <a:xfrm>
          <a:off x="12344400" y="1549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0.42</a:t>
          </a:r>
        </a:p>
      </xdr:txBody>
    </xdr:sp>
    <xdr:clientData/>
  </xdr:oneCellAnchor>
  <xdr:oneCellAnchor>
    <xdr:from>
      <xdr:col>17</xdr:col>
      <xdr:colOff>152400</xdr:colOff>
      <xdr:row>8</xdr:row>
      <xdr:rowOff>38100</xdr:rowOff>
    </xdr:from>
    <xdr:ext cx="838200" cy="338554"/>
    <xdr:sp macro="" textlink="">
      <xdr:nvSpPr>
        <xdr:cNvPr id="18" name="TextBox 17"/>
        <xdr:cNvSpPr txBox="1"/>
      </xdr:nvSpPr>
      <xdr:spPr>
        <a:xfrm>
          <a:off x="13550900" y="15494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0.50</a:t>
          </a:r>
        </a:p>
      </xdr:txBody>
    </xdr:sp>
    <xdr:clientData/>
  </xdr:oneCellAnchor>
  <xdr:oneCellAnchor>
    <xdr:from>
      <xdr:col>18</xdr:col>
      <xdr:colOff>237123</xdr:colOff>
      <xdr:row>5</xdr:row>
      <xdr:rowOff>143877</xdr:rowOff>
    </xdr:from>
    <xdr:ext cx="338554" cy="838200"/>
    <xdr:sp macro="" textlink="">
      <xdr:nvSpPr>
        <xdr:cNvPr id="19" name="TextBox 18"/>
        <xdr:cNvSpPr txBox="1"/>
      </xdr:nvSpPr>
      <xdr:spPr>
        <a:xfrm rot="5400000">
          <a:off x="13970000" y="14097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0.625</a:t>
          </a:r>
        </a:p>
      </xdr:txBody>
    </xdr:sp>
    <xdr:clientData/>
  </xdr:oneCellAnchor>
  <xdr:oneCellAnchor>
    <xdr:from>
      <xdr:col>18</xdr:col>
      <xdr:colOff>237123</xdr:colOff>
      <xdr:row>23</xdr:row>
      <xdr:rowOff>80377</xdr:rowOff>
    </xdr:from>
    <xdr:ext cx="338554" cy="838200"/>
    <xdr:sp macro="" textlink="">
      <xdr:nvSpPr>
        <xdr:cNvPr id="20" name="TextBox 19"/>
        <xdr:cNvSpPr txBox="1"/>
      </xdr:nvSpPr>
      <xdr:spPr>
        <a:xfrm rot="5400000">
          <a:off x="13970000" y="4318000"/>
          <a:ext cx="8382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/>
            <a:t>0.625</a:t>
          </a:r>
        </a:p>
      </xdr:txBody>
    </xdr:sp>
    <xdr:clientData/>
  </xdr:oneCellAnchor>
  <xdr:oneCellAnchor>
    <xdr:from>
      <xdr:col>18</xdr:col>
      <xdr:colOff>609600</xdr:colOff>
      <xdr:row>8</xdr:row>
      <xdr:rowOff>38100</xdr:rowOff>
    </xdr:from>
    <xdr:ext cx="508000" cy="338554"/>
    <xdr:sp macro="" textlink="">
      <xdr:nvSpPr>
        <xdr:cNvPr id="21" name="TextBox 20"/>
        <xdr:cNvSpPr txBox="1"/>
      </xdr:nvSpPr>
      <xdr:spPr>
        <a:xfrm>
          <a:off x="14541500" y="1549400"/>
          <a:ext cx="5080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>
              <a:solidFill>
                <a:srgbClr val="FF0000"/>
              </a:solidFill>
            </a:rPr>
            <a:t>N</a:t>
          </a:r>
        </a:p>
      </xdr:txBody>
    </xdr:sp>
    <xdr:clientData/>
  </xdr:oneCellAnchor>
  <xdr:oneCellAnchor>
    <xdr:from>
      <xdr:col>18</xdr:col>
      <xdr:colOff>609600</xdr:colOff>
      <xdr:row>16</xdr:row>
      <xdr:rowOff>127000</xdr:rowOff>
    </xdr:from>
    <xdr:ext cx="508000" cy="338554"/>
    <xdr:sp macro="" textlink="">
      <xdr:nvSpPr>
        <xdr:cNvPr id="22" name="TextBox 21"/>
        <xdr:cNvSpPr txBox="1"/>
      </xdr:nvSpPr>
      <xdr:spPr>
        <a:xfrm>
          <a:off x="14541500" y="2959100"/>
          <a:ext cx="5080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>
              <a:solidFill>
                <a:srgbClr val="FF0000"/>
              </a:solidFill>
            </a:rPr>
            <a:t>N</a:t>
          </a:r>
        </a:p>
      </xdr:txBody>
    </xdr:sp>
    <xdr:clientData/>
  </xdr:oneCellAnchor>
  <xdr:oneCellAnchor>
    <xdr:from>
      <xdr:col>18</xdr:col>
      <xdr:colOff>609600</xdr:colOff>
      <xdr:row>25</xdr:row>
      <xdr:rowOff>38100</xdr:rowOff>
    </xdr:from>
    <xdr:ext cx="508000" cy="338554"/>
    <xdr:sp macro="" textlink="">
      <xdr:nvSpPr>
        <xdr:cNvPr id="23" name="TextBox 22"/>
        <xdr:cNvSpPr txBox="1"/>
      </xdr:nvSpPr>
      <xdr:spPr>
        <a:xfrm>
          <a:off x="14541500" y="4356100"/>
          <a:ext cx="5080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>
              <a:solidFill>
                <a:srgbClr val="FF0000"/>
              </a:solidFill>
            </a:rPr>
            <a:t>N</a:t>
          </a:r>
        </a:p>
      </xdr:txBody>
    </xdr:sp>
    <xdr:clientData/>
  </xdr:oneCellAnchor>
  <xdr:oneCellAnchor>
    <xdr:from>
      <xdr:col>19</xdr:col>
      <xdr:colOff>571500</xdr:colOff>
      <xdr:row>8</xdr:row>
      <xdr:rowOff>38100</xdr:rowOff>
    </xdr:from>
    <xdr:ext cx="1752600" cy="338554"/>
    <xdr:sp macro="" textlink="">
      <xdr:nvSpPr>
        <xdr:cNvPr id="24" name="TextBox 23"/>
        <xdr:cNvSpPr txBox="1"/>
      </xdr:nvSpPr>
      <xdr:spPr>
        <a:xfrm>
          <a:off x="15303500" y="1549400"/>
          <a:ext cx="1752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 b="1"/>
            <a:t>Membrane 3</a:t>
          </a:r>
        </a:p>
      </xdr:txBody>
    </xdr:sp>
    <xdr:clientData/>
  </xdr:oneCellAnchor>
  <xdr:oneCellAnchor>
    <xdr:from>
      <xdr:col>19</xdr:col>
      <xdr:colOff>571500</xdr:colOff>
      <xdr:row>16</xdr:row>
      <xdr:rowOff>139700</xdr:rowOff>
    </xdr:from>
    <xdr:ext cx="1752600" cy="338554"/>
    <xdr:sp macro="" textlink="">
      <xdr:nvSpPr>
        <xdr:cNvPr id="25" name="TextBox 24"/>
        <xdr:cNvSpPr txBox="1"/>
      </xdr:nvSpPr>
      <xdr:spPr>
        <a:xfrm>
          <a:off x="15303500" y="2971800"/>
          <a:ext cx="1752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 b="1"/>
            <a:t>Membrane 2</a:t>
          </a:r>
        </a:p>
      </xdr:txBody>
    </xdr:sp>
    <xdr:clientData/>
  </xdr:oneCellAnchor>
  <xdr:oneCellAnchor>
    <xdr:from>
      <xdr:col>19</xdr:col>
      <xdr:colOff>571500</xdr:colOff>
      <xdr:row>25</xdr:row>
      <xdr:rowOff>38100</xdr:rowOff>
    </xdr:from>
    <xdr:ext cx="1752600" cy="338554"/>
    <xdr:sp macro="" textlink="">
      <xdr:nvSpPr>
        <xdr:cNvPr id="26" name="TextBox 25"/>
        <xdr:cNvSpPr txBox="1"/>
      </xdr:nvSpPr>
      <xdr:spPr>
        <a:xfrm>
          <a:off x="15303500" y="4356100"/>
          <a:ext cx="1752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 b="1"/>
            <a:t>Membrane 1</a:t>
          </a:r>
        </a:p>
      </xdr:txBody>
    </xdr:sp>
    <xdr:clientData/>
  </xdr:oneCellAnchor>
  <xdr:oneCellAnchor>
    <xdr:from>
      <xdr:col>18</xdr:col>
      <xdr:colOff>431800</xdr:colOff>
      <xdr:row>25</xdr:row>
      <xdr:rowOff>38100</xdr:rowOff>
    </xdr:from>
    <xdr:ext cx="508000" cy="338554"/>
    <xdr:sp macro="" textlink="">
      <xdr:nvSpPr>
        <xdr:cNvPr id="27" name="TextBox 26"/>
        <xdr:cNvSpPr txBox="1"/>
      </xdr:nvSpPr>
      <xdr:spPr>
        <a:xfrm>
          <a:off x="14414500" y="4356100"/>
          <a:ext cx="5080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</a:t>
          </a:r>
        </a:p>
      </xdr:txBody>
    </xdr:sp>
    <xdr:clientData/>
  </xdr:oneCellAnchor>
  <xdr:oneCellAnchor>
    <xdr:from>
      <xdr:col>18</xdr:col>
      <xdr:colOff>406400</xdr:colOff>
      <xdr:row>16</xdr:row>
      <xdr:rowOff>127000</xdr:rowOff>
    </xdr:from>
    <xdr:ext cx="508000" cy="338554"/>
    <xdr:sp macro="" textlink="">
      <xdr:nvSpPr>
        <xdr:cNvPr id="28" name="TextBox 27"/>
        <xdr:cNvSpPr txBox="1"/>
      </xdr:nvSpPr>
      <xdr:spPr>
        <a:xfrm>
          <a:off x="14389100" y="2959100"/>
          <a:ext cx="5080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</a:t>
          </a:r>
        </a:p>
      </xdr:txBody>
    </xdr:sp>
    <xdr:clientData/>
  </xdr:oneCellAnchor>
  <xdr:oneCellAnchor>
    <xdr:from>
      <xdr:col>18</xdr:col>
      <xdr:colOff>406400</xdr:colOff>
      <xdr:row>8</xdr:row>
      <xdr:rowOff>50800</xdr:rowOff>
    </xdr:from>
    <xdr:ext cx="508000" cy="338554"/>
    <xdr:sp macro="" textlink="">
      <xdr:nvSpPr>
        <xdr:cNvPr id="29" name="TextBox 28"/>
        <xdr:cNvSpPr txBox="1"/>
      </xdr:nvSpPr>
      <xdr:spPr>
        <a:xfrm>
          <a:off x="14389100" y="1562100"/>
          <a:ext cx="5080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</a:t>
          </a:r>
        </a:p>
      </xdr:txBody>
    </xdr:sp>
    <xdr:clientData/>
  </xdr:oneCellAnchor>
  <xdr:oneCellAnchor>
    <xdr:from>
      <xdr:col>16</xdr:col>
      <xdr:colOff>254000</xdr:colOff>
      <xdr:row>66</xdr:row>
      <xdr:rowOff>88900</xdr:rowOff>
    </xdr:from>
    <xdr:ext cx="549787" cy="307777"/>
    <xdr:sp macro="" textlink="">
      <xdr:nvSpPr>
        <xdr:cNvPr id="30" name="TextBox 29"/>
        <xdr:cNvSpPr txBox="1"/>
      </xdr:nvSpPr>
      <xdr:spPr>
        <a:xfrm>
          <a:off x="12700000" y="11239500"/>
          <a:ext cx="549787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400"/>
            <a:t>Align</a:t>
          </a:r>
        </a:p>
      </xdr:txBody>
    </xdr:sp>
    <xdr:clientData/>
  </xdr:oneCellAnchor>
  <xdr:oneCellAnchor>
    <xdr:from>
      <xdr:col>17</xdr:col>
      <xdr:colOff>114300</xdr:colOff>
      <xdr:row>66</xdr:row>
      <xdr:rowOff>88900</xdr:rowOff>
    </xdr:from>
    <xdr:ext cx="467646" cy="307777"/>
    <xdr:sp macro="" textlink="">
      <xdr:nvSpPr>
        <xdr:cNvPr id="31" name="TextBox 30"/>
        <xdr:cNvSpPr txBox="1"/>
      </xdr:nvSpPr>
      <xdr:spPr>
        <a:xfrm>
          <a:off x="13512800" y="11239500"/>
          <a:ext cx="467646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400"/>
            <a:t>Nav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97"/>
  <sheetViews>
    <sheetView tabSelected="1" topLeftCell="A53" workbookViewId="0">
      <selection activeCell="D91" sqref="D91"/>
    </sheetView>
  </sheetViews>
  <sheetFormatPr baseColWidth="10" defaultColWidth="11" defaultRowHeight="13"/>
  <cols>
    <col min="1" max="1" width="6.140625" customWidth="1"/>
    <col min="2" max="2" width="10.28515625" customWidth="1"/>
    <col min="3" max="3" width="9.140625" customWidth="1"/>
    <col min="4" max="4" width="8.7109375" customWidth="1"/>
    <col min="5" max="5" width="8.5703125" customWidth="1"/>
    <col min="6" max="6" width="10.42578125" customWidth="1"/>
    <col min="7" max="7" width="10.140625" customWidth="1"/>
    <col min="8" max="8" width="12.28515625" customWidth="1"/>
    <col min="9" max="9" width="14.28515625" style="1" customWidth="1"/>
    <col min="10" max="10" width="5.42578125" customWidth="1"/>
    <col min="11" max="11" width="7.85546875" customWidth="1"/>
    <col min="12" max="12" width="8.42578125" customWidth="1"/>
    <col min="13" max="13" width="8.85546875" customWidth="1"/>
    <col min="14" max="14" width="10" customWidth="1"/>
    <col min="18" max="18" width="6.5703125" customWidth="1"/>
    <col min="19" max="19" width="9" customWidth="1"/>
    <col min="20" max="20" width="8.28515625" customWidth="1"/>
    <col min="21" max="21" width="9.85546875" customWidth="1"/>
    <col min="22" max="22" width="8.7109375" customWidth="1"/>
  </cols>
  <sheetData>
    <row r="1" spans="1:9" ht="23">
      <c r="A1" s="41" t="s">
        <v>76</v>
      </c>
    </row>
    <row r="2" spans="1:9" ht="18">
      <c r="A2" s="40" t="s">
        <v>70</v>
      </c>
    </row>
    <row r="3" spans="1:9">
      <c r="A3" s="42" t="s">
        <v>66</v>
      </c>
    </row>
    <row r="4" spans="1:9">
      <c r="E4" s="10" t="s">
        <v>19</v>
      </c>
      <c r="F4" s="10" t="s">
        <v>20</v>
      </c>
    </row>
    <row r="5" spans="1:9">
      <c r="E5" s="10">
        <v>160</v>
      </c>
      <c r="F5" s="10">
        <f>E5+80</f>
        <v>240</v>
      </c>
    </row>
    <row r="6" spans="1:9">
      <c r="G6" s="70"/>
      <c r="I6" s="30" t="s">
        <v>23</v>
      </c>
    </row>
    <row r="7" spans="1:9">
      <c r="A7" s="22" t="s">
        <v>18</v>
      </c>
      <c r="B7" s="22" t="s">
        <v>15</v>
      </c>
      <c r="C7" s="22" t="s">
        <v>16</v>
      </c>
      <c r="D7" s="22" t="s">
        <v>17</v>
      </c>
      <c r="E7" s="22" t="s">
        <v>22</v>
      </c>
      <c r="F7" s="22" t="s">
        <v>50</v>
      </c>
      <c r="G7" s="22" t="s">
        <v>69</v>
      </c>
      <c r="H7" s="22" t="s">
        <v>51</v>
      </c>
      <c r="I7" s="29" t="s">
        <v>21</v>
      </c>
    </row>
    <row r="8" spans="1:9">
      <c r="A8" s="23">
        <v>1</v>
      </c>
      <c r="B8" s="23">
        <v>1</v>
      </c>
      <c r="C8" s="21">
        <v>100</v>
      </c>
      <c r="D8" s="21">
        <v>135</v>
      </c>
      <c r="E8" s="21">
        <v>0.25</v>
      </c>
      <c r="F8" s="21">
        <v>500</v>
      </c>
      <c r="G8" s="21">
        <v>0</v>
      </c>
      <c r="H8" s="21">
        <v>6</v>
      </c>
      <c r="I8" s="35">
        <v>1</v>
      </c>
    </row>
    <row r="9" spans="1:9">
      <c r="A9" s="23">
        <f t="shared" ref="A9:A24" si="0">A8+1</f>
        <v>2</v>
      </c>
      <c r="B9" s="23">
        <f>B8</f>
        <v>1</v>
      </c>
      <c r="C9" s="21">
        <f t="shared" ref="C9:C14" si="1">C8+$E$5</f>
        <v>260</v>
      </c>
      <c r="D9" s="21">
        <f>D8</f>
        <v>135</v>
      </c>
      <c r="E9" s="21">
        <v>0.25</v>
      </c>
      <c r="F9" s="21">
        <v>500</v>
      </c>
      <c r="G9" s="21">
        <v>0</v>
      </c>
      <c r="H9" s="21">
        <v>6</v>
      </c>
      <c r="I9" s="35">
        <v>2</v>
      </c>
    </row>
    <row r="10" spans="1:9">
      <c r="A10" s="23">
        <f t="shared" si="0"/>
        <v>3</v>
      </c>
      <c r="B10" s="23">
        <v>1</v>
      </c>
      <c r="C10" s="21">
        <f t="shared" si="1"/>
        <v>420</v>
      </c>
      <c r="D10" s="21">
        <f>D9</f>
        <v>135</v>
      </c>
      <c r="E10" s="21">
        <v>0.25</v>
      </c>
      <c r="F10" s="21">
        <v>500</v>
      </c>
      <c r="G10" s="21">
        <v>0</v>
      </c>
      <c r="H10" s="21">
        <v>6</v>
      </c>
      <c r="I10" s="35">
        <v>3</v>
      </c>
    </row>
    <row r="11" spans="1:9">
      <c r="A11" s="23">
        <f t="shared" si="0"/>
        <v>4</v>
      </c>
      <c r="B11" s="23">
        <v>1</v>
      </c>
      <c r="C11" s="21">
        <f t="shared" si="1"/>
        <v>580</v>
      </c>
      <c r="D11" s="21">
        <f>D10</f>
        <v>135</v>
      </c>
      <c r="E11" s="21">
        <v>0.25</v>
      </c>
      <c r="F11" s="21">
        <v>500</v>
      </c>
      <c r="G11" s="21">
        <v>0</v>
      </c>
      <c r="H11" s="21">
        <v>6</v>
      </c>
      <c r="I11" s="35">
        <v>4</v>
      </c>
    </row>
    <row r="12" spans="1:9">
      <c r="A12" s="23">
        <f t="shared" si="0"/>
        <v>5</v>
      </c>
      <c r="B12" s="23">
        <v>1</v>
      </c>
      <c r="C12" s="21">
        <f t="shared" si="1"/>
        <v>740</v>
      </c>
      <c r="D12" s="16">
        <f>D11</f>
        <v>135</v>
      </c>
      <c r="E12" s="16">
        <v>0.25</v>
      </c>
      <c r="F12" s="23">
        <v>500</v>
      </c>
      <c r="G12" s="34">
        <v>-25</v>
      </c>
      <c r="H12" s="34">
        <v>6</v>
      </c>
    </row>
    <row r="13" spans="1:9">
      <c r="A13" s="23">
        <f t="shared" si="0"/>
        <v>6</v>
      </c>
      <c r="B13" s="23">
        <v>1</v>
      </c>
      <c r="C13" s="21">
        <f t="shared" si="1"/>
        <v>900</v>
      </c>
      <c r="D13" s="16">
        <f>D12</f>
        <v>135</v>
      </c>
      <c r="E13" s="16">
        <v>0.25</v>
      </c>
      <c r="F13" s="23">
        <v>500</v>
      </c>
      <c r="G13" s="34">
        <v>-12.5</v>
      </c>
      <c r="H13" s="34">
        <v>6</v>
      </c>
    </row>
    <row r="14" spans="1:9">
      <c r="A14" s="23">
        <f t="shared" si="0"/>
        <v>7</v>
      </c>
      <c r="B14" s="16">
        <f>B9</f>
        <v>1</v>
      </c>
      <c r="C14" s="16">
        <f t="shared" si="1"/>
        <v>1060</v>
      </c>
      <c r="D14" s="16">
        <f>D9</f>
        <v>135</v>
      </c>
      <c r="E14" s="16">
        <v>0.25</v>
      </c>
      <c r="F14" s="23">
        <v>500</v>
      </c>
      <c r="G14" s="34">
        <v>12.5</v>
      </c>
      <c r="H14" s="34">
        <v>6</v>
      </c>
    </row>
    <row r="15" spans="1:9">
      <c r="A15" s="16">
        <f t="shared" si="0"/>
        <v>8</v>
      </c>
      <c r="B15" s="16">
        <f>B14</f>
        <v>1</v>
      </c>
      <c r="C15" s="16">
        <f t="shared" ref="C15:C23" si="2">C14+$E$5</f>
        <v>1220</v>
      </c>
      <c r="D15" s="16">
        <f t="shared" ref="D15:D21" si="3">D14</f>
        <v>135</v>
      </c>
      <c r="E15" s="16">
        <v>0.25</v>
      </c>
      <c r="F15" s="16">
        <v>500</v>
      </c>
      <c r="G15" s="34">
        <v>25</v>
      </c>
      <c r="H15" s="34">
        <v>6</v>
      </c>
    </row>
    <row r="16" spans="1:9">
      <c r="A16" s="24">
        <f t="shared" si="0"/>
        <v>9</v>
      </c>
      <c r="B16" s="24">
        <f>B15</f>
        <v>1</v>
      </c>
      <c r="C16" s="20">
        <f>C15+$F$5</f>
        <v>1460</v>
      </c>
      <c r="D16" s="20">
        <f t="shared" si="3"/>
        <v>135</v>
      </c>
      <c r="E16" s="20">
        <v>0.33</v>
      </c>
      <c r="F16" s="20">
        <v>500</v>
      </c>
      <c r="G16" s="20">
        <v>0</v>
      </c>
      <c r="H16" s="20">
        <v>6</v>
      </c>
      <c r="I16" s="36">
        <v>1</v>
      </c>
    </row>
    <row r="17" spans="1:9">
      <c r="A17" s="24">
        <f t="shared" si="0"/>
        <v>10</v>
      </c>
      <c r="B17" s="24">
        <f>B16</f>
        <v>1</v>
      </c>
      <c r="C17" s="20">
        <f t="shared" si="2"/>
        <v>1620</v>
      </c>
      <c r="D17" s="20">
        <f t="shared" si="3"/>
        <v>135</v>
      </c>
      <c r="E17" s="20">
        <v>0.33</v>
      </c>
      <c r="F17" s="20">
        <v>500</v>
      </c>
      <c r="G17" s="20">
        <v>0</v>
      </c>
      <c r="H17" s="20">
        <v>6</v>
      </c>
      <c r="I17" s="36">
        <v>2</v>
      </c>
    </row>
    <row r="18" spans="1:9">
      <c r="A18" s="24">
        <f t="shared" si="0"/>
        <v>11</v>
      </c>
      <c r="B18" s="14">
        <v>1</v>
      </c>
      <c r="C18" s="20">
        <f t="shared" si="2"/>
        <v>1780</v>
      </c>
      <c r="D18" s="20">
        <f t="shared" si="3"/>
        <v>135</v>
      </c>
      <c r="E18" s="20">
        <v>0.33</v>
      </c>
      <c r="F18" s="20">
        <v>500</v>
      </c>
      <c r="G18" s="20">
        <v>0</v>
      </c>
      <c r="H18" s="20">
        <v>6</v>
      </c>
      <c r="I18" s="36">
        <v>3</v>
      </c>
    </row>
    <row r="19" spans="1:9">
      <c r="A19" s="14">
        <f t="shared" si="0"/>
        <v>12</v>
      </c>
      <c r="B19" s="14">
        <v>1</v>
      </c>
      <c r="C19" s="13">
        <f t="shared" si="2"/>
        <v>1940</v>
      </c>
      <c r="D19" s="20">
        <f t="shared" si="3"/>
        <v>135</v>
      </c>
      <c r="E19" s="20">
        <v>0.33</v>
      </c>
      <c r="F19" s="20">
        <v>500</v>
      </c>
      <c r="G19" s="20">
        <v>0</v>
      </c>
      <c r="H19" s="20">
        <v>6</v>
      </c>
      <c r="I19" s="36">
        <v>4</v>
      </c>
    </row>
    <row r="20" spans="1:9" s="12" customFormat="1">
      <c r="A20" s="14">
        <f t="shared" si="0"/>
        <v>13</v>
      </c>
      <c r="B20" s="14">
        <v>1</v>
      </c>
      <c r="C20" s="13">
        <f t="shared" si="2"/>
        <v>2100</v>
      </c>
      <c r="D20" s="20">
        <f t="shared" si="3"/>
        <v>135</v>
      </c>
      <c r="E20" s="14">
        <v>0.33</v>
      </c>
      <c r="F20" s="14">
        <v>500</v>
      </c>
      <c r="G20" s="14">
        <v>-25</v>
      </c>
      <c r="H20" s="14">
        <v>6</v>
      </c>
      <c r="I20" s="1"/>
    </row>
    <row r="21" spans="1:9" s="12" customFormat="1">
      <c r="A21" s="14">
        <f t="shared" si="0"/>
        <v>14</v>
      </c>
      <c r="B21" s="14">
        <v>1</v>
      </c>
      <c r="C21" s="13">
        <f t="shared" si="2"/>
        <v>2260</v>
      </c>
      <c r="D21" s="14">
        <f t="shared" si="3"/>
        <v>135</v>
      </c>
      <c r="E21" s="14">
        <v>0.33</v>
      </c>
      <c r="F21" s="14">
        <v>500</v>
      </c>
      <c r="G21" s="14">
        <v>-12.5</v>
      </c>
      <c r="H21" s="14">
        <v>6</v>
      </c>
      <c r="I21" s="1"/>
    </row>
    <row r="22" spans="1:9" s="12" customFormat="1">
      <c r="A22" s="15">
        <f t="shared" si="0"/>
        <v>15</v>
      </c>
      <c r="B22" s="15">
        <v>1</v>
      </c>
      <c r="C22" s="13">
        <f t="shared" si="2"/>
        <v>2420</v>
      </c>
      <c r="D22" s="14">
        <f>D20</f>
        <v>135</v>
      </c>
      <c r="E22" s="14">
        <v>0.33</v>
      </c>
      <c r="F22" s="14">
        <v>500</v>
      </c>
      <c r="G22" s="14">
        <v>12.5</v>
      </c>
      <c r="H22" s="14">
        <v>6</v>
      </c>
      <c r="I22" s="1"/>
    </row>
    <row r="23" spans="1:9" s="12" customFormat="1">
      <c r="A23" s="15">
        <f t="shared" si="0"/>
        <v>16</v>
      </c>
      <c r="B23" s="15">
        <v>1</v>
      </c>
      <c r="C23" s="13">
        <f t="shared" si="2"/>
        <v>2580</v>
      </c>
      <c r="D23" s="14">
        <f>D21</f>
        <v>135</v>
      </c>
      <c r="E23" s="14">
        <v>0.33</v>
      </c>
      <c r="F23" s="14">
        <v>500</v>
      </c>
      <c r="G23" s="14">
        <v>25</v>
      </c>
      <c r="H23" s="14">
        <v>6</v>
      </c>
      <c r="I23" s="1"/>
    </row>
    <row r="24" spans="1:9">
      <c r="A24" s="25">
        <f t="shared" si="0"/>
        <v>17</v>
      </c>
      <c r="B24" s="25">
        <v>1</v>
      </c>
      <c r="C24" s="19">
        <f>C23+$F$5</f>
        <v>2820</v>
      </c>
      <c r="D24" s="19">
        <f>D23</f>
        <v>135</v>
      </c>
      <c r="E24" s="19">
        <v>0.35</v>
      </c>
      <c r="F24" s="19">
        <f>F23</f>
        <v>500</v>
      </c>
      <c r="G24" s="19">
        <v>0</v>
      </c>
      <c r="H24" s="19">
        <v>6</v>
      </c>
      <c r="I24" s="37">
        <v>1</v>
      </c>
    </row>
    <row r="25" spans="1:9">
      <c r="A25" s="17">
        <f t="shared" ref="A25:A28" si="4">A24+1</f>
        <v>18</v>
      </c>
      <c r="B25" s="17">
        <v>1</v>
      </c>
      <c r="C25" s="17">
        <f t="shared" ref="C25:C28" si="5">C24+$E$5</f>
        <v>2980</v>
      </c>
      <c r="D25" s="17">
        <f t="shared" ref="D25:D28" si="6">D24</f>
        <v>135</v>
      </c>
      <c r="E25" s="17">
        <v>0.35</v>
      </c>
      <c r="F25" s="17">
        <f t="shared" ref="F25:F28" si="7">F24</f>
        <v>500</v>
      </c>
      <c r="G25" s="17">
        <v>-25</v>
      </c>
      <c r="H25" s="17">
        <v>6</v>
      </c>
    </row>
    <row r="26" spans="1:9">
      <c r="A26" s="17">
        <f t="shared" si="4"/>
        <v>19</v>
      </c>
      <c r="B26" s="17">
        <v>1</v>
      </c>
      <c r="C26" s="17">
        <f t="shared" si="5"/>
        <v>3140</v>
      </c>
      <c r="D26" s="17">
        <f t="shared" si="6"/>
        <v>135</v>
      </c>
      <c r="E26" s="17">
        <v>0.35</v>
      </c>
      <c r="F26" s="17">
        <f t="shared" si="7"/>
        <v>500</v>
      </c>
      <c r="G26" s="17">
        <v>-12.5</v>
      </c>
      <c r="H26" s="17">
        <v>6</v>
      </c>
    </row>
    <row r="27" spans="1:9">
      <c r="A27" s="17">
        <f t="shared" si="4"/>
        <v>20</v>
      </c>
      <c r="B27" s="17">
        <v>1</v>
      </c>
      <c r="C27" s="18">
        <f t="shared" si="5"/>
        <v>3300</v>
      </c>
      <c r="D27" s="17">
        <f t="shared" si="6"/>
        <v>135</v>
      </c>
      <c r="E27" s="17">
        <v>0.35</v>
      </c>
      <c r="F27" s="17">
        <f t="shared" si="7"/>
        <v>500</v>
      </c>
      <c r="G27" s="17">
        <v>12.5</v>
      </c>
      <c r="H27" s="17">
        <v>6</v>
      </c>
    </row>
    <row r="28" spans="1:9">
      <c r="A28" s="18">
        <f t="shared" si="4"/>
        <v>21</v>
      </c>
      <c r="B28" s="18">
        <v>1</v>
      </c>
      <c r="C28" s="18">
        <f t="shared" si="5"/>
        <v>3460</v>
      </c>
      <c r="D28" s="17">
        <f t="shared" si="6"/>
        <v>135</v>
      </c>
      <c r="E28" s="17">
        <v>0.35</v>
      </c>
      <c r="F28" s="17">
        <f t="shared" si="7"/>
        <v>500</v>
      </c>
      <c r="G28" s="17">
        <v>25</v>
      </c>
      <c r="H28" s="17">
        <v>6</v>
      </c>
    </row>
    <row r="29" spans="1:9">
      <c r="A29" s="45">
        <f>A28+1</f>
        <v>22</v>
      </c>
      <c r="B29" s="45">
        <v>2</v>
      </c>
      <c r="C29" s="46">
        <f>C28+$E$5</f>
        <v>3620</v>
      </c>
      <c r="D29" s="46">
        <f>D28</f>
        <v>135</v>
      </c>
      <c r="E29" s="47">
        <v>0.625</v>
      </c>
      <c r="F29" s="46">
        <v>275</v>
      </c>
      <c r="G29" s="46">
        <v>0</v>
      </c>
      <c r="H29" s="46">
        <v>10</v>
      </c>
      <c r="I29" s="48">
        <v>1</v>
      </c>
    </row>
    <row r="30" spans="1:9">
      <c r="A30" s="61">
        <f t="shared" ref="A30" si="8">A29+1</f>
        <v>23</v>
      </c>
      <c r="B30" s="61">
        <v>2</v>
      </c>
      <c r="C30" s="62">
        <f>C29+$E$5</f>
        <v>3780</v>
      </c>
      <c r="D30" s="62">
        <f>D29</f>
        <v>135</v>
      </c>
      <c r="E30" s="63">
        <v>0.04</v>
      </c>
      <c r="F30" s="62">
        <v>500</v>
      </c>
      <c r="G30" s="65" t="s">
        <v>29</v>
      </c>
      <c r="H30" s="65">
        <v>6</v>
      </c>
      <c r="I30" s="64">
        <v>1</v>
      </c>
    </row>
    <row r="31" spans="1:9">
      <c r="A31" s="57">
        <f>A30+1</f>
        <v>24</v>
      </c>
      <c r="B31" s="57">
        <v>1</v>
      </c>
      <c r="C31" s="57">
        <v>3900</v>
      </c>
      <c r="D31" s="57">
        <f>D29</f>
        <v>135</v>
      </c>
      <c r="E31" s="57">
        <v>0.125</v>
      </c>
      <c r="F31" s="57">
        <v>1500</v>
      </c>
      <c r="G31" s="58" t="s">
        <v>74</v>
      </c>
      <c r="H31" s="58">
        <v>2</v>
      </c>
      <c r="I31" s="59">
        <v>1</v>
      </c>
    </row>
    <row r="33" spans="1:25">
      <c r="G33" s="11"/>
      <c r="H33" s="11"/>
    </row>
    <row r="34" spans="1:25">
      <c r="A34" s="23">
        <f>A31+1</f>
        <v>25</v>
      </c>
      <c r="B34" s="23">
        <v>2</v>
      </c>
      <c r="C34" s="21">
        <v>100</v>
      </c>
      <c r="D34" s="21">
        <f>D8+1100</f>
        <v>1235</v>
      </c>
      <c r="E34" s="21">
        <v>0.25</v>
      </c>
      <c r="F34" s="21">
        <v>500</v>
      </c>
      <c r="G34" s="21">
        <v>0</v>
      </c>
      <c r="H34" s="21">
        <v>6</v>
      </c>
      <c r="I34" s="35">
        <v>5</v>
      </c>
    </row>
    <row r="35" spans="1:25" ht="16">
      <c r="A35" s="23">
        <f t="shared" ref="A35:A55" si="9">A34+1</f>
        <v>26</v>
      </c>
      <c r="B35" s="23">
        <f>B34</f>
        <v>2</v>
      </c>
      <c r="C35" s="21">
        <f>C34+$E$5</f>
        <v>260</v>
      </c>
      <c r="D35" s="21">
        <f>D34</f>
        <v>1235</v>
      </c>
      <c r="E35" s="21">
        <v>0.25</v>
      </c>
      <c r="F35" s="21">
        <v>500</v>
      </c>
      <c r="G35" s="21">
        <v>0</v>
      </c>
      <c r="H35" s="21">
        <v>6</v>
      </c>
      <c r="I35" s="35">
        <f>I34+1</f>
        <v>6</v>
      </c>
      <c r="K35" s="56" t="s">
        <v>72</v>
      </c>
    </row>
    <row r="36" spans="1:25">
      <c r="A36" s="23">
        <f t="shared" si="9"/>
        <v>27</v>
      </c>
      <c r="B36" s="23">
        <f>B35</f>
        <v>2</v>
      </c>
      <c r="C36" s="21">
        <f>C35+$E$5</f>
        <v>420</v>
      </c>
      <c r="D36" s="21">
        <f>D35</f>
        <v>1235</v>
      </c>
      <c r="E36" s="21">
        <v>0.25</v>
      </c>
      <c r="F36" s="21">
        <v>500</v>
      </c>
      <c r="G36" s="21">
        <v>0</v>
      </c>
      <c r="H36" s="21">
        <v>6</v>
      </c>
      <c r="I36" s="35">
        <f>I35+1</f>
        <v>7</v>
      </c>
      <c r="K36" s="50" t="s">
        <v>73</v>
      </c>
      <c r="L36" s="30" t="s">
        <v>55</v>
      </c>
      <c r="M36" s="30" t="s">
        <v>77</v>
      </c>
      <c r="N36" s="30" t="s">
        <v>78</v>
      </c>
      <c r="O36" s="30" t="s">
        <v>79</v>
      </c>
      <c r="P36" s="30" t="s">
        <v>75</v>
      </c>
      <c r="S36" s="68" t="s">
        <v>26</v>
      </c>
      <c r="T36" s="68" t="s">
        <v>27</v>
      </c>
      <c r="U36" s="68" t="s">
        <v>25</v>
      </c>
      <c r="V36" s="68" t="s">
        <v>22</v>
      </c>
      <c r="W36" s="68" t="s">
        <v>48</v>
      </c>
      <c r="X36" s="68" t="s">
        <v>49</v>
      </c>
    </row>
    <row r="37" spans="1:25">
      <c r="A37" s="23">
        <f t="shared" si="9"/>
        <v>28</v>
      </c>
      <c r="B37" s="23">
        <f>B36</f>
        <v>2</v>
      </c>
      <c r="C37" s="21">
        <f>C36+$E$5</f>
        <v>580</v>
      </c>
      <c r="D37" s="21">
        <f>D36</f>
        <v>1235</v>
      </c>
      <c r="E37" s="21">
        <v>0.25</v>
      </c>
      <c r="F37" s="21">
        <v>500</v>
      </c>
      <c r="G37" s="21">
        <v>0</v>
      </c>
      <c r="H37" s="21">
        <v>6</v>
      </c>
      <c r="I37" s="35">
        <f>I36+1</f>
        <v>8</v>
      </c>
      <c r="K37" s="43">
        <v>1</v>
      </c>
      <c r="L37" s="44">
        <v>0.25</v>
      </c>
      <c r="M37" s="44">
        <v>11</v>
      </c>
      <c r="N37" s="44">
        <v>0</v>
      </c>
      <c r="O37" s="44">
        <v>1</v>
      </c>
      <c r="P37" s="44">
        <v>3</v>
      </c>
      <c r="S37" s="1">
        <v>10</v>
      </c>
      <c r="T37" s="1">
        <v>275</v>
      </c>
      <c r="U37" s="54">
        <f>2*T37*TAN(S37*PI()/180)</f>
        <v>96.979839389655737</v>
      </c>
      <c r="V37" s="1">
        <v>0.625</v>
      </c>
      <c r="W37" s="60">
        <f t="shared" ref="W37:W42" si="10">T37*2*TAN(ASIN(V37/4))</f>
        <v>87.006149610645735</v>
      </c>
      <c r="X37" s="60">
        <f t="shared" ref="X37:X42" si="11">0.5*(U37+W37)</f>
        <v>91.992994500150729</v>
      </c>
    </row>
    <row r="38" spans="1:25">
      <c r="A38" s="24">
        <f t="shared" si="9"/>
        <v>29</v>
      </c>
      <c r="B38" s="24">
        <f>B36</f>
        <v>2</v>
      </c>
      <c r="C38" s="20">
        <f>C37+$F$5</f>
        <v>820</v>
      </c>
      <c r="D38" s="20">
        <f>D36</f>
        <v>1235</v>
      </c>
      <c r="E38" s="20">
        <v>0.33</v>
      </c>
      <c r="F38" s="20">
        <v>500</v>
      </c>
      <c r="G38" s="20">
        <v>0</v>
      </c>
      <c r="H38" s="20">
        <v>6</v>
      </c>
      <c r="I38" s="36">
        <v>5</v>
      </c>
      <c r="K38" s="43">
        <v>2</v>
      </c>
      <c r="L38" s="44">
        <v>0.33</v>
      </c>
      <c r="M38" s="44">
        <v>17</v>
      </c>
      <c r="N38" s="44">
        <v>0</v>
      </c>
      <c r="O38" s="44">
        <v>1</v>
      </c>
      <c r="P38" s="44"/>
      <c r="S38" s="1">
        <v>8</v>
      </c>
      <c r="T38" s="1">
        <v>360</v>
      </c>
      <c r="U38" s="54">
        <f t="shared" ref="U38" si="12">2*T38*TAN(S38*PI()/180)</f>
        <v>101.18940098572183</v>
      </c>
      <c r="V38" s="69">
        <v>0.5</v>
      </c>
      <c r="W38" s="60">
        <f t="shared" si="10"/>
        <v>90.711473522214504</v>
      </c>
      <c r="X38" s="60">
        <f t="shared" si="11"/>
        <v>95.950437253968175</v>
      </c>
    </row>
    <row r="39" spans="1:25">
      <c r="A39" s="24">
        <f t="shared" si="9"/>
        <v>30</v>
      </c>
      <c r="B39" s="24">
        <f>B38</f>
        <v>2</v>
      </c>
      <c r="C39" s="20">
        <f t="shared" ref="C39" si="13">C38+$E$5</f>
        <v>980</v>
      </c>
      <c r="D39" s="20">
        <f>D38</f>
        <v>1235</v>
      </c>
      <c r="E39" s="20">
        <v>0.33</v>
      </c>
      <c r="F39" s="20">
        <v>500</v>
      </c>
      <c r="G39" s="20">
        <v>0</v>
      </c>
      <c r="H39" s="20">
        <v>6</v>
      </c>
      <c r="I39" s="36">
        <f t="shared" ref="I39:I44" si="14">I38+1</f>
        <v>6</v>
      </c>
      <c r="K39" s="43">
        <v>3</v>
      </c>
      <c r="L39" s="44">
        <v>0.35</v>
      </c>
      <c r="M39" s="44">
        <v>7</v>
      </c>
      <c r="N39" s="44">
        <v>0</v>
      </c>
      <c r="O39" s="44">
        <v>1</v>
      </c>
      <c r="P39" s="49"/>
      <c r="S39" s="1">
        <v>8</v>
      </c>
      <c r="T39" s="1">
        <v>400</v>
      </c>
      <c r="U39" s="60">
        <f t="shared" ref="U39" si="15">2*T39*TAN(S39*PI()/180)</f>
        <v>112.43266776191314</v>
      </c>
      <c r="V39" s="1">
        <v>0.42</v>
      </c>
      <c r="W39" s="60">
        <f t="shared" si="10"/>
        <v>84.466914364952714</v>
      </c>
      <c r="X39" s="60">
        <f t="shared" si="11"/>
        <v>98.449791063432926</v>
      </c>
    </row>
    <row r="40" spans="1:25">
      <c r="A40" s="24">
        <f t="shared" si="9"/>
        <v>31</v>
      </c>
      <c r="B40" s="24">
        <f>B38</f>
        <v>2</v>
      </c>
      <c r="C40" s="20">
        <f>C39+$E$5</f>
        <v>1140</v>
      </c>
      <c r="D40" s="20">
        <f>D37</f>
        <v>1235</v>
      </c>
      <c r="E40" s="20">
        <v>0.33</v>
      </c>
      <c r="F40" s="20">
        <v>500</v>
      </c>
      <c r="G40" s="20">
        <v>0</v>
      </c>
      <c r="H40" s="20">
        <v>6</v>
      </c>
      <c r="I40" s="36">
        <f t="shared" si="14"/>
        <v>7</v>
      </c>
      <c r="K40" s="43">
        <v>4</v>
      </c>
      <c r="L40" s="44">
        <v>0.42</v>
      </c>
      <c r="M40" s="44">
        <v>11</v>
      </c>
      <c r="N40" s="44"/>
      <c r="O40" s="44"/>
      <c r="P40" s="49"/>
      <c r="S40" s="1">
        <v>6</v>
      </c>
      <c r="T40" s="1">
        <v>500</v>
      </c>
      <c r="U40" s="60">
        <f>2*T40*TAN(S40*PI()/180)</f>
        <v>105.10423526567645</v>
      </c>
      <c r="V40" s="1">
        <v>0.35</v>
      </c>
      <c r="W40" s="60">
        <f t="shared" si="10"/>
        <v>87.836896700536883</v>
      </c>
      <c r="X40" s="60">
        <f t="shared" si="11"/>
        <v>96.470565983106667</v>
      </c>
    </row>
    <row r="41" spans="1:25">
      <c r="A41" s="24">
        <f t="shared" si="9"/>
        <v>32</v>
      </c>
      <c r="B41" s="24">
        <f>B39</f>
        <v>2</v>
      </c>
      <c r="C41" s="20">
        <f>C40+$E$5</f>
        <v>1300</v>
      </c>
      <c r="D41" s="20">
        <f>D38</f>
        <v>1235</v>
      </c>
      <c r="E41" s="20">
        <v>0.33</v>
      </c>
      <c r="F41" s="20">
        <v>500</v>
      </c>
      <c r="G41" s="20">
        <v>0</v>
      </c>
      <c r="H41" s="20">
        <v>6</v>
      </c>
      <c r="I41" s="36">
        <f t="shared" si="14"/>
        <v>8</v>
      </c>
      <c r="K41" s="43">
        <v>5</v>
      </c>
      <c r="L41" s="44">
        <v>0.5</v>
      </c>
      <c r="M41" s="44">
        <v>5</v>
      </c>
      <c r="N41" s="44"/>
      <c r="O41" s="44"/>
      <c r="P41" s="49"/>
      <c r="Q41" s="12"/>
      <c r="R41" s="12"/>
      <c r="S41" s="1">
        <v>6</v>
      </c>
      <c r="T41" s="1">
        <v>500</v>
      </c>
      <c r="U41" s="60">
        <f>2*T41*TAN(S41*PI()/180)</f>
        <v>105.10423526567645</v>
      </c>
      <c r="V41" s="1">
        <v>0.33</v>
      </c>
      <c r="W41" s="60">
        <f t="shared" si="10"/>
        <v>82.782199170928251</v>
      </c>
      <c r="X41" s="60">
        <f t="shared" si="11"/>
        <v>93.943217218302351</v>
      </c>
    </row>
    <row r="42" spans="1:25" ht="14" customHeight="1">
      <c r="A42" s="24">
        <f t="shared" si="9"/>
        <v>33</v>
      </c>
      <c r="B42" s="24">
        <f>B39</f>
        <v>2</v>
      </c>
      <c r="C42" s="20">
        <f>C41+$E$5</f>
        <v>1460</v>
      </c>
      <c r="D42" s="20">
        <f t="shared" ref="D42:D47" si="16">D38</f>
        <v>1235</v>
      </c>
      <c r="E42" s="20">
        <v>0.33</v>
      </c>
      <c r="F42" s="20">
        <v>500</v>
      </c>
      <c r="G42" s="20">
        <v>0</v>
      </c>
      <c r="H42" s="20">
        <v>6</v>
      </c>
      <c r="I42" s="36">
        <f t="shared" si="14"/>
        <v>9</v>
      </c>
      <c r="K42" s="43">
        <v>6</v>
      </c>
      <c r="L42" s="49">
        <v>0.625</v>
      </c>
      <c r="M42" s="49">
        <v>2</v>
      </c>
      <c r="N42" s="49"/>
      <c r="O42" s="49"/>
      <c r="P42" s="49"/>
      <c r="Q42" s="12"/>
      <c r="R42" s="12"/>
      <c r="S42" s="1">
        <v>6</v>
      </c>
      <c r="T42" s="1">
        <v>500</v>
      </c>
      <c r="U42" s="60">
        <f>2*T42*TAN(S42*PI()/180)</f>
        <v>105.10423526567645</v>
      </c>
      <c r="V42" s="1">
        <v>0.25</v>
      </c>
      <c r="W42" s="60">
        <f t="shared" si="10"/>
        <v>62.622429108514972</v>
      </c>
      <c r="X42" s="60">
        <f t="shared" si="11"/>
        <v>83.863332187095708</v>
      </c>
      <c r="Y42" s="12"/>
    </row>
    <row r="43" spans="1:25" ht="14" customHeight="1">
      <c r="A43" s="24">
        <f t="shared" si="9"/>
        <v>34</v>
      </c>
      <c r="B43" s="24">
        <f>B40</f>
        <v>2</v>
      </c>
      <c r="C43" s="20">
        <f>C42+$E$5</f>
        <v>1620</v>
      </c>
      <c r="D43" s="20">
        <f t="shared" si="16"/>
        <v>1235</v>
      </c>
      <c r="E43" s="20">
        <v>0.33</v>
      </c>
      <c r="F43" s="20">
        <v>500</v>
      </c>
      <c r="G43" s="20">
        <v>0</v>
      </c>
      <c r="H43" s="20">
        <v>6</v>
      </c>
      <c r="I43" s="36">
        <f t="shared" si="14"/>
        <v>10</v>
      </c>
      <c r="K43" s="43" t="s">
        <v>30</v>
      </c>
      <c r="L43" s="44">
        <v>0.04</v>
      </c>
      <c r="M43" s="44">
        <v>3</v>
      </c>
      <c r="N43" s="44"/>
      <c r="O43" s="44"/>
      <c r="P43" s="49"/>
      <c r="Q43" s="55"/>
      <c r="R43" s="12"/>
      <c r="S43" s="66">
        <v>6</v>
      </c>
      <c r="T43" s="66">
        <v>500</v>
      </c>
      <c r="U43" s="67">
        <f>2*T43*TAN(S43*PI()/180)</f>
        <v>105.10423526567645</v>
      </c>
      <c r="V43" s="71">
        <f>L43</f>
        <v>0.04</v>
      </c>
      <c r="W43" s="67">
        <f>T43*2*TAN(ASIN(V43/4))</f>
        <v>10.000500037503123</v>
      </c>
      <c r="X43" s="67">
        <f t="shared" ref="X43" si="17">0.5*(U43+W43)</f>
        <v>57.55236765158979</v>
      </c>
      <c r="Y43" s="12"/>
    </row>
    <row r="44" spans="1:25">
      <c r="A44" s="24">
        <f t="shared" si="9"/>
        <v>35</v>
      </c>
      <c r="B44" s="24">
        <f>B41</f>
        <v>2</v>
      </c>
      <c r="C44" s="20">
        <f>C43+$E$5</f>
        <v>1780</v>
      </c>
      <c r="D44" s="20">
        <f t="shared" si="16"/>
        <v>1235</v>
      </c>
      <c r="E44" s="20">
        <v>0.33</v>
      </c>
      <c r="F44" s="20">
        <v>500</v>
      </c>
      <c r="G44" s="20">
        <v>0</v>
      </c>
      <c r="H44" s="20">
        <v>6</v>
      </c>
      <c r="I44" s="36">
        <f t="shared" si="14"/>
        <v>11</v>
      </c>
      <c r="K44" s="43" t="s">
        <v>31</v>
      </c>
      <c r="L44" s="49">
        <v>0.125</v>
      </c>
      <c r="M44" s="49">
        <v>3</v>
      </c>
      <c r="N44" s="49"/>
      <c r="O44" s="49"/>
      <c r="P44" s="49"/>
      <c r="Q44" s="51" t="s">
        <v>71</v>
      </c>
      <c r="R44" s="12"/>
      <c r="S44" s="66">
        <v>2</v>
      </c>
      <c r="T44" s="66">
        <v>1500</v>
      </c>
      <c r="U44" s="67">
        <f>2*T44*TAN(S44*PI()/180)</f>
        <v>104.76230847524319</v>
      </c>
      <c r="V44" s="66">
        <v>0.125</v>
      </c>
      <c r="W44" s="67">
        <f t="shared" ref="W44" si="18">T44*2*TAN(ASIN(V44/4))</f>
        <v>93.795809922108361</v>
      </c>
      <c r="X44" s="67">
        <f t="shared" ref="X44" si="19">0.5*(U44+W44)</f>
        <v>99.279059198675782</v>
      </c>
    </row>
    <row r="45" spans="1:25">
      <c r="A45" s="25">
        <f t="shared" si="9"/>
        <v>36</v>
      </c>
      <c r="B45" s="25">
        <v>2</v>
      </c>
      <c r="C45" s="19">
        <f>C44+$F$5</f>
        <v>2020</v>
      </c>
      <c r="D45" s="19">
        <f t="shared" si="16"/>
        <v>1235</v>
      </c>
      <c r="E45" s="19">
        <v>0.35</v>
      </c>
      <c r="F45" s="19">
        <f>F41</f>
        <v>500</v>
      </c>
      <c r="G45" s="19">
        <v>0</v>
      </c>
      <c r="H45" s="19">
        <v>6</v>
      </c>
      <c r="I45" s="37">
        <v>2</v>
      </c>
      <c r="K45" s="53" t="s">
        <v>24</v>
      </c>
      <c r="L45" s="52"/>
      <c r="M45" s="53">
        <f>SUM(M39:M44)</f>
        <v>31</v>
      </c>
      <c r="N45" s="53">
        <f>SUM(N39:N44)</f>
        <v>0</v>
      </c>
      <c r="O45" s="53">
        <f>SUM(O39:O44)*4</f>
        <v>4</v>
      </c>
      <c r="P45" s="53">
        <f>SUM(P39:P44)</f>
        <v>0</v>
      </c>
      <c r="Q45" s="53">
        <f>M45+N45+O45+P45</f>
        <v>35</v>
      </c>
      <c r="S45" s="12"/>
      <c r="T45" s="12"/>
      <c r="U45" s="12"/>
      <c r="V45" s="12"/>
      <c r="W45" s="12"/>
      <c r="X45" s="12"/>
    </row>
    <row r="46" spans="1:25">
      <c r="A46" s="25">
        <f t="shared" si="9"/>
        <v>37</v>
      </c>
      <c r="B46" s="25">
        <v>2</v>
      </c>
      <c r="C46" s="19">
        <f>C45+$E$5</f>
        <v>2180</v>
      </c>
      <c r="D46" s="19">
        <f t="shared" si="16"/>
        <v>1235</v>
      </c>
      <c r="E46" s="19">
        <v>0.35</v>
      </c>
      <c r="F46" s="19">
        <f>F42</f>
        <v>500</v>
      </c>
      <c r="G46" s="19">
        <v>0</v>
      </c>
      <c r="H46" s="19">
        <v>6</v>
      </c>
      <c r="I46" s="37">
        <f>I45+1</f>
        <v>3</v>
      </c>
      <c r="S46" s="12"/>
      <c r="T46" s="12"/>
      <c r="U46" s="12"/>
      <c r="V46" s="12"/>
      <c r="W46" s="12"/>
      <c r="X46" s="12"/>
    </row>
    <row r="47" spans="1:25" s="12" customFormat="1">
      <c r="A47" s="25">
        <f t="shared" si="9"/>
        <v>38</v>
      </c>
      <c r="B47" s="25">
        <v>2</v>
      </c>
      <c r="C47" s="19">
        <f>C46+$E$5</f>
        <v>2340</v>
      </c>
      <c r="D47" s="19">
        <f t="shared" si="16"/>
        <v>1235</v>
      </c>
      <c r="E47" s="19">
        <v>0.35</v>
      </c>
      <c r="F47" s="19">
        <f>F43</f>
        <v>500</v>
      </c>
      <c r="G47" s="19">
        <v>0</v>
      </c>
      <c r="H47" s="19">
        <v>6</v>
      </c>
      <c r="I47" s="37">
        <f>I46+1</f>
        <v>4</v>
      </c>
      <c r="S47"/>
      <c r="T47"/>
      <c r="U47"/>
      <c r="V47"/>
      <c r="W47"/>
      <c r="X47"/>
    </row>
    <row r="48" spans="1:25" s="12" customFormat="1">
      <c r="A48" s="26">
        <f t="shared" si="9"/>
        <v>39</v>
      </c>
      <c r="B48" s="26">
        <v>2</v>
      </c>
      <c r="C48" s="27">
        <f>C47+$F$5</f>
        <v>2580</v>
      </c>
      <c r="D48" s="27">
        <f t="shared" ref="D48:D52" si="20">D47</f>
        <v>1235</v>
      </c>
      <c r="E48" s="27">
        <v>0.42</v>
      </c>
      <c r="F48" s="98">
        <v>400</v>
      </c>
      <c r="G48" s="27">
        <v>0</v>
      </c>
      <c r="H48" s="27">
        <v>8</v>
      </c>
      <c r="I48" s="38">
        <v>1</v>
      </c>
      <c r="S48"/>
      <c r="T48"/>
      <c r="U48"/>
      <c r="V48"/>
      <c r="W48"/>
      <c r="X48"/>
    </row>
    <row r="49" spans="1:25" s="12" customFormat="1">
      <c r="A49" s="26">
        <f t="shared" si="9"/>
        <v>40</v>
      </c>
      <c r="B49" s="28">
        <v>2</v>
      </c>
      <c r="C49" s="27">
        <f>C48+$E$5</f>
        <v>2740</v>
      </c>
      <c r="D49" s="27">
        <f t="shared" si="20"/>
        <v>1235</v>
      </c>
      <c r="E49" s="27">
        <v>0.42</v>
      </c>
      <c r="F49" s="98">
        <v>400</v>
      </c>
      <c r="G49" s="27">
        <v>0</v>
      </c>
      <c r="H49" s="27">
        <v>8</v>
      </c>
      <c r="I49" s="38">
        <f>I48+1</f>
        <v>2</v>
      </c>
      <c r="S49"/>
      <c r="T49"/>
      <c r="U49"/>
      <c r="V49"/>
      <c r="W49"/>
      <c r="X49"/>
      <c r="Y49"/>
    </row>
    <row r="50" spans="1:25" s="12" customFormat="1">
      <c r="A50" s="28">
        <f t="shared" si="9"/>
        <v>41</v>
      </c>
      <c r="B50" s="28">
        <v>2</v>
      </c>
      <c r="C50" s="27">
        <f t="shared" ref="C50:C52" si="21">C49+$E$5</f>
        <v>2900</v>
      </c>
      <c r="D50" s="27">
        <f t="shared" si="20"/>
        <v>1235</v>
      </c>
      <c r="E50" s="27">
        <v>0.42</v>
      </c>
      <c r="F50" s="98">
        <v>400</v>
      </c>
      <c r="G50" s="27">
        <v>0</v>
      </c>
      <c r="H50" s="27">
        <v>8</v>
      </c>
      <c r="I50" s="38">
        <f>I49+1</f>
        <v>3</v>
      </c>
      <c r="S50"/>
      <c r="T50"/>
      <c r="U50"/>
      <c r="V50"/>
      <c r="W50"/>
      <c r="X50"/>
      <c r="Y50"/>
    </row>
    <row r="51" spans="1:25">
      <c r="A51" s="28">
        <f t="shared" si="9"/>
        <v>42</v>
      </c>
      <c r="B51" s="28">
        <v>2</v>
      </c>
      <c r="C51" s="27">
        <f t="shared" si="21"/>
        <v>3060</v>
      </c>
      <c r="D51" s="27">
        <f t="shared" si="20"/>
        <v>1235</v>
      </c>
      <c r="E51" s="27">
        <v>0.42</v>
      </c>
      <c r="F51" s="98">
        <v>400</v>
      </c>
      <c r="G51" s="27">
        <v>0</v>
      </c>
      <c r="H51" s="27">
        <v>8</v>
      </c>
      <c r="I51" s="38">
        <f>I50+1</f>
        <v>4</v>
      </c>
    </row>
    <row r="52" spans="1:25">
      <c r="A52" s="28">
        <f t="shared" si="9"/>
        <v>43</v>
      </c>
      <c r="B52" s="28">
        <v>2</v>
      </c>
      <c r="C52" s="27">
        <f t="shared" si="21"/>
        <v>3220</v>
      </c>
      <c r="D52" s="27">
        <f t="shared" si="20"/>
        <v>1235</v>
      </c>
      <c r="E52" s="27">
        <v>0.42</v>
      </c>
      <c r="F52" s="98">
        <v>400</v>
      </c>
      <c r="G52" s="27">
        <v>0</v>
      </c>
      <c r="H52" s="27">
        <v>8</v>
      </c>
      <c r="I52" s="38">
        <f>I51+1</f>
        <v>5</v>
      </c>
    </row>
    <row r="53" spans="1:25">
      <c r="A53" s="31">
        <f t="shared" si="9"/>
        <v>44</v>
      </c>
      <c r="B53" s="31">
        <v>2</v>
      </c>
      <c r="C53" s="32">
        <f>C52+$F$5</f>
        <v>3460</v>
      </c>
      <c r="D53" s="32">
        <f>D52</f>
        <v>1235</v>
      </c>
      <c r="E53" s="33">
        <v>0.5</v>
      </c>
      <c r="F53" s="32">
        <v>360</v>
      </c>
      <c r="G53" s="32">
        <v>0</v>
      </c>
      <c r="H53" s="32">
        <v>8</v>
      </c>
      <c r="I53" s="39">
        <v>1</v>
      </c>
    </row>
    <row r="54" spans="1:25">
      <c r="A54" s="31">
        <f t="shared" si="9"/>
        <v>45</v>
      </c>
      <c r="B54" s="31">
        <v>2</v>
      </c>
      <c r="C54" s="32">
        <f t="shared" ref="C54" si="22">C53+$E$5</f>
        <v>3620</v>
      </c>
      <c r="D54" s="32">
        <f>D53</f>
        <v>1235</v>
      </c>
      <c r="E54" s="33">
        <v>0.5</v>
      </c>
      <c r="F54" s="32">
        <v>360</v>
      </c>
      <c r="G54" s="32">
        <v>0</v>
      </c>
      <c r="H54" s="32">
        <v>8</v>
      </c>
      <c r="I54" s="39">
        <v>2</v>
      </c>
    </row>
    <row r="55" spans="1:25">
      <c r="A55" s="61">
        <f t="shared" si="9"/>
        <v>46</v>
      </c>
      <c r="B55" s="61">
        <v>2</v>
      </c>
      <c r="C55" s="62">
        <f>C54+$E$5</f>
        <v>3780</v>
      </c>
      <c r="D55" s="62">
        <f>D54</f>
        <v>1235</v>
      </c>
      <c r="E55" s="63">
        <v>0.04</v>
      </c>
      <c r="F55" s="62">
        <v>500</v>
      </c>
      <c r="G55" s="65" t="s">
        <v>29</v>
      </c>
      <c r="H55" s="65">
        <v>6</v>
      </c>
      <c r="I55" s="64">
        <v>1</v>
      </c>
    </row>
    <row r="56" spans="1:25">
      <c r="A56" s="57">
        <f>A55+1</f>
        <v>47</v>
      </c>
      <c r="B56" s="57">
        <v>1</v>
      </c>
      <c r="C56" s="57">
        <f>C31</f>
        <v>3900</v>
      </c>
      <c r="D56" s="57">
        <f t="shared" ref="D56" si="23">D54</f>
        <v>1235</v>
      </c>
      <c r="E56" s="57">
        <v>0.125</v>
      </c>
      <c r="F56" s="57">
        <v>1500</v>
      </c>
      <c r="G56" s="58" t="s">
        <v>74</v>
      </c>
      <c r="H56" s="58">
        <v>2</v>
      </c>
      <c r="I56" s="59">
        <v>2</v>
      </c>
    </row>
    <row r="59" spans="1:25">
      <c r="A59" s="23">
        <f>A56+1</f>
        <v>48</v>
      </c>
      <c r="B59" s="23">
        <v>2</v>
      </c>
      <c r="C59" s="21">
        <v>100</v>
      </c>
      <c r="D59" s="21">
        <f>D34+1100</f>
        <v>2335</v>
      </c>
      <c r="E59" s="21">
        <v>0.25</v>
      </c>
      <c r="F59" s="21">
        <v>500</v>
      </c>
      <c r="G59" s="21">
        <v>0</v>
      </c>
      <c r="H59" s="21">
        <v>6</v>
      </c>
      <c r="I59" s="35">
        <v>9</v>
      </c>
    </row>
    <row r="60" spans="1:25">
      <c r="A60" s="23">
        <f t="shared" ref="A60:A67" si="24">A59+1</f>
        <v>49</v>
      </c>
      <c r="B60" s="23">
        <f>B59</f>
        <v>2</v>
      </c>
      <c r="C60" s="21">
        <f>C59+$E$5</f>
        <v>260</v>
      </c>
      <c r="D60" s="21">
        <f>D59</f>
        <v>2335</v>
      </c>
      <c r="E60" s="21">
        <v>0.25</v>
      </c>
      <c r="F60" s="21">
        <v>500</v>
      </c>
      <c r="G60" s="21">
        <v>0</v>
      </c>
      <c r="H60" s="21">
        <v>6</v>
      </c>
      <c r="I60" s="35">
        <f>I59+1</f>
        <v>10</v>
      </c>
      <c r="S60" s="12"/>
      <c r="T60" s="12"/>
      <c r="U60" s="12"/>
      <c r="V60" s="12"/>
      <c r="W60" s="12"/>
      <c r="X60" s="12"/>
    </row>
    <row r="61" spans="1:25">
      <c r="A61" s="23">
        <f t="shared" si="24"/>
        <v>50</v>
      </c>
      <c r="B61" s="23">
        <f>B60</f>
        <v>2</v>
      </c>
      <c r="C61" s="21">
        <f>C60+$E$5</f>
        <v>420</v>
      </c>
      <c r="D61" s="21">
        <f>D60</f>
        <v>2335</v>
      </c>
      <c r="E61" s="21">
        <v>0.25</v>
      </c>
      <c r="F61" s="21">
        <v>500</v>
      </c>
      <c r="G61" s="21">
        <v>0</v>
      </c>
      <c r="H61" s="21">
        <v>6</v>
      </c>
      <c r="I61" s="35">
        <f>I60+1</f>
        <v>11</v>
      </c>
      <c r="S61" s="12"/>
      <c r="T61" s="12"/>
      <c r="U61" s="12"/>
      <c r="V61" s="12"/>
      <c r="W61" s="12"/>
      <c r="X61" s="12"/>
    </row>
    <row r="62" spans="1:25">
      <c r="A62" s="13">
        <f t="shared" si="24"/>
        <v>51</v>
      </c>
      <c r="B62" s="24">
        <f>B60</f>
        <v>2</v>
      </c>
      <c r="C62" s="20">
        <f>C61+$F$5</f>
        <v>660</v>
      </c>
      <c r="D62" s="20">
        <f>D60</f>
        <v>2335</v>
      </c>
      <c r="E62" s="20">
        <v>0.33</v>
      </c>
      <c r="F62" s="20">
        <v>500</v>
      </c>
      <c r="G62" s="20">
        <v>0</v>
      </c>
      <c r="H62" s="20">
        <v>6</v>
      </c>
      <c r="I62" s="36">
        <v>12</v>
      </c>
      <c r="S62" s="12"/>
      <c r="T62" s="12"/>
      <c r="U62" s="12"/>
      <c r="V62" s="12"/>
      <c r="W62" s="12"/>
      <c r="X62" s="12"/>
      <c r="Y62" s="12"/>
    </row>
    <row r="63" spans="1:25">
      <c r="A63" s="13">
        <f t="shared" si="24"/>
        <v>52</v>
      </c>
      <c r="B63" s="24">
        <f>B62</f>
        <v>2</v>
      </c>
      <c r="C63" s="20">
        <f>C62+$E$5</f>
        <v>820</v>
      </c>
      <c r="D63" s="20">
        <f>D62</f>
        <v>2335</v>
      </c>
      <c r="E63" s="20">
        <v>0.33</v>
      </c>
      <c r="F63" s="20">
        <v>500</v>
      </c>
      <c r="G63" s="20">
        <v>0</v>
      </c>
      <c r="H63" s="20">
        <v>6</v>
      </c>
      <c r="I63" s="36">
        <f>I62+1</f>
        <v>13</v>
      </c>
      <c r="S63" s="12"/>
      <c r="T63" s="12"/>
      <c r="U63" s="12"/>
      <c r="V63" s="12"/>
      <c r="W63" s="12"/>
      <c r="X63" s="12"/>
      <c r="Y63" s="12"/>
    </row>
    <row r="64" spans="1:25">
      <c r="A64" s="13">
        <f t="shared" si="24"/>
        <v>53</v>
      </c>
      <c r="B64" s="24">
        <f>B62</f>
        <v>2</v>
      </c>
      <c r="C64" s="20">
        <f>C63+$E$5</f>
        <v>980</v>
      </c>
      <c r="D64" s="20">
        <f>D61</f>
        <v>2335</v>
      </c>
      <c r="E64" s="20">
        <v>0.33</v>
      </c>
      <c r="F64" s="20">
        <v>500</v>
      </c>
      <c r="G64" s="20">
        <v>0</v>
      </c>
      <c r="H64" s="20">
        <v>6</v>
      </c>
      <c r="I64" s="36">
        <f>I63+1</f>
        <v>14</v>
      </c>
      <c r="Y64" s="12"/>
    </row>
    <row r="65" spans="1:25">
      <c r="A65" s="13">
        <f t="shared" si="24"/>
        <v>54</v>
      </c>
      <c r="B65" s="24">
        <f>B63</f>
        <v>2</v>
      </c>
      <c r="C65" s="20">
        <f>C64+$E$5</f>
        <v>1140</v>
      </c>
      <c r="D65" s="20">
        <f>D62</f>
        <v>2335</v>
      </c>
      <c r="E65" s="20">
        <v>0.33</v>
      </c>
      <c r="F65" s="20">
        <v>500</v>
      </c>
      <c r="G65" s="20">
        <v>0</v>
      </c>
      <c r="H65" s="20">
        <v>6</v>
      </c>
      <c r="I65" s="36">
        <f>I64+1</f>
        <v>15</v>
      </c>
      <c r="Y65" s="12"/>
    </row>
    <row r="66" spans="1:25">
      <c r="A66" s="13">
        <f t="shared" si="24"/>
        <v>55</v>
      </c>
      <c r="B66" s="24">
        <f>B63</f>
        <v>2</v>
      </c>
      <c r="C66" s="20">
        <f>C65+$E$5</f>
        <v>1300</v>
      </c>
      <c r="D66" s="20">
        <f t="shared" ref="D66:D70" si="25">D62</f>
        <v>2335</v>
      </c>
      <c r="E66" s="20">
        <v>0.33</v>
      </c>
      <c r="F66" s="20">
        <v>500</v>
      </c>
      <c r="G66" s="20">
        <v>0</v>
      </c>
      <c r="H66" s="20">
        <v>6</v>
      </c>
      <c r="I66" s="36">
        <f>I65+1</f>
        <v>16</v>
      </c>
    </row>
    <row r="67" spans="1:25" s="12" customFormat="1">
      <c r="A67" s="13">
        <f t="shared" si="24"/>
        <v>56</v>
      </c>
      <c r="B67" s="24">
        <f>B64</f>
        <v>2</v>
      </c>
      <c r="C67" s="20">
        <f>C66+$E$5</f>
        <v>1460</v>
      </c>
      <c r="D67" s="20">
        <f t="shared" si="25"/>
        <v>2335</v>
      </c>
      <c r="E67" s="20">
        <v>0.33</v>
      </c>
      <c r="F67" s="20">
        <v>500</v>
      </c>
      <c r="G67" s="20">
        <v>0</v>
      </c>
      <c r="H67" s="20">
        <v>6</v>
      </c>
      <c r="I67" s="36">
        <f>I66+1</f>
        <v>17</v>
      </c>
      <c r="S67"/>
      <c r="T67"/>
      <c r="U67"/>
      <c r="V67"/>
      <c r="W67"/>
      <c r="X67"/>
      <c r="Y67"/>
    </row>
    <row r="68" spans="1:25" s="12" customFormat="1">
      <c r="A68" s="25">
        <f t="shared" ref="A68:A76" si="26">A67+1</f>
        <v>57</v>
      </c>
      <c r="B68" s="25">
        <v>2</v>
      </c>
      <c r="C68" s="19">
        <f>C67+$F$5</f>
        <v>1700</v>
      </c>
      <c r="D68" s="19">
        <f t="shared" si="25"/>
        <v>2335</v>
      </c>
      <c r="E68" s="19">
        <v>0.35</v>
      </c>
      <c r="F68" s="19">
        <f>F64</f>
        <v>500</v>
      </c>
      <c r="G68" s="19">
        <v>0</v>
      </c>
      <c r="H68" s="19">
        <v>6</v>
      </c>
      <c r="I68" s="37">
        <v>5</v>
      </c>
      <c r="S68"/>
      <c r="T68"/>
      <c r="U68"/>
      <c r="V68"/>
      <c r="W68"/>
      <c r="X68"/>
      <c r="Y68"/>
    </row>
    <row r="69" spans="1:25" s="12" customFormat="1">
      <c r="A69" s="25">
        <f>A68+1</f>
        <v>58</v>
      </c>
      <c r="B69" s="25">
        <v>2</v>
      </c>
      <c r="C69" s="19">
        <f>C68+$E$5</f>
        <v>1860</v>
      </c>
      <c r="D69" s="19">
        <f t="shared" si="25"/>
        <v>2335</v>
      </c>
      <c r="E69" s="19">
        <v>0.35</v>
      </c>
      <c r="F69" s="19">
        <f>F65</f>
        <v>500</v>
      </c>
      <c r="G69" s="19">
        <v>0</v>
      </c>
      <c r="H69" s="19">
        <v>6</v>
      </c>
      <c r="I69" s="37">
        <f>I68+1</f>
        <v>6</v>
      </c>
      <c r="S69"/>
      <c r="T69"/>
      <c r="U69"/>
      <c r="V69"/>
      <c r="W69"/>
      <c r="X69"/>
      <c r="Y69"/>
    </row>
    <row r="70" spans="1:25" s="12" customFormat="1">
      <c r="A70" s="25">
        <f>A69+1</f>
        <v>59</v>
      </c>
      <c r="B70" s="25">
        <v>2</v>
      </c>
      <c r="C70" s="19">
        <f>C69+$E$5</f>
        <v>2020</v>
      </c>
      <c r="D70" s="19">
        <f t="shared" si="25"/>
        <v>2335</v>
      </c>
      <c r="E70" s="19">
        <v>0.35</v>
      </c>
      <c r="F70" s="19">
        <f>F66</f>
        <v>500</v>
      </c>
      <c r="G70" s="19">
        <v>0</v>
      </c>
      <c r="H70" s="19">
        <v>6</v>
      </c>
      <c r="I70" s="37">
        <f>I69+1</f>
        <v>7</v>
      </c>
      <c r="S70"/>
      <c r="T70"/>
      <c r="U70"/>
      <c r="V70"/>
      <c r="W70"/>
      <c r="X70"/>
      <c r="Y70"/>
    </row>
    <row r="71" spans="1:25">
      <c r="A71" s="26">
        <f t="shared" si="26"/>
        <v>60</v>
      </c>
      <c r="B71" s="26">
        <v>2</v>
      </c>
      <c r="C71" s="27">
        <f>C70+$F$5</f>
        <v>2260</v>
      </c>
      <c r="D71" s="27">
        <f t="shared" ref="D71:D76" si="27">D70</f>
        <v>2335</v>
      </c>
      <c r="E71" s="27">
        <v>0.42</v>
      </c>
      <c r="F71" s="98">
        <v>400</v>
      </c>
      <c r="G71" s="27">
        <v>0</v>
      </c>
      <c r="H71" s="27">
        <v>8</v>
      </c>
      <c r="I71" s="38">
        <v>6</v>
      </c>
    </row>
    <row r="72" spans="1:25">
      <c r="A72" s="26">
        <f t="shared" si="26"/>
        <v>61</v>
      </c>
      <c r="B72" s="28">
        <v>2</v>
      </c>
      <c r="C72" s="27">
        <f>C71+$E$5</f>
        <v>2420</v>
      </c>
      <c r="D72" s="27">
        <f t="shared" si="27"/>
        <v>2335</v>
      </c>
      <c r="E72" s="27">
        <v>0.42</v>
      </c>
      <c r="F72" s="98">
        <v>400</v>
      </c>
      <c r="G72" s="27">
        <v>0</v>
      </c>
      <c r="H72" s="27">
        <v>8</v>
      </c>
      <c r="I72" s="38">
        <f>I71+1</f>
        <v>7</v>
      </c>
    </row>
    <row r="73" spans="1:25">
      <c r="A73" s="28">
        <f t="shared" si="26"/>
        <v>62</v>
      </c>
      <c r="B73" s="28">
        <v>2</v>
      </c>
      <c r="C73" s="27">
        <f>C72+$E$5</f>
        <v>2580</v>
      </c>
      <c r="D73" s="27">
        <f t="shared" si="27"/>
        <v>2335</v>
      </c>
      <c r="E73" s="27">
        <v>0.42</v>
      </c>
      <c r="F73" s="98">
        <v>400</v>
      </c>
      <c r="G73" s="27">
        <v>0</v>
      </c>
      <c r="H73" s="27">
        <v>8</v>
      </c>
      <c r="I73" s="38">
        <f>I72+1</f>
        <v>8</v>
      </c>
    </row>
    <row r="74" spans="1:25">
      <c r="A74" s="28">
        <f t="shared" si="26"/>
        <v>63</v>
      </c>
      <c r="B74" s="28">
        <v>2</v>
      </c>
      <c r="C74" s="27">
        <f>C73+$E$5</f>
        <v>2740</v>
      </c>
      <c r="D74" s="27">
        <f t="shared" si="27"/>
        <v>2335</v>
      </c>
      <c r="E74" s="27">
        <v>0.42</v>
      </c>
      <c r="F74" s="98">
        <v>400</v>
      </c>
      <c r="G74" s="27">
        <v>0</v>
      </c>
      <c r="H74" s="27">
        <v>8</v>
      </c>
      <c r="I74" s="38">
        <f>I73+1</f>
        <v>9</v>
      </c>
    </row>
    <row r="75" spans="1:25">
      <c r="A75" s="28">
        <f t="shared" si="26"/>
        <v>64</v>
      </c>
      <c r="B75" s="28">
        <v>2</v>
      </c>
      <c r="C75" s="27">
        <f>C74+$E$5</f>
        <v>2900</v>
      </c>
      <c r="D75" s="27">
        <f t="shared" si="27"/>
        <v>2335</v>
      </c>
      <c r="E75" s="27">
        <v>0.42</v>
      </c>
      <c r="F75" s="98">
        <v>400</v>
      </c>
      <c r="G75" s="27">
        <v>0</v>
      </c>
      <c r="H75" s="27">
        <v>8</v>
      </c>
      <c r="I75" s="38">
        <f>I74+1</f>
        <v>10</v>
      </c>
    </row>
    <row r="76" spans="1:25">
      <c r="A76" s="28">
        <f t="shared" si="26"/>
        <v>65</v>
      </c>
      <c r="B76" s="28">
        <v>2</v>
      </c>
      <c r="C76" s="27">
        <f>C75+$E$5</f>
        <v>3060</v>
      </c>
      <c r="D76" s="27">
        <f t="shared" si="27"/>
        <v>2335</v>
      </c>
      <c r="E76" s="27">
        <v>0.42</v>
      </c>
      <c r="F76" s="98">
        <v>400</v>
      </c>
      <c r="G76" s="27">
        <v>0</v>
      </c>
      <c r="H76" s="27">
        <v>8</v>
      </c>
      <c r="I76" s="38">
        <f>I75+1</f>
        <v>11</v>
      </c>
    </row>
    <row r="77" spans="1:25">
      <c r="A77" s="31">
        <f>A76+1</f>
        <v>66</v>
      </c>
      <c r="B77" s="31">
        <v>2</v>
      </c>
      <c r="C77" s="32">
        <f>C76+$F$5</f>
        <v>3300</v>
      </c>
      <c r="D77" s="32">
        <f>D76</f>
        <v>2335</v>
      </c>
      <c r="E77" s="33">
        <v>0.5</v>
      </c>
      <c r="F77" s="32">
        <v>360</v>
      </c>
      <c r="G77" s="32">
        <v>0</v>
      </c>
      <c r="H77" s="32">
        <v>8</v>
      </c>
      <c r="I77" s="39">
        <v>4</v>
      </c>
    </row>
    <row r="78" spans="1:25">
      <c r="A78" s="31">
        <f>A77+1</f>
        <v>67</v>
      </c>
      <c r="B78" s="31">
        <v>2</v>
      </c>
      <c r="C78" s="32">
        <f>C77+$E$5</f>
        <v>3460</v>
      </c>
      <c r="D78" s="32">
        <f>D77</f>
        <v>2335</v>
      </c>
      <c r="E78" s="33">
        <v>0.5</v>
      </c>
      <c r="F78" s="32">
        <v>360</v>
      </c>
      <c r="G78" s="32">
        <v>0</v>
      </c>
      <c r="H78" s="32">
        <v>8</v>
      </c>
      <c r="I78" s="39">
        <f>I77+1</f>
        <v>5</v>
      </c>
    </row>
    <row r="79" spans="1:25">
      <c r="A79" s="45">
        <f>A78+1</f>
        <v>68</v>
      </c>
      <c r="B79" s="45">
        <v>2</v>
      </c>
      <c r="C79" s="46">
        <f>C78+$E$5</f>
        <v>3620</v>
      </c>
      <c r="D79" s="46">
        <f>D78</f>
        <v>2335</v>
      </c>
      <c r="E79" s="47">
        <v>0.625</v>
      </c>
      <c r="F79" s="46">
        <v>275</v>
      </c>
      <c r="G79" s="46">
        <v>0</v>
      </c>
      <c r="H79" s="46">
        <v>10</v>
      </c>
      <c r="I79" s="48">
        <v>2</v>
      </c>
    </row>
    <row r="80" spans="1:25">
      <c r="A80" s="61">
        <f>A79+1</f>
        <v>69</v>
      </c>
      <c r="B80" s="61">
        <v>2</v>
      </c>
      <c r="C80" s="62">
        <v>3780</v>
      </c>
      <c r="D80" s="62">
        <f>D79</f>
        <v>2335</v>
      </c>
      <c r="E80" s="63">
        <v>0.04</v>
      </c>
      <c r="F80" s="62">
        <v>500</v>
      </c>
      <c r="G80" s="65" t="s">
        <v>28</v>
      </c>
      <c r="H80" s="65">
        <v>6</v>
      </c>
      <c r="I80" s="64">
        <v>1</v>
      </c>
    </row>
    <row r="81" spans="1:9">
      <c r="A81" s="57">
        <f>A80+1</f>
        <v>70</v>
      </c>
      <c r="B81" s="57">
        <v>1</v>
      </c>
      <c r="C81" s="57">
        <f>C56</f>
        <v>3900</v>
      </c>
      <c r="D81" s="57">
        <f t="shared" ref="D81" si="28">D79</f>
        <v>2335</v>
      </c>
      <c r="E81" s="57">
        <v>0.125</v>
      </c>
      <c r="F81" s="57">
        <v>1500</v>
      </c>
      <c r="G81" s="58" t="s">
        <v>74</v>
      </c>
      <c r="H81" s="58">
        <v>2</v>
      </c>
      <c r="I81" s="59">
        <v>3</v>
      </c>
    </row>
    <row r="83" spans="1:9" ht="16">
      <c r="A83" s="72" t="s">
        <v>56</v>
      </c>
      <c r="B83" s="73"/>
      <c r="C83" s="73"/>
      <c r="D83" s="73"/>
      <c r="E83" s="73"/>
      <c r="F83" s="73"/>
      <c r="G83" s="73"/>
      <c r="H83" s="73"/>
      <c r="I83" s="74"/>
    </row>
    <row r="84" spans="1:9" ht="16">
      <c r="A84" s="72"/>
      <c r="B84" s="73"/>
      <c r="C84" s="73"/>
      <c r="D84" s="73"/>
      <c r="E84" s="73"/>
      <c r="F84" s="73"/>
      <c r="G84" s="73"/>
      <c r="H84" s="73"/>
      <c r="I84" s="74"/>
    </row>
    <row r="85" spans="1:9" ht="16">
      <c r="A85" s="73"/>
      <c r="B85" s="73"/>
      <c r="C85" s="73"/>
      <c r="D85" s="78" t="s">
        <v>67</v>
      </c>
      <c r="E85" s="78" t="s">
        <v>68</v>
      </c>
      <c r="H85" s="74"/>
      <c r="I85" s="74"/>
    </row>
    <row r="86" spans="1:9" ht="16">
      <c r="A86" s="73"/>
      <c r="B86" s="75" t="s">
        <v>57</v>
      </c>
      <c r="C86" s="75" t="s">
        <v>58</v>
      </c>
      <c r="D86" s="75" t="s">
        <v>59</v>
      </c>
      <c r="E86" s="75" t="s">
        <v>60</v>
      </c>
      <c r="F86" s="75" t="s">
        <v>61</v>
      </c>
      <c r="G86" s="75" t="s">
        <v>51</v>
      </c>
      <c r="H86" s="76" t="s">
        <v>62</v>
      </c>
      <c r="I86" s="75" t="s">
        <v>63</v>
      </c>
    </row>
    <row r="87" spans="1:9" ht="16">
      <c r="A87" s="73" t="s">
        <v>53</v>
      </c>
      <c r="B87" s="74">
        <v>0.04</v>
      </c>
      <c r="C87" s="74">
        <f t="shared" ref="C87:C94" si="29">B87/4</f>
        <v>0.01</v>
      </c>
      <c r="D87" s="74">
        <v>500</v>
      </c>
      <c r="E87" s="74">
        <v>450</v>
      </c>
      <c r="F87" s="74" t="s">
        <v>52</v>
      </c>
      <c r="G87" s="74">
        <v>6</v>
      </c>
      <c r="H87" s="73">
        <f>D87*E87*1000/(D87+E87*1000)</f>
        <v>499.44506104328525</v>
      </c>
      <c r="I87" s="74">
        <f>E87*1000/D87</f>
        <v>900</v>
      </c>
    </row>
    <row r="88" spans="1:9" ht="16">
      <c r="A88" s="73"/>
      <c r="B88" s="74">
        <v>0.25</v>
      </c>
      <c r="C88" s="74">
        <f t="shared" si="29"/>
        <v>6.25E-2</v>
      </c>
      <c r="D88" s="74">
        <v>500</v>
      </c>
      <c r="E88" s="74">
        <v>450</v>
      </c>
      <c r="F88" s="74" t="s">
        <v>52</v>
      </c>
      <c r="G88" s="74">
        <v>6</v>
      </c>
      <c r="H88" s="73">
        <f t="shared" ref="H88:H94" si="30">D88*E88*1000/(D88+E88*1000)</f>
        <v>499.44506104328525</v>
      </c>
      <c r="I88" s="74">
        <f t="shared" ref="I88:I94" si="31">E88*1000/D88</f>
        <v>900</v>
      </c>
    </row>
    <row r="89" spans="1:9" ht="16">
      <c r="A89" s="73"/>
      <c r="B89" s="74">
        <v>0.33</v>
      </c>
      <c r="C89" s="74">
        <f t="shared" si="29"/>
        <v>8.2500000000000004E-2</v>
      </c>
      <c r="D89" s="74">
        <v>500</v>
      </c>
      <c r="E89" s="74">
        <v>450</v>
      </c>
      <c r="F89" s="74" t="s">
        <v>52</v>
      </c>
      <c r="G89" s="74">
        <v>6</v>
      </c>
      <c r="H89" s="73">
        <f t="shared" si="30"/>
        <v>499.44506104328525</v>
      </c>
      <c r="I89" s="74">
        <f t="shared" si="31"/>
        <v>900</v>
      </c>
    </row>
    <row r="90" spans="1:9" ht="16">
      <c r="A90" s="73"/>
      <c r="B90" s="74">
        <v>0.35</v>
      </c>
      <c r="C90" s="74">
        <f t="shared" si="29"/>
        <v>8.7499999999999994E-2</v>
      </c>
      <c r="D90" s="74">
        <v>500</v>
      </c>
      <c r="E90" s="74">
        <v>450</v>
      </c>
      <c r="F90" s="74" t="s">
        <v>52</v>
      </c>
      <c r="G90" s="74">
        <v>6</v>
      </c>
      <c r="H90" s="73">
        <f t="shared" si="30"/>
        <v>499.44506104328525</v>
      </c>
      <c r="I90" s="74">
        <f t="shared" si="31"/>
        <v>900</v>
      </c>
    </row>
    <row r="91" spans="1:9" ht="16">
      <c r="A91" s="73"/>
      <c r="B91" s="74">
        <v>0.42</v>
      </c>
      <c r="C91" s="74">
        <f t="shared" si="29"/>
        <v>0.105</v>
      </c>
      <c r="D91" s="99">
        <v>400</v>
      </c>
      <c r="E91" s="74">
        <v>450</v>
      </c>
      <c r="F91" s="74" t="s">
        <v>52</v>
      </c>
      <c r="G91" s="74">
        <v>8</v>
      </c>
      <c r="H91" s="73">
        <f t="shared" si="30"/>
        <v>399.64476021314385</v>
      </c>
      <c r="I91" s="74">
        <f t="shared" si="31"/>
        <v>1125</v>
      </c>
    </row>
    <row r="92" spans="1:9" ht="16">
      <c r="A92" s="73"/>
      <c r="B92" s="74">
        <v>0.5</v>
      </c>
      <c r="C92" s="74">
        <f t="shared" si="29"/>
        <v>0.125</v>
      </c>
      <c r="D92" s="74">
        <v>360</v>
      </c>
      <c r="E92" s="74">
        <v>450</v>
      </c>
      <c r="F92" s="74" t="s">
        <v>52</v>
      </c>
      <c r="G92" s="74">
        <v>8</v>
      </c>
      <c r="H92" s="73">
        <f t="shared" si="30"/>
        <v>359.71223021582733</v>
      </c>
      <c r="I92" s="74">
        <f t="shared" si="31"/>
        <v>1250</v>
      </c>
    </row>
    <row r="93" spans="1:9" ht="16">
      <c r="A93" s="73"/>
      <c r="B93" s="74">
        <v>0.625</v>
      </c>
      <c r="C93" s="74">
        <f t="shared" si="29"/>
        <v>0.15625</v>
      </c>
      <c r="D93" s="74">
        <v>275</v>
      </c>
      <c r="E93" s="74">
        <v>450</v>
      </c>
      <c r="F93" s="74" t="s">
        <v>52</v>
      </c>
      <c r="G93" s="74">
        <v>10</v>
      </c>
      <c r="H93" s="73">
        <f t="shared" si="30"/>
        <v>274.83204708233859</v>
      </c>
      <c r="I93" s="74">
        <f t="shared" si="31"/>
        <v>1636.3636363636363</v>
      </c>
    </row>
    <row r="94" spans="1:9" ht="16">
      <c r="A94" s="73" t="s">
        <v>54</v>
      </c>
      <c r="B94" s="74">
        <v>0.125</v>
      </c>
      <c r="C94" s="74">
        <f t="shared" si="29"/>
        <v>3.125E-2</v>
      </c>
      <c r="D94" s="74">
        <v>1500</v>
      </c>
      <c r="E94" s="74">
        <v>450</v>
      </c>
      <c r="F94" s="74" t="s">
        <v>52</v>
      </c>
      <c r="G94" s="74">
        <v>2</v>
      </c>
      <c r="H94" s="73">
        <f t="shared" si="30"/>
        <v>1495.0166112956811</v>
      </c>
      <c r="I94" s="74">
        <f t="shared" si="31"/>
        <v>300</v>
      </c>
    </row>
    <row r="95" spans="1:9">
      <c r="B95" s="1"/>
      <c r="C95" s="1"/>
      <c r="D95" s="1"/>
      <c r="E95" s="1"/>
      <c r="F95" s="1"/>
      <c r="G95" s="1"/>
    </row>
    <row r="96" spans="1:9" ht="16">
      <c r="D96" s="77" t="s">
        <v>64</v>
      </c>
      <c r="E96" s="1"/>
      <c r="F96" s="1"/>
      <c r="G96" s="1"/>
      <c r="H96" s="1"/>
    </row>
    <row r="97" spans="4:8" ht="16">
      <c r="D97" s="77" t="s">
        <v>65</v>
      </c>
      <c r="E97" s="1"/>
      <c r="F97" s="1"/>
      <c r="G97" s="1"/>
      <c r="H97" s="1"/>
    </row>
  </sheetData>
  <phoneticPr fontId="1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2:S41"/>
  <sheetViews>
    <sheetView workbookViewId="0">
      <selection activeCell="A7" sqref="A7"/>
    </sheetView>
  </sheetViews>
  <sheetFormatPr baseColWidth="10" defaultColWidth="10.7109375" defaultRowHeight="13"/>
  <cols>
    <col min="1" max="1" width="3.5703125" style="1" customWidth="1"/>
    <col min="2" max="2" width="9.5703125" style="1" customWidth="1"/>
    <col min="3" max="3" width="9.140625" style="1" customWidth="1"/>
    <col min="4" max="4" width="6.85546875" style="1" customWidth="1"/>
    <col min="5" max="5" width="6" style="1" customWidth="1"/>
    <col min="6" max="6" width="8.28515625" style="1" customWidth="1"/>
    <col min="7" max="7" width="18.28515625" style="1" customWidth="1"/>
    <col min="8" max="8" width="8.42578125" style="1" customWidth="1"/>
    <col min="9" max="9" width="8" style="1" customWidth="1"/>
    <col min="10" max="10" width="8.42578125" style="1" customWidth="1"/>
    <col min="11" max="11" width="8" style="1" customWidth="1"/>
    <col min="12" max="12" width="6.42578125" style="1" customWidth="1"/>
    <col min="13" max="13" width="10.7109375" style="1"/>
    <col min="14" max="15" width="9.28515625" style="1" customWidth="1"/>
    <col min="16" max="16" width="10.7109375" style="1"/>
    <col min="17" max="18" width="7.42578125" style="8" customWidth="1"/>
    <col min="19" max="19" width="11.7109375" style="1" customWidth="1"/>
    <col min="20" max="16384" width="10.7109375" style="1"/>
  </cols>
  <sheetData>
    <row r="2" spans="1:18">
      <c r="C2" s="1" t="s">
        <v>8</v>
      </c>
      <c r="E2" s="1" t="s">
        <v>5</v>
      </c>
      <c r="F2" s="1" t="s">
        <v>6</v>
      </c>
      <c r="H2" s="3" t="s">
        <v>90</v>
      </c>
      <c r="I2" s="2"/>
      <c r="J2" s="3" t="s">
        <v>14</v>
      </c>
      <c r="K2" s="2"/>
      <c r="N2" s="7" t="s">
        <v>0</v>
      </c>
    </row>
    <row r="3" spans="1:18">
      <c r="A3" s="6" t="s">
        <v>82</v>
      </c>
      <c r="B3" s="2" t="s">
        <v>84</v>
      </c>
      <c r="C3" s="2" t="s">
        <v>9</v>
      </c>
      <c r="D3" s="2" t="s">
        <v>85</v>
      </c>
      <c r="E3" s="2" t="s">
        <v>7</v>
      </c>
      <c r="F3" s="2" t="s">
        <v>86</v>
      </c>
      <c r="G3" s="2" t="s">
        <v>88</v>
      </c>
      <c r="H3" s="2" t="s">
        <v>91</v>
      </c>
      <c r="I3" s="2" t="s">
        <v>89</v>
      </c>
      <c r="J3" s="2" t="s">
        <v>12</v>
      </c>
      <c r="K3" s="2" t="s">
        <v>13</v>
      </c>
      <c r="L3" s="2" t="s">
        <v>99</v>
      </c>
      <c r="M3" s="2" t="s">
        <v>95</v>
      </c>
      <c r="N3" s="2" t="s">
        <v>1</v>
      </c>
      <c r="O3" s="2" t="s">
        <v>2</v>
      </c>
      <c r="P3" s="6" t="s">
        <v>96</v>
      </c>
      <c r="Q3" s="8" t="s">
        <v>3</v>
      </c>
      <c r="R3" s="8" t="s">
        <v>4</v>
      </c>
    </row>
    <row r="4" spans="1:18">
      <c r="A4" s="1">
        <v>6</v>
      </c>
      <c r="B4" s="1">
        <v>1</v>
      </c>
      <c r="C4" s="1">
        <v>6</v>
      </c>
      <c r="D4" s="1">
        <v>0.25</v>
      </c>
      <c r="E4" s="1">
        <v>500</v>
      </c>
      <c r="F4" s="1">
        <v>160</v>
      </c>
      <c r="G4" s="1" t="s">
        <v>92</v>
      </c>
      <c r="H4" s="1">
        <v>80</v>
      </c>
      <c r="I4" s="1">
        <v>290</v>
      </c>
      <c r="J4" s="1">
        <f t="shared" ref="J4:J9" si="0">H4-$H$4</f>
        <v>0</v>
      </c>
      <c r="K4" s="1">
        <f t="shared" ref="K4:K9" si="1">I4-$I$4</f>
        <v>0</v>
      </c>
      <c r="M4" s="5">
        <f t="shared" ref="M4:M9" si="2">-E4*(TAN(1*PI()/180)+TAN(C4*PI()/180))</f>
        <v>-61.279650096947023</v>
      </c>
      <c r="N4" s="5">
        <f t="shared" ref="N4:N9" si="3">1.3*R4</f>
        <v>68.317752922689692</v>
      </c>
      <c r="O4" s="4">
        <f>R4</f>
        <v>52.552117632838225</v>
      </c>
      <c r="P4" s="1" t="s">
        <v>98</v>
      </c>
      <c r="Q4" s="9">
        <f>$E4*TAN(1*PI()/180)</f>
        <v>8.7275324641087924</v>
      </c>
      <c r="R4" s="9">
        <f>$E4*TAN(C4*PI()/180)</f>
        <v>52.552117632838225</v>
      </c>
    </row>
    <row r="5" spans="1:18">
      <c r="A5" s="1">
        <v>6</v>
      </c>
      <c r="B5" s="1">
        <v>1</v>
      </c>
      <c r="C5" s="1">
        <v>6</v>
      </c>
      <c r="D5" s="1">
        <v>0.33</v>
      </c>
      <c r="E5" s="1">
        <v>500</v>
      </c>
      <c r="F5" s="1">
        <v>160</v>
      </c>
      <c r="G5" s="1" t="s">
        <v>92</v>
      </c>
      <c r="H5" s="1">
        <v>1080</v>
      </c>
      <c r="I5" s="1">
        <v>290</v>
      </c>
      <c r="J5" s="1">
        <f t="shared" si="0"/>
        <v>1000</v>
      </c>
      <c r="K5" s="1">
        <f t="shared" si="1"/>
        <v>0</v>
      </c>
      <c r="M5" s="5">
        <f t="shared" si="2"/>
        <v>-61.279650096947023</v>
      </c>
      <c r="N5" s="5">
        <f t="shared" si="3"/>
        <v>68.317752922689692</v>
      </c>
      <c r="O5" s="4">
        <f>E5*TAN(C5*PI()/180)</f>
        <v>52.552117632838225</v>
      </c>
      <c r="P5" s="1" t="s">
        <v>98</v>
      </c>
      <c r="Q5" s="9">
        <f t="shared" ref="Q5:Q31" si="4">$E5*TAN(1*PI()/180)</f>
        <v>8.7275324641087924</v>
      </c>
      <c r="R5" s="9">
        <f t="shared" ref="R5:R7" si="5">$E5*TAN(C5*PI()/180)</f>
        <v>52.552117632838225</v>
      </c>
    </row>
    <row r="6" spans="1:18">
      <c r="A6" s="1">
        <v>6</v>
      </c>
      <c r="B6" s="1">
        <v>1</v>
      </c>
      <c r="C6" s="1">
        <v>6</v>
      </c>
      <c r="D6" s="1">
        <v>0.35</v>
      </c>
      <c r="E6" s="1">
        <v>500</v>
      </c>
      <c r="F6" s="1">
        <v>160</v>
      </c>
      <c r="G6" s="1" t="s">
        <v>92</v>
      </c>
      <c r="H6" s="1">
        <v>2080</v>
      </c>
      <c r="I6" s="1">
        <v>290</v>
      </c>
      <c r="J6" s="1">
        <f t="shared" si="0"/>
        <v>2000</v>
      </c>
      <c r="K6" s="1">
        <f t="shared" si="1"/>
        <v>0</v>
      </c>
      <c r="M6" s="5">
        <f t="shared" si="2"/>
        <v>-61.279650096947023</v>
      </c>
      <c r="N6" s="5">
        <f t="shared" si="3"/>
        <v>68.317752922689692</v>
      </c>
      <c r="O6" s="4">
        <f>E6*TAN(C6*PI()/180)</f>
        <v>52.552117632838225</v>
      </c>
      <c r="P6" s="1" t="s">
        <v>98</v>
      </c>
      <c r="Q6" s="9">
        <f t="shared" si="4"/>
        <v>8.7275324641087924</v>
      </c>
      <c r="R6" s="9">
        <f t="shared" si="5"/>
        <v>52.552117632838225</v>
      </c>
    </row>
    <row r="7" spans="1:18">
      <c r="A7" s="1">
        <v>6</v>
      </c>
      <c r="B7" s="1">
        <v>1</v>
      </c>
      <c r="C7" s="1">
        <v>8</v>
      </c>
      <c r="D7" s="1">
        <v>0.42</v>
      </c>
      <c r="E7" s="1">
        <v>380</v>
      </c>
      <c r="F7" s="1">
        <v>160</v>
      </c>
      <c r="G7" s="1" t="s">
        <v>92</v>
      </c>
      <c r="H7" s="1">
        <v>3080</v>
      </c>
      <c r="I7" s="1">
        <v>290</v>
      </c>
      <c r="J7" s="1">
        <f t="shared" si="0"/>
        <v>3000</v>
      </c>
      <c r="K7" s="1">
        <f t="shared" si="1"/>
        <v>0</v>
      </c>
      <c r="M7" s="5">
        <f>-E7*(TAN(1*PI()/180)+TAN(C7*PI()/180))</f>
        <v>-60.038441859631419</v>
      </c>
      <c r="N7" s="5">
        <f t="shared" si="3"/>
        <v>69.427172342981365</v>
      </c>
      <c r="O7" s="4">
        <f>E7*TAN(C7*PI()/180)</f>
        <v>53.405517186908739</v>
      </c>
      <c r="P7" s="1" t="s">
        <v>98</v>
      </c>
      <c r="Q7" s="9">
        <f t="shared" si="4"/>
        <v>6.632924672722682</v>
      </c>
      <c r="R7" s="9">
        <f t="shared" si="5"/>
        <v>53.405517186908739</v>
      </c>
    </row>
    <row r="8" spans="1:18">
      <c r="A8" s="1">
        <v>6</v>
      </c>
      <c r="B8" s="1">
        <v>2</v>
      </c>
      <c r="C8" s="1">
        <v>8</v>
      </c>
      <c r="D8" s="1">
        <v>0.5</v>
      </c>
      <c r="E8" s="1">
        <v>360</v>
      </c>
      <c r="F8" s="1">
        <v>160</v>
      </c>
      <c r="G8" s="1" t="s">
        <v>92</v>
      </c>
      <c r="H8" s="1">
        <v>80</v>
      </c>
      <c r="I8" s="1">
        <v>1500</v>
      </c>
      <c r="J8" s="1">
        <f t="shared" si="0"/>
        <v>0</v>
      </c>
      <c r="K8" s="1">
        <f t="shared" si="1"/>
        <v>1210</v>
      </c>
      <c r="M8" s="5">
        <f t="shared" si="2"/>
        <v>-56.87852386701924</v>
      </c>
      <c r="N8" s="5">
        <f t="shared" si="3"/>
        <v>65.773110640719196</v>
      </c>
      <c r="O8" s="4">
        <f>E8*TAN(C8*PI()/180)</f>
        <v>50.594700492860916</v>
      </c>
      <c r="P8" s="1" t="s">
        <v>98</v>
      </c>
      <c r="Q8" s="9">
        <f t="shared" si="4"/>
        <v>6.2838233741583309</v>
      </c>
      <c r="R8" s="9">
        <f t="shared" ref="R8:R9" si="6">$E8*TAN(C8*PI()/180)</f>
        <v>50.594700492860916</v>
      </c>
    </row>
    <row r="9" spans="1:18">
      <c r="A9" s="1">
        <v>6</v>
      </c>
      <c r="B9" s="1">
        <v>2</v>
      </c>
      <c r="C9" s="1">
        <v>10</v>
      </c>
      <c r="D9" s="1">
        <v>0.625</v>
      </c>
      <c r="E9" s="1">
        <v>275</v>
      </c>
      <c r="F9" s="1">
        <v>160</v>
      </c>
      <c r="G9" s="1" t="s">
        <v>92</v>
      </c>
      <c r="H9" s="1">
        <v>1080</v>
      </c>
      <c r="I9" s="1">
        <v>1500</v>
      </c>
      <c r="J9" s="1">
        <f t="shared" si="0"/>
        <v>1000</v>
      </c>
      <c r="K9" s="1">
        <f t="shared" si="1"/>
        <v>1210</v>
      </c>
      <c r="M9" s="5">
        <f t="shared" si="2"/>
        <v>-53.290062550087704</v>
      </c>
      <c r="N9" s="5">
        <f t="shared" si="3"/>
        <v>63.036895603276228</v>
      </c>
      <c r="O9" s="4">
        <f>E9*TAN(C9*PI()/180)</f>
        <v>48.489919694827869</v>
      </c>
      <c r="P9" s="1" t="s">
        <v>98</v>
      </c>
      <c r="Q9" s="9">
        <f t="shared" si="4"/>
        <v>4.8001428552598364</v>
      </c>
      <c r="R9" s="9">
        <f t="shared" si="6"/>
        <v>48.489919694827869</v>
      </c>
    </row>
    <row r="10" spans="1:18">
      <c r="M10" s="5"/>
      <c r="N10" s="5"/>
      <c r="O10" s="5"/>
      <c r="Q10" s="9"/>
      <c r="R10" s="9"/>
    </row>
    <row r="11" spans="1:18">
      <c r="C11" s="1">
        <v>6</v>
      </c>
      <c r="D11" s="88">
        <v>0.04</v>
      </c>
      <c r="E11" s="1">
        <v>500</v>
      </c>
      <c r="G11" s="89" t="s">
        <v>46</v>
      </c>
      <c r="M11" s="5">
        <f>-E11*(TAN(1*PI()/180)+TAN(C11*PI()/180))</f>
        <v>-61.279650096947023</v>
      </c>
      <c r="N11" s="5">
        <f>1.3*R11</f>
        <v>68.317752922689692</v>
      </c>
      <c r="O11" s="5">
        <f>E11*TAN(C11*PI()/180)</f>
        <v>52.552117632838225</v>
      </c>
      <c r="P11" s="1" t="s">
        <v>98</v>
      </c>
      <c r="Q11" s="9">
        <f t="shared" si="4"/>
        <v>8.7275324641087924</v>
      </c>
      <c r="R11" s="9">
        <f t="shared" ref="R11:R12" si="7">$E11*TAN(C11*PI()/180)</f>
        <v>52.552117632838225</v>
      </c>
    </row>
    <row r="12" spans="1:18">
      <c r="C12" s="1">
        <v>2</v>
      </c>
      <c r="D12" s="87">
        <v>0.125</v>
      </c>
      <c r="E12" s="1">
        <v>1500</v>
      </c>
      <c r="G12" s="89" t="s">
        <v>47</v>
      </c>
      <c r="M12" s="5">
        <f>-E12*(TAN(1*PI()/180)+TAN(C12*PI()/180))</f>
        <v>-78.563751629947973</v>
      </c>
      <c r="N12" s="5">
        <f>1.3*R12</f>
        <v>68.095500508908074</v>
      </c>
      <c r="O12" s="5">
        <f>E12*TAN(C12*PI()/180)</f>
        <v>52.381154237621594</v>
      </c>
      <c r="P12" s="1" t="s">
        <v>98</v>
      </c>
      <c r="Q12" s="9">
        <f t="shared" si="4"/>
        <v>26.182597392326379</v>
      </c>
      <c r="R12" s="9">
        <f t="shared" si="7"/>
        <v>52.381154237621594</v>
      </c>
    </row>
    <row r="13" spans="1:18">
      <c r="M13" s="5"/>
      <c r="N13" s="5"/>
      <c r="O13" s="5"/>
      <c r="Q13" s="9"/>
      <c r="R13" s="9"/>
    </row>
    <row r="14" spans="1:18" ht="209" customHeight="1"/>
    <row r="15" spans="1:18" s="90" customFormat="1">
      <c r="A15" s="90">
        <v>1</v>
      </c>
      <c r="B15" s="90">
        <v>3</v>
      </c>
      <c r="C15" s="90">
        <v>5</v>
      </c>
      <c r="D15" s="90">
        <v>0.27</v>
      </c>
      <c r="E15" s="90">
        <v>1500</v>
      </c>
      <c r="F15" s="90">
        <v>280</v>
      </c>
      <c r="G15" s="90" t="s">
        <v>37</v>
      </c>
      <c r="H15" s="90">
        <v>2975</v>
      </c>
      <c r="I15" s="90">
        <v>1500</v>
      </c>
      <c r="J15" s="90">
        <f>H15-$H$4</f>
        <v>2895</v>
      </c>
      <c r="K15" s="90">
        <f>I15-$I$4</f>
        <v>1210</v>
      </c>
      <c r="M15" s="91">
        <f>-E15*(TAN(1*PI()/180)+TAN(C15*PI()/180))</f>
        <v>-157.41559268121236</v>
      </c>
      <c r="N15" s="91">
        <f>1.3*R15</f>
        <v>170.60289387555181</v>
      </c>
      <c r="O15" s="91">
        <f>E15*TAN(C15*PI()/180)</f>
        <v>131.232995288886</v>
      </c>
      <c r="P15" s="90" t="s">
        <v>98</v>
      </c>
      <c r="Q15" s="91">
        <f t="shared" si="4"/>
        <v>26.182597392326379</v>
      </c>
      <c r="R15" s="91">
        <f t="shared" ref="R15:R18" si="8">$E15*TAN(C15*PI()/180)</f>
        <v>131.232995288886</v>
      </c>
    </row>
    <row r="16" spans="1:18" s="90" customFormat="1">
      <c r="A16" s="90">
        <v>1</v>
      </c>
      <c r="B16" s="90">
        <v>3</v>
      </c>
      <c r="C16" s="90">
        <v>5</v>
      </c>
      <c r="D16" s="90">
        <v>0.27</v>
      </c>
      <c r="E16" s="90">
        <v>1500</v>
      </c>
      <c r="F16" s="90">
        <v>280</v>
      </c>
      <c r="G16" s="90" t="s">
        <v>87</v>
      </c>
      <c r="H16" s="90">
        <v>3265</v>
      </c>
      <c r="I16" s="90">
        <v>1500</v>
      </c>
      <c r="J16" s="90">
        <f>H16-$H$4</f>
        <v>3185</v>
      </c>
      <c r="K16" s="90">
        <f>I16-$I$4</f>
        <v>1210</v>
      </c>
      <c r="M16" s="91">
        <f>-E16*(TAN(1*PI()/180)+TAN(C16*PI()/180))</f>
        <v>-157.41559268121236</v>
      </c>
      <c r="N16" s="91">
        <f>O16</f>
        <v>131.232995288886</v>
      </c>
      <c r="O16" s="91">
        <f>E16*TAN(C16*PI()/180)</f>
        <v>131.232995288886</v>
      </c>
      <c r="P16" s="90" t="s">
        <v>98</v>
      </c>
      <c r="Q16" s="91">
        <f t="shared" si="4"/>
        <v>26.182597392326379</v>
      </c>
      <c r="R16" s="91">
        <f t="shared" si="8"/>
        <v>131.232995288886</v>
      </c>
    </row>
    <row r="17" spans="1:19" s="90" customFormat="1">
      <c r="A17" s="90">
        <v>1</v>
      </c>
      <c r="B17" s="90">
        <v>3</v>
      </c>
      <c r="C17" s="90">
        <v>4</v>
      </c>
      <c r="D17" s="90">
        <v>0.21</v>
      </c>
      <c r="E17" s="90">
        <v>2000</v>
      </c>
      <c r="F17" s="90">
        <v>280</v>
      </c>
      <c r="G17" s="90" t="s">
        <v>87</v>
      </c>
      <c r="H17" s="90">
        <f>H16+280</f>
        <v>3545</v>
      </c>
      <c r="I17" s="90">
        <v>1500</v>
      </c>
      <c r="J17" s="90">
        <f>H17-$H$4</f>
        <v>3465</v>
      </c>
      <c r="K17" s="90">
        <f>I17-$I$4</f>
        <v>1210</v>
      </c>
      <c r="M17" s="91">
        <f>-E17*(TAN(1*PI()/180)+TAN(C17*PI()/180))</f>
        <v>-174.76375374345599</v>
      </c>
      <c r="N17" s="91">
        <f>O17</f>
        <v>139.85362388702083</v>
      </c>
      <c r="O17" s="91">
        <f>E17*TAN(C17*PI()/180)</f>
        <v>139.85362388702083</v>
      </c>
      <c r="P17" s="90" t="s">
        <v>98</v>
      </c>
      <c r="Q17" s="91">
        <f t="shared" si="4"/>
        <v>34.910129856435169</v>
      </c>
      <c r="R17" s="91">
        <f t="shared" si="8"/>
        <v>139.85362388702083</v>
      </c>
    </row>
    <row r="18" spans="1:19" s="92" customFormat="1" ht="39">
      <c r="A18" s="92">
        <v>1</v>
      </c>
      <c r="B18" s="92">
        <v>3</v>
      </c>
      <c r="C18" s="92">
        <v>2</v>
      </c>
      <c r="D18" s="92" t="s">
        <v>83</v>
      </c>
      <c r="E18" s="92">
        <v>750</v>
      </c>
      <c r="F18" s="92">
        <v>300</v>
      </c>
      <c r="G18" s="93" t="s">
        <v>38</v>
      </c>
      <c r="H18" s="92">
        <f>3680+150</f>
        <v>3830</v>
      </c>
      <c r="I18" s="92">
        <v>1500</v>
      </c>
      <c r="J18" s="90">
        <f>H18-$H$4</f>
        <v>3750</v>
      </c>
      <c r="K18" s="90">
        <f>I18-$I$4</f>
        <v>1210</v>
      </c>
      <c r="M18" s="94">
        <f>-E18*(TAN(1*PI()/180)+TAN(C18*PI()/180))</f>
        <v>-39.281875814973986</v>
      </c>
      <c r="N18" s="94">
        <f>1.3*R18</f>
        <v>34.047750254454037</v>
      </c>
      <c r="O18" s="94">
        <f>E18*TAN(C18*PI()/180)</f>
        <v>26.190577118810797</v>
      </c>
      <c r="P18" s="92" t="s">
        <v>39</v>
      </c>
      <c r="Q18" s="94">
        <f t="shared" si="4"/>
        <v>13.091298696163189</v>
      </c>
      <c r="R18" s="94">
        <f t="shared" si="8"/>
        <v>26.190577118810797</v>
      </c>
      <c r="S18" s="95" t="s">
        <v>40</v>
      </c>
    </row>
    <row r="19" spans="1:19" s="96" customFormat="1">
      <c r="A19" s="96" t="s">
        <v>11</v>
      </c>
      <c r="Q19" s="97"/>
      <c r="R19" s="97"/>
    </row>
    <row r="20" spans="1:19" s="83" customFormat="1">
      <c r="A20" s="83">
        <v>6</v>
      </c>
      <c r="B20" s="83">
        <v>4</v>
      </c>
      <c r="C20" s="83">
        <v>6</v>
      </c>
      <c r="D20" s="83">
        <v>0.33</v>
      </c>
      <c r="E20" s="83">
        <v>500</v>
      </c>
      <c r="F20" s="83">
        <v>160</v>
      </c>
      <c r="G20" s="83" t="s">
        <v>41</v>
      </c>
      <c r="H20" s="83">
        <v>80</v>
      </c>
      <c r="I20" s="83">
        <v>2465</v>
      </c>
      <c r="J20" s="83">
        <f>H20-$H$4</f>
        <v>0</v>
      </c>
      <c r="K20" s="83">
        <f>I20-$I$4</f>
        <v>2175</v>
      </c>
      <c r="L20" s="83" t="s">
        <v>93</v>
      </c>
      <c r="M20" s="84">
        <f>-E20*(TAN(1*PI()/180)+TAN(C20*PI()/180))</f>
        <v>-61.279650096947023</v>
      </c>
      <c r="N20" s="84">
        <f>1.3*R20</f>
        <v>68.317752922689692</v>
      </c>
      <c r="O20" s="84">
        <f>E20*TAN(C20*PI()/180)</f>
        <v>52.552117632838225</v>
      </c>
      <c r="P20" s="83" t="s">
        <v>42</v>
      </c>
      <c r="Q20" s="84">
        <f t="shared" si="4"/>
        <v>8.7275324641087924</v>
      </c>
      <c r="R20" s="84">
        <f t="shared" ref="R20:R22" si="9">$E20*TAN(C20*PI()/180)</f>
        <v>52.552117632838225</v>
      </c>
    </row>
    <row r="21" spans="1:19" s="83" customFormat="1">
      <c r="A21" s="83">
        <v>6</v>
      </c>
      <c r="B21" s="83">
        <v>4</v>
      </c>
      <c r="C21" s="83">
        <v>6</v>
      </c>
      <c r="D21" s="83">
        <v>0.35</v>
      </c>
      <c r="E21" s="83">
        <v>500</v>
      </c>
      <c r="F21" s="83">
        <v>160</v>
      </c>
      <c r="G21" s="83" t="s">
        <v>43</v>
      </c>
      <c r="H21" s="83">
        <v>1080</v>
      </c>
      <c r="I21" s="83">
        <v>2465</v>
      </c>
      <c r="J21" s="83">
        <f>H21-$H$4</f>
        <v>1000</v>
      </c>
      <c r="K21" s="83">
        <f>I21-$I$4</f>
        <v>2175</v>
      </c>
      <c r="L21" s="83" t="s">
        <v>93</v>
      </c>
      <c r="M21" s="84">
        <f>-E21*(TAN(1*PI()/180)+TAN(C21*PI()/180))</f>
        <v>-61.279650096947023</v>
      </c>
      <c r="N21" s="84">
        <f>1.3*R21</f>
        <v>68.317752922689692</v>
      </c>
      <c r="O21" s="84">
        <f>E21*TAN(C21*PI()/180)</f>
        <v>52.552117632838225</v>
      </c>
      <c r="P21" s="83" t="s">
        <v>42</v>
      </c>
      <c r="Q21" s="84">
        <f t="shared" si="4"/>
        <v>8.7275324641087924</v>
      </c>
      <c r="R21" s="84">
        <f t="shared" si="9"/>
        <v>52.552117632838225</v>
      </c>
    </row>
    <row r="22" spans="1:19" s="83" customFormat="1">
      <c r="A22" s="83">
        <v>6</v>
      </c>
      <c r="B22" s="83">
        <v>4</v>
      </c>
      <c r="C22" s="83">
        <v>8</v>
      </c>
      <c r="D22" s="83">
        <v>0.42</v>
      </c>
      <c r="E22" s="83">
        <v>400</v>
      </c>
      <c r="F22" s="83">
        <v>160</v>
      </c>
      <c r="G22" s="83" t="s">
        <v>43</v>
      </c>
      <c r="H22" s="83">
        <v>2080</v>
      </c>
      <c r="I22" s="83">
        <v>2465</v>
      </c>
      <c r="J22" s="83">
        <f>H22-$H$4</f>
        <v>2000</v>
      </c>
      <c r="K22" s="83">
        <f>I22-$I$4</f>
        <v>2175</v>
      </c>
      <c r="L22" s="83" t="s">
        <v>93</v>
      </c>
      <c r="M22" s="84">
        <f>-E22*(TAN(1*PI()/180)+TAN(C22*PI()/180))</f>
        <v>-63.198359852243598</v>
      </c>
      <c r="N22" s="84">
        <f>1.3*R22</f>
        <v>73.081234045243548</v>
      </c>
      <c r="O22" s="84">
        <f>E22*TAN(C22*PI()/180)</f>
        <v>56.216333880956569</v>
      </c>
      <c r="P22" s="83" t="s">
        <v>42</v>
      </c>
      <c r="Q22" s="84">
        <f t="shared" si="4"/>
        <v>6.9820259712870341</v>
      </c>
      <c r="R22" s="84">
        <f t="shared" si="9"/>
        <v>56.216333880956569</v>
      </c>
    </row>
    <row r="23" spans="1:19" s="83" customFormat="1"/>
    <row r="24" spans="1:19" s="83" customFormat="1">
      <c r="A24" s="83">
        <v>1</v>
      </c>
      <c r="B24" s="83">
        <v>4</v>
      </c>
      <c r="C24" s="83">
        <v>2</v>
      </c>
      <c r="D24" s="83">
        <v>0.1</v>
      </c>
      <c r="E24" s="83">
        <v>400</v>
      </c>
      <c r="F24" s="83">
        <v>100</v>
      </c>
      <c r="G24" s="83" t="s">
        <v>44</v>
      </c>
      <c r="H24" s="83">
        <v>3100</v>
      </c>
      <c r="I24" s="83">
        <v>2465</v>
      </c>
      <c r="J24" s="83">
        <f>H24-$H$4</f>
        <v>3020</v>
      </c>
      <c r="K24" s="83">
        <f>I24-$I$4</f>
        <v>2175</v>
      </c>
      <c r="M24" s="84">
        <f>-E24*(TAN(1*PI()/180)+TAN(C24*PI()/180))</f>
        <v>-20.950333767986127</v>
      </c>
      <c r="N24" s="84">
        <f>O24</f>
        <v>13.968307796699092</v>
      </c>
      <c r="O24" s="84">
        <f>E24*TAN(C24*PI()/180)</f>
        <v>13.968307796699092</v>
      </c>
      <c r="P24" s="83" t="s">
        <v>10</v>
      </c>
      <c r="Q24" s="84">
        <f t="shared" si="4"/>
        <v>6.9820259712870341</v>
      </c>
      <c r="R24" s="84">
        <f t="shared" ref="R24:R26" si="10">$E24*TAN(C24*PI()/180)</f>
        <v>13.968307796699092</v>
      </c>
    </row>
    <row r="25" spans="1:19" s="83" customFormat="1">
      <c r="A25" s="83">
        <v>1</v>
      </c>
      <c r="B25" s="83">
        <v>4</v>
      </c>
      <c r="C25" s="83">
        <v>6</v>
      </c>
      <c r="D25" s="83">
        <v>0.1</v>
      </c>
      <c r="E25" s="83">
        <v>400</v>
      </c>
      <c r="F25" s="83">
        <v>100</v>
      </c>
      <c r="G25" s="83" t="s">
        <v>94</v>
      </c>
      <c r="H25" s="83">
        <v>3200</v>
      </c>
      <c r="I25" s="83">
        <v>2465</v>
      </c>
      <c r="J25" s="83">
        <f>H25-$H$4</f>
        <v>3120</v>
      </c>
      <c r="K25" s="83">
        <f>I25-$I$4</f>
        <v>2175</v>
      </c>
      <c r="M25" s="84">
        <f>-E25*(TAN(1*PI()/180)+TAN(C25*PI()/180))</f>
        <v>-49.02372007755762</v>
      </c>
      <c r="N25" s="84">
        <f>O25</f>
        <v>42.041694106270583</v>
      </c>
      <c r="O25" s="84">
        <f>E25*TAN(C25*PI()/180)</f>
        <v>42.041694106270583</v>
      </c>
      <c r="P25" s="83" t="s">
        <v>10</v>
      </c>
      <c r="Q25" s="84">
        <f t="shared" si="4"/>
        <v>6.9820259712870341</v>
      </c>
      <c r="R25" s="84">
        <f t="shared" si="10"/>
        <v>42.041694106270583</v>
      </c>
    </row>
    <row r="26" spans="1:19" s="83" customFormat="1">
      <c r="A26" s="83">
        <v>1</v>
      </c>
      <c r="B26" s="83">
        <v>4</v>
      </c>
      <c r="C26" s="83">
        <v>10</v>
      </c>
      <c r="D26" s="83">
        <v>0.1</v>
      </c>
      <c r="E26" s="83">
        <v>400</v>
      </c>
      <c r="F26" s="83">
        <v>100</v>
      </c>
      <c r="G26" s="83" t="s">
        <v>94</v>
      </c>
      <c r="H26" s="83">
        <v>3300</v>
      </c>
      <c r="I26" s="83">
        <v>2465</v>
      </c>
      <c r="J26" s="83">
        <f>H26-$H$4</f>
        <v>3220</v>
      </c>
      <c r="K26" s="83">
        <f>I26-$I$4</f>
        <v>2175</v>
      </c>
      <c r="M26" s="84">
        <f>-E26*(TAN(1*PI()/180)+TAN(C26*PI()/180))</f>
        <v>-77.512818254673022</v>
      </c>
      <c r="N26" s="84">
        <f>O26</f>
        <v>70.530792283385992</v>
      </c>
      <c r="O26" s="84">
        <f>E26*TAN(C26*PI()/180)</f>
        <v>70.530792283385992</v>
      </c>
      <c r="P26" s="83" t="s">
        <v>10</v>
      </c>
      <c r="Q26" s="84">
        <f t="shared" si="4"/>
        <v>6.9820259712870341</v>
      </c>
      <c r="R26" s="84">
        <f t="shared" si="10"/>
        <v>70.530792283385992</v>
      </c>
    </row>
    <row r="27" spans="1:19" s="83" customFormat="1">
      <c r="H27" s="85"/>
      <c r="J27" s="85"/>
    </row>
    <row r="28" spans="1:19" s="83" customFormat="1">
      <c r="A28" s="83">
        <v>1</v>
      </c>
      <c r="B28" s="83">
        <v>4</v>
      </c>
      <c r="C28" s="83">
        <v>6</v>
      </c>
      <c r="D28" s="83">
        <v>0.35</v>
      </c>
      <c r="E28" s="83">
        <v>500</v>
      </c>
      <c r="F28" s="83">
        <v>160</v>
      </c>
      <c r="G28" s="83" t="s">
        <v>80</v>
      </c>
      <c r="H28" s="83">
        <v>3410</v>
      </c>
      <c r="I28" s="83">
        <v>2465</v>
      </c>
      <c r="J28" s="83">
        <f>H28-$H$4</f>
        <v>3330</v>
      </c>
      <c r="K28" s="83">
        <f>I28-$I$4</f>
        <v>2175</v>
      </c>
      <c r="M28" s="84">
        <f>-E28*(TAN(1*PI()/180)+TAN(C28*PI()/180))</f>
        <v>-61.279650096947023</v>
      </c>
      <c r="N28" s="84">
        <f>1.3*R28</f>
        <v>68.317752922689692</v>
      </c>
      <c r="O28" s="84">
        <f>E28*TAN(C28*PI()/180)</f>
        <v>52.552117632838225</v>
      </c>
      <c r="P28" s="83" t="s">
        <v>98</v>
      </c>
      <c r="Q28" s="84">
        <f t="shared" si="4"/>
        <v>8.7275324641087924</v>
      </c>
      <c r="R28" s="84">
        <f t="shared" ref="R28:R31" si="11">$E28*TAN(C28*PI()/180)</f>
        <v>52.552117632838225</v>
      </c>
    </row>
    <row r="29" spans="1:19" s="83" customFormat="1">
      <c r="A29" s="83">
        <v>1</v>
      </c>
      <c r="B29" s="83">
        <v>4</v>
      </c>
      <c r="C29" s="83">
        <v>6</v>
      </c>
      <c r="D29" s="86">
        <v>0.35</v>
      </c>
      <c r="E29" s="83">
        <v>500</v>
      </c>
      <c r="F29" s="83">
        <v>160</v>
      </c>
      <c r="G29" s="83" t="s">
        <v>81</v>
      </c>
      <c r="H29" s="83">
        <f>H28+160</f>
        <v>3570</v>
      </c>
      <c r="I29" s="83">
        <v>2465</v>
      </c>
      <c r="J29" s="83">
        <f>H29-$H$4</f>
        <v>3490</v>
      </c>
      <c r="K29" s="83">
        <f>I29-$I$4</f>
        <v>2175</v>
      </c>
      <c r="M29" s="84">
        <f>-E29*(TAN(1*PI()/180)+TAN(C29*PI()/180))</f>
        <v>-61.279650096947023</v>
      </c>
      <c r="N29" s="84">
        <f>1.3*R29</f>
        <v>68.317752922689692</v>
      </c>
      <c r="O29" s="84">
        <f>E29*TAN(C29*PI()/180)</f>
        <v>52.552117632838225</v>
      </c>
      <c r="P29" s="83" t="s">
        <v>97</v>
      </c>
      <c r="Q29" s="84">
        <f t="shared" si="4"/>
        <v>8.7275324641087924</v>
      </c>
      <c r="R29" s="84">
        <f t="shared" si="11"/>
        <v>52.552117632838225</v>
      </c>
    </row>
    <row r="30" spans="1:19" s="83" customFormat="1">
      <c r="A30" s="83">
        <v>1</v>
      </c>
      <c r="B30" s="83">
        <v>4</v>
      </c>
      <c r="C30" s="83">
        <v>6</v>
      </c>
      <c r="D30" s="83">
        <v>0.35</v>
      </c>
      <c r="E30" s="83">
        <v>500</v>
      </c>
      <c r="F30" s="83">
        <v>160</v>
      </c>
      <c r="G30" s="83" t="s">
        <v>45</v>
      </c>
      <c r="H30" s="83">
        <f>H29+160</f>
        <v>3730</v>
      </c>
      <c r="I30" s="83">
        <v>2465</v>
      </c>
      <c r="J30" s="83">
        <f>H30-$H$4</f>
        <v>3650</v>
      </c>
      <c r="K30" s="83">
        <f>I30-$I$4</f>
        <v>2175</v>
      </c>
      <c r="M30" s="84">
        <f>-E30*(TAN(1*PI()/180)+TAN(C30*PI()/180))</f>
        <v>-61.279650096947023</v>
      </c>
      <c r="N30" s="84">
        <f>1.3*R30</f>
        <v>68.317752922689692</v>
      </c>
      <c r="O30" s="84">
        <f>E30*TAN(C30*PI()/180)</f>
        <v>52.552117632838225</v>
      </c>
      <c r="P30" s="83" t="s">
        <v>97</v>
      </c>
      <c r="Q30" s="84">
        <f t="shared" si="4"/>
        <v>8.7275324641087924</v>
      </c>
      <c r="R30" s="84">
        <f t="shared" si="11"/>
        <v>52.552117632838225</v>
      </c>
    </row>
    <row r="31" spans="1:19" s="83" customFormat="1">
      <c r="A31" s="83">
        <v>1</v>
      </c>
      <c r="B31" s="83">
        <v>4</v>
      </c>
      <c r="C31" s="83">
        <v>8</v>
      </c>
      <c r="D31" s="83">
        <v>0.42</v>
      </c>
      <c r="E31" s="83">
        <v>400</v>
      </c>
      <c r="F31" s="83">
        <v>160</v>
      </c>
      <c r="G31" s="83" t="s">
        <v>81</v>
      </c>
      <c r="H31" s="83">
        <f>H30+160</f>
        <v>3890</v>
      </c>
      <c r="I31" s="83">
        <v>2465</v>
      </c>
      <c r="J31" s="83">
        <f>H31-$H$4</f>
        <v>3810</v>
      </c>
      <c r="K31" s="83">
        <f>I31-$I$4</f>
        <v>2175</v>
      </c>
      <c r="M31" s="84">
        <f>-E31*(TAN(1*PI()/180)+TAN(C31*PI()/180))</f>
        <v>-63.198359852243598</v>
      </c>
      <c r="N31" s="84">
        <f>1.3*R31</f>
        <v>73.081234045243548</v>
      </c>
      <c r="O31" s="84">
        <f>E31*TAN(C31*PI()/180)</f>
        <v>56.216333880956569</v>
      </c>
      <c r="P31" s="83" t="s">
        <v>97</v>
      </c>
      <c r="Q31" s="84">
        <f t="shared" si="4"/>
        <v>6.9820259712870341</v>
      </c>
      <c r="R31" s="84">
        <f t="shared" si="11"/>
        <v>56.216333880956569</v>
      </c>
    </row>
    <row r="32" spans="1:19">
      <c r="A32" s="1">
        <f>SUM(A4:A31)</f>
        <v>65</v>
      </c>
    </row>
    <row r="35" spans="16:17">
      <c r="P35" s="1">
        <f>20-56.216/10</f>
        <v>14.378399999999999</v>
      </c>
      <c r="Q35" s="8">
        <f>(R6-Q6)/10</f>
        <v>4.3824585168729433</v>
      </c>
    </row>
    <row r="36" spans="16:17">
      <c r="P36" s="1">
        <f>(R7-Q7)/10</f>
        <v>4.6772592514186062</v>
      </c>
      <c r="Q36" s="8">
        <f>20-R5/10</f>
        <v>14.744788236716177</v>
      </c>
    </row>
    <row r="37" spans="16:17">
      <c r="P37" s="1">
        <f>R7*2/10</f>
        <v>10.681103437381747</v>
      </c>
      <c r="Q37" s="8">
        <f>O5*2/10</f>
        <v>10.510423526567646</v>
      </c>
    </row>
    <row r="38" spans="16:17">
      <c r="P38" s="1">
        <f>P37*1.15</f>
        <v>12.283268952989008</v>
      </c>
      <c r="Q38" s="8">
        <f>Q37*1.3</f>
        <v>13.663550584537941</v>
      </c>
    </row>
    <row r="39" spans="16:17">
      <c r="P39" s="1">
        <f>20+(Q7+R7)/10</f>
        <v>26.003844185963143</v>
      </c>
      <c r="Q39" s="8">
        <f>20+(Q5+R5)/10</f>
        <v>26.127965009694702</v>
      </c>
    </row>
    <row r="40" spans="16:17">
      <c r="Q40" s="8">
        <f>13.23+16</f>
        <v>29.23</v>
      </c>
    </row>
    <row r="41" spans="16:17">
      <c r="Q41" s="8">
        <f>35.85+16</f>
        <v>51.85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F10"/>
  <sheetViews>
    <sheetView workbookViewId="0">
      <selection activeCell="B3" sqref="B3"/>
    </sheetView>
  </sheetViews>
  <sheetFormatPr baseColWidth="10" defaultColWidth="8.7109375" defaultRowHeight="13"/>
  <cols>
    <col min="1" max="4" width="8.7109375" style="79"/>
    <col min="5" max="5" width="11.42578125" style="79" customWidth="1"/>
    <col min="6" max="6" width="16.28515625" style="79" customWidth="1"/>
    <col min="7" max="16384" width="8.7109375" style="79"/>
  </cols>
  <sheetData>
    <row r="2" spans="2:6">
      <c r="B2" s="81" t="s">
        <v>36</v>
      </c>
      <c r="C2" s="81" t="s">
        <v>35</v>
      </c>
      <c r="D2" s="81" t="s">
        <v>34</v>
      </c>
      <c r="E2" s="82" t="s">
        <v>33</v>
      </c>
      <c r="F2" s="81" t="s">
        <v>32</v>
      </c>
    </row>
    <row r="3" spans="2:6">
      <c r="B3" s="79">
        <v>0.04</v>
      </c>
      <c r="C3" s="79">
        <v>6</v>
      </c>
      <c r="D3" s="80">
        <f t="shared" ref="D3:D10" si="0">13.5/(B3/4+SIN(C3/180*PI()))/2</f>
        <v>58.937313986525993</v>
      </c>
      <c r="E3" s="79">
        <v>10</v>
      </c>
      <c r="F3" s="80">
        <f t="shared" ref="F3:F10" si="1">+D3-E3</f>
        <v>48.937313986525993</v>
      </c>
    </row>
    <row r="4" spans="2:6">
      <c r="B4" s="79">
        <v>0.25</v>
      </c>
      <c r="C4" s="79">
        <v>6</v>
      </c>
      <c r="D4" s="80">
        <f t="shared" si="0"/>
        <v>40.412273860075658</v>
      </c>
      <c r="E4" s="79">
        <v>10</v>
      </c>
      <c r="F4" s="80">
        <f t="shared" si="1"/>
        <v>30.412273860075658</v>
      </c>
    </row>
    <row r="5" spans="2:6">
      <c r="B5" s="79">
        <v>0.33</v>
      </c>
      <c r="C5" s="79">
        <v>6</v>
      </c>
      <c r="D5" s="80">
        <f t="shared" si="0"/>
        <v>36.090763309861465</v>
      </c>
      <c r="E5" s="79">
        <v>10</v>
      </c>
      <c r="F5" s="80">
        <f t="shared" si="1"/>
        <v>26.090763309861465</v>
      </c>
    </row>
    <row r="6" spans="2:6">
      <c r="B6" s="79">
        <v>0.35</v>
      </c>
      <c r="C6" s="79">
        <v>6</v>
      </c>
      <c r="D6" s="80">
        <f t="shared" si="0"/>
        <v>35.151038992546141</v>
      </c>
      <c r="E6" s="79">
        <v>10</v>
      </c>
      <c r="F6" s="80">
        <f t="shared" si="1"/>
        <v>25.151038992546141</v>
      </c>
    </row>
    <row r="7" spans="2:6">
      <c r="B7" s="79">
        <v>0.42</v>
      </c>
      <c r="C7" s="79">
        <v>8</v>
      </c>
      <c r="D7" s="80">
        <f t="shared" si="0"/>
        <v>27.644322709830202</v>
      </c>
      <c r="E7" s="79">
        <v>10</v>
      </c>
      <c r="F7" s="80">
        <f t="shared" si="1"/>
        <v>17.644322709830202</v>
      </c>
    </row>
    <row r="8" spans="2:6">
      <c r="B8" s="79">
        <v>0.5</v>
      </c>
      <c r="C8" s="79">
        <v>8</v>
      </c>
      <c r="D8" s="80">
        <f t="shared" si="0"/>
        <v>25.55142811841538</v>
      </c>
      <c r="E8" s="79">
        <v>10</v>
      </c>
      <c r="F8" s="80">
        <f t="shared" si="1"/>
        <v>15.55142811841538</v>
      </c>
    </row>
    <row r="9" spans="2:6">
      <c r="B9" s="79">
        <v>0.625</v>
      </c>
      <c r="C9" s="79">
        <v>10</v>
      </c>
      <c r="D9" s="80">
        <f t="shared" si="0"/>
        <v>20.460858704151111</v>
      </c>
      <c r="E9" s="79">
        <v>10</v>
      </c>
      <c r="F9" s="80">
        <f t="shared" si="1"/>
        <v>10.460858704151111</v>
      </c>
    </row>
    <row r="10" spans="2:6">
      <c r="B10" s="79">
        <v>0.125</v>
      </c>
      <c r="C10" s="79">
        <v>2</v>
      </c>
      <c r="D10" s="80">
        <f t="shared" si="0"/>
        <v>102.04159270262137</v>
      </c>
      <c r="E10" s="79">
        <v>0</v>
      </c>
      <c r="F10" s="80">
        <f t="shared" si="1"/>
        <v>102.04159270262137</v>
      </c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 2013-11-12</vt:lpstr>
      <vt:lpstr>Layout 2012-11</vt:lpstr>
      <vt:lpstr>dr calcuation</vt:lpstr>
    </vt:vector>
  </TitlesOfParts>
  <Company>CXRO / LBNL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Goldberg</dc:creator>
  <cp:lastModifiedBy>Kenneth Goldberg</cp:lastModifiedBy>
  <cp:lastPrinted>2012-11-29T23:55:07Z</cp:lastPrinted>
  <dcterms:created xsi:type="dcterms:W3CDTF">2012-11-29T07:21:21Z</dcterms:created>
  <dcterms:modified xsi:type="dcterms:W3CDTF">2014-06-03T21:51:43Z</dcterms:modified>
</cp:coreProperties>
</file>