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<sst xmlns="http://schemas.openxmlformats.org/spreadsheetml/2006/main" count="43" uniqueCount="18">
  <si>
    <t>T (K)</t>
  </si>
  <si>
    <t>C0P(T)RCP0(T)R</t>
  </si>
  <si>
    <t>Vapor Pressure (MPa)</t>
  </si>
  <si>
    <t>B(T) (cm^3 · mol^(-1))</t>
  </si>
  <si>
    <t>(dB/dT) · T (cm^3 · mol^(-1))</t>
  </si>
  <si>
    <t>C(T) (cm^6 · mol^(-2))</t>
  </si>
  <si>
    <t>(dC/dT) · T (cm^6 · mol^(-2))</t>
  </si>
  <si>
    <t>λ (mW / (m·K))</t>
  </si>
  <si>
    <t>η (µPa·s)</t>
  </si>
  <si>
    <t>2nd Coefficient</t>
  </si>
  <si>
    <t>3rd Coefficient</t>
  </si>
  <si>
    <t>2nd/3rd</t>
  </si>
  <si>
    <t>Estimated Uncertainty</t>
  </si>
  <si>
    <t>1%/0.1%</t>
  </si>
  <si>
    <t>Gas densities are calculated to better than 0.1% over the temperature and pressure ranges of the reference.</t>
  </si>
  <si>
    <t>Reference</t>
  </si>
  <si>
    <t>1,5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</si>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</sst>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rgb="FF000000"/>
      <name val="Arial"/>
    </font>
    <font>
      <u/>
      <color rgb="FF562B97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3" numFmtId="9" xfId="0" applyAlignment="1" applyFont="1" applyNumberFormat="1">
      <alignment readingOrder="0"/>
    </xf>
    <xf borderId="0" fillId="4" fontId="3" numFmtId="10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Font="1"/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Sheet1!$J$1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Sheet1!$A$2:$A$44</c:f>
            </c:numRef>
          </c:xVal>
          <c:yVal>
            <c:numRef>
              <c:f>Sheet1!$J$2:$J$44</c:f>
              <c:numCache/>
            </c:numRef>
          </c:yVal>
        </c:ser>
        <c:ser>
          <c:idx val="1"/>
          <c:order val="1"/>
          <c:tx>
            <c:strRef>
              <c:f>Sheet1!$K$1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Sheet1!$A$2:$A$44</c:f>
            </c:numRef>
          </c:xVal>
          <c:yVal>
            <c:numRef>
              <c:f>Sheet1!$K$2:$K$44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273981"/>
        <c:axId val="2076519347"/>
      </c:scatterChart>
      <c:valAx>
        <c:axId val="10602739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(K)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6519347"/>
      </c:valAx>
      <c:valAx>
        <c:axId val="20765193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Value of Virial Coefficient for SF6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0273981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600075</xdr:colOff>
      <xdr:row>1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st.gov/pml/sensor-science/fluid-metrology/database-thermophysical-properties-gases-used-semiconductor-21" TargetMode="External"/><Relationship Id="rId2" Type="http://schemas.openxmlformats.org/officeDocument/2006/relationships/hyperlink" Target="https://www.nist.gov/pml/sensor-science/fluid-metrology/database-thermophysical-properties-gases-used-semiconductor-21" TargetMode="External"/><Relationship Id="rId3" Type="http://schemas.openxmlformats.org/officeDocument/2006/relationships/hyperlink" Target="https://www.nist.gov/pml/sensor-science/fluid-metrology/database-thermophysical-properties-gases-used-semiconductor-21" TargetMode="External"/><Relationship Id="rId4" Type="http://schemas.openxmlformats.org/officeDocument/2006/relationships/hyperlink" Target="https://www.nist.gov/pml/sensor-science/fluid-metrology/database-thermophysical-properties-gases-used-semiconductor-21" TargetMode="External"/><Relationship Id="rId5" Type="http://schemas.openxmlformats.org/officeDocument/2006/relationships/hyperlink" Target="https://www.nist.gov/pml/sensor-science/fluid-metrology/database-thermophysical-properties-gases-used-semiconductor-21" TargetMode="External"/><Relationship Id="rId6" Type="http://schemas.openxmlformats.org/officeDocument/2006/relationships/hyperlink" Target="https://www.nist.gov/pml/sensor-science/fluid-metrology/database-thermophysical-properties-gases-used-semiconductor-21" TargetMode="External"/><Relationship Id="rId7" Type="http://schemas.openxmlformats.org/officeDocument/2006/relationships/hyperlink" Target="https://www.nist.gov/pml/sensor-science/fluid-metrology/database-thermophysical-properties-gases-used-semiconductor-21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5.86"/>
    <col customWidth="1" min="3" max="3" width="20.29"/>
    <col customWidth="1" min="4" max="4" width="21.29"/>
    <col customWidth="1" min="5" max="5" width="25.86"/>
    <col customWidth="1" min="6" max="6" width="20.29"/>
    <col customWidth="1" min="7" max="7" width="25.86"/>
    <col customWidth="1" min="8" max="8" width="13.71"/>
    <col customWidth="1" min="9" max="9" width="9.0"/>
    <col customWidth="1" min="10" max="10" width="14.57"/>
    <col customWidth="1" min="11" max="11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 t="s">
        <v>13</v>
      </c>
      <c r="C2" s="5">
        <v>0.01</v>
      </c>
      <c r="D2" s="4" t="s">
        <v>14</v>
      </c>
      <c r="H2" s="6">
        <v>0.05</v>
      </c>
      <c r="I2" s="6">
        <v>0.005</v>
      </c>
    </row>
    <row r="3">
      <c r="A3" s="4" t="s">
        <v>15</v>
      </c>
      <c r="B3" s="7" t="s">
        <v>16</v>
      </c>
      <c r="C3" s="7">
        <v>6.0</v>
      </c>
      <c r="D3" s="7">
        <v>5.0</v>
      </c>
      <c r="E3" s="7">
        <v>5.0</v>
      </c>
      <c r="F3" s="7">
        <v>5.0</v>
      </c>
      <c r="G3" s="7">
        <v>5.0</v>
      </c>
      <c r="H3" s="7">
        <v>7.0</v>
      </c>
      <c r="I3" s="7">
        <v>7.0</v>
      </c>
    </row>
    <row r="4">
      <c r="A4" s="4">
        <v>223.0</v>
      </c>
      <c r="B4" s="3">
        <v>9.17</v>
      </c>
      <c r="C4" s="4">
        <v>0.23</v>
      </c>
      <c r="D4" s="4">
        <v>-528.8</v>
      </c>
      <c r="E4" s="4">
        <v>1190.2</v>
      </c>
      <c r="F4" s="4">
        <v>-22326.0</v>
      </c>
      <c r="G4" s="4">
        <v>450223.0</v>
      </c>
      <c r="H4" s="4">
        <v>7.0</v>
      </c>
      <c r="I4" s="4">
        <v>11.76</v>
      </c>
      <c r="J4" s="8">
        <f t="shared" ref="J4:J44" si="1">ROUND((D4 * 10^(-6) * 101600) / (8.31 * A4),3-(1+INT(LOG10(ABS((D4 * 10^(-6) * 101600) / (8.31 * A4))))))</f>
        <v>-0.029</v>
      </c>
      <c r="K4" s="8">
        <f t="shared" ref="K4:K44" si="2">ROUND((F4 * 10^(-12) * (101600^2)) / ((8.31 * A4)^2),3-(1+INT(LOG10(ABS((F4 * 10^(-12) * (101600^2)) / ((8.31 * A4)^2))))))</f>
        <v>-0.0000671</v>
      </c>
      <c r="L4" s="8">
        <f t="shared" ref="L4:L44" si="3">(J4/K4) * 100</f>
        <v>43219.07601</v>
      </c>
    </row>
    <row r="5">
      <c r="A5" s="4">
        <v>225.0</v>
      </c>
      <c r="B5" s="3">
        <v>9.25</v>
      </c>
      <c r="C5" s="4">
        <v>0.25</v>
      </c>
      <c r="D5" s="4">
        <v>-518.2</v>
      </c>
      <c r="E5" s="4">
        <v>1164.6</v>
      </c>
      <c r="F5" s="4">
        <v>-18470.0</v>
      </c>
      <c r="G5" s="4">
        <v>413996.0</v>
      </c>
      <c r="H5" s="4">
        <v>7.1</v>
      </c>
      <c r="I5" s="4">
        <v>11.86</v>
      </c>
      <c r="J5" s="8">
        <f t="shared" si="1"/>
        <v>-0.0282</v>
      </c>
      <c r="K5" s="8">
        <f t="shared" si="2"/>
        <v>-0.0000545</v>
      </c>
      <c r="L5" s="8">
        <f t="shared" si="3"/>
        <v>51743.11927</v>
      </c>
    </row>
    <row r="6">
      <c r="A6" s="4">
        <v>230.0</v>
      </c>
      <c r="B6" s="3">
        <v>9.43</v>
      </c>
      <c r="C6" s="4">
        <v>0.31</v>
      </c>
      <c r="D6" s="4">
        <v>-493.3</v>
      </c>
      <c r="E6" s="4">
        <v>1104.5</v>
      </c>
      <c r="F6" s="4">
        <v>-10258.0</v>
      </c>
      <c r="G6" s="4">
        <v>335752.0</v>
      </c>
      <c r="H6" s="4">
        <v>7.4</v>
      </c>
      <c r="I6" s="4">
        <v>12.09</v>
      </c>
      <c r="J6" s="8">
        <f t="shared" si="1"/>
        <v>-0.0262</v>
      </c>
      <c r="K6" s="8">
        <f t="shared" si="2"/>
        <v>-0.000029</v>
      </c>
      <c r="L6" s="8">
        <f t="shared" si="3"/>
        <v>90344.82759</v>
      </c>
    </row>
    <row r="7">
      <c r="A7" s="4">
        <v>235.0</v>
      </c>
      <c r="B7" s="3">
        <v>9.61</v>
      </c>
      <c r="C7" s="4">
        <v>0.37</v>
      </c>
      <c r="D7" s="4">
        <v>-470.2</v>
      </c>
      <c r="E7" s="4">
        <v>1049.6</v>
      </c>
      <c r="F7" s="4">
        <v>-3741.0</v>
      </c>
      <c r="G7" s="4">
        <v>272172.0</v>
      </c>
      <c r="H7" s="4">
        <v>7.6</v>
      </c>
      <c r="I7" s="4">
        <v>12.33</v>
      </c>
      <c r="J7" s="8">
        <f t="shared" si="1"/>
        <v>-0.0245</v>
      </c>
      <c r="K7" s="8">
        <f t="shared" si="2"/>
        <v>-0.0000101</v>
      </c>
      <c r="L7" s="8">
        <f t="shared" si="3"/>
        <v>242574.2574</v>
      </c>
    </row>
    <row r="8">
      <c r="A8" s="4">
        <v>240.0</v>
      </c>
      <c r="B8" s="3">
        <v>9.79</v>
      </c>
      <c r="C8" s="4">
        <v>0.45</v>
      </c>
      <c r="D8" s="4">
        <v>-448.6</v>
      </c>
      <c r="E8" s="4">
        <v>999.3</v>
      </c>
      <c r="F8" s="4">
        <v>1426.0</v>
      </c>
      <c r="G8" s="4">
        <v>220292.0</v>
      </c>
      <c r="H8" s="4">
        <v>7.9</v>
      </c>
      <c r="I8" s="4">
        <v>12.56</v>
      </c>
      <c r="J8" s="8">
        <f t="shared" si="1"/>
        <v>-0.0229</v>
      </c>
      <c r="K8" s="8">
        <f t="shared" si="2"/>
        <v>0.0000037</v>
      </c>
      <c r="L8" s="8">
        <f t="shared" si="3"/>
        <v>-618918.9189</v>
      </c>
    </row>
    <row r="9">
      <c r="A9" s="4">
        <v>245.0</v>
      </c>
      <c r="B9" s="3">
        <v>9.97</v>
      </c>
      <c r="C9" s="4">
        <v>0.54</v>
      </c>
      <c r="D9" s="4">
        <v>-428.5</v>
      </c>
      <c r="E9" s="4">
        <v>952.9</v>
      </c>
      <c r="F9" s="4">
        <v>5517.0</v>
      </c>
      <c r="G9" s="4">
        <v>177801.0</v>
      </c>
      <c r="H9" s="4">
        <v>8.2</v>
      </c>
      <c r="I9" s="4">
        <v>12.8</v>
      </c>
      <c r="J9" s="8">
        <f t="shared" si="1"/>
        <v>-0.0214</v>
      </c>
      <c r="K9" s="8">
        <f t="shared" si="2"/>
        <v>0.0000137</v>
      </c>
      <c r="L9" s="8">
        <f t="shared" si="3"/>
        <v>-156204.3796</v>
      </c>
    </row>
    <row r="10">
      <c r="A10" s="4">
        <v>250.0</v>
      </c>
      <c r="B10" s="9">
        <f>+10.09</f>
        <v>10.09</v>
      </c>
      <c r="C10" s="4">
        <v>0.64</v>
      </c>
      <c r="D10" s="4">
        <v>-409.7</v>
      </c>
      <c r="E10" s="4">
        <v>910.2</v>
      </c>
      <c r="F10" s="4">
        <v>8747.0</v>
      </c>
      <c r="G10" s="4">
        <v>142881.0</v>
      </c>
      <c r="H10" s="4">
        <v>8.4</v>
      </c>
      <c r="I10" s="4">
        <v>13.03</v>
      </c>
      <c r="J10" s="8">
        <f t="shared" si="1"/>
        <v>-0.02</v>
      </c>
      <c r="K10" s="8">
        <f t="shared" si="2"/>
        <v>0.0000209</v>
      </c>
      <c r="L10" s="8">
        <f t="shared" si="3"/>
        <v>-95693.7799</v>
      </c>
    </row>
    <row r="11">
      <c r="A11" s="4">
        <v>255.0</v>
      </c>
      <c r="B11" s="9">
        <f>+10.26</f>
        <v>10.26</v>
      </c>
      <c r="C11" s="4">
        <v>0.75</v>
      </c>
      <c r="D11" s="4">
        <v>-392.0</v>
      </c>
      <c r="E11" s="4">
        <v>870.7</v>
      </c>
      <c r="F11" s="4">
        <v>11283.0</v>
      </c>
      <c r="G11" s="4">
        <v>114101.0</v>
      </c>
      <c r="H11" s="4">
        <v>8.7</v>
      </c>
      <c r="I11" s="4">
        <v>13.26</v>
      </c>
      <c r="J11" s="8">
        <f t="shared" si="1"/>
        <v>-0.0188</v>
      </c>
      <c r="K11" s="8">
        <f t="shared" si="2"/>
        <v>0.0000259</v>
      </c>
      <c r="L11" s="8">
        <f t="shared" si="3"/>
        <v>-72586.87259</v>
      </c>
    </row>
    <row r="12">
      <c r="A12" s="4">
        <v>260.0</v>
      </c>
      <c r="B12" s="9">
        <f>+10.43</f>
        <v>10.43</v>
      </c>
      <c r="C12" s="4">
        <v>0.88</v>
      </c>
      <c r="D12" s="4">
        <v>-375.5</v>
      </c>
      <c r="E12" s="4">
        <v>834.1</v>
      </c>
      <c r="F12" s="4">
        <v>13261.0</v>
      </c>
      <c r="G12" s="4">
        <v>90319.0</v>
      </c>
      <c r="H12" s="4">
        <v>9.0</v>
      </c>
      <c r="I12" s="4">
        <v>13.49</v>
      </c>
      <c r="J12" s="8">
        <f t="shared" si="1"/>
        <v>-0.0177</v>
      </c>
      <c r="K12" s="8">
        <f t="shared" si="2"/>
        <v>0.0000293</v>
      </c>
      <c r="L12" s="8">
        <f t="shared" si="3"/>
        <v>-60409.55631</v>
      </c>
    </row>
    <row r="13">
      <c r="A13" s="4">
        <v>265.0</v>
      </c>
      <c r="B13" s="9">
        <f>+10.6</f>
        <v>10.6</v>
      </c>
      <c r="C13" s="4">
        <v>1.02</v>
      </c>
      <c r="D13" s="4">
        <v>-359.9</v>
      </c>
      <c r="E13" s="4">
        <v>800.1</v>
      </c>
      <c r="F13" s="4">
        <v>14789.0</v>
      </c>
      <c r="G13" s="4">
        <v>70626.0</v>
      </c>
      <c r="H13" s="4">
        <v>9.3</v>
      </c>
      <c r="I13" s="4">
        <v>13.73</v>
      </c>
      <c r="J13" s="8">
        <f t="shared" si="1"/>
        <v>-0.0166</v>
      </c>
      <c r="K13" s="8">
        <f t="shared" si="2"/>
        <v>0.0000315</v>
      </c>
      <c r="L13" s="8">
        <f t="shared" si="3"/>
        <v>-52698.4127</v>
      </c>
    </row>
    <row r="14">
      <c r="A14" s="4">
        <v>270.0</v>
      </c>
      <c r="B14" s="9">
        <f>+10.76</f>
        <v>10.76</v>
      </c>
      <c r="C14" s="4">
        <v>1.18</v>
      </c>
      <c r="D14" s="4">
        <v>-345.3</v>
      </c>
      <c r="E14" s="4">
        <v>768.4</v>
      </c>
      <c r="F14" s="4">
        <v>15952.0</v>
      </c>
      <c r="G14" s="4">
        <v>54291.0</v>
      </c>
      <c r="H14" s="4">
        <v>9.5</v>
      </c>
      <c r="I14" s="4">
        <v>13.96</v>
      </c>
      <c r="J14" s="8">
        <f t="shared" si="1"/>
        <v>-0.0156</v>
      </c>
      <c r="K14" s="8">
        <f t="shared" si="2"/>
        <v>0.0000327</v>
      </c>
      <c r="L14" s="8">
        <f t="shared" si="3"/>
        <v>-47706.42202</v>
      </c>
    </row>
    <row r="15">
      <c r="A15" s="4">
        <v>275.0</v>
      </c>
      <c r="B15" s="9">
        <f>+10.92</f>
        <v>10.92</v>
      </c>
      <c r="C15" s="4">
        <v>1.36</v>
      </c>
      <c r="D15" s="4">
        <v>-331.4</v>
      </c>
      <c r="E15" s="4">
        <v>738.9</v>
      </c>
      <c r="F15" s="4">
        <v>16820.0</v>
      </c>
      <c r="G15" s="4">
        <v>40723.0</v>
      </c>
      <c r="H15" s="4">
        <v>9.8</v>
      </c>
      <c r="I15" s="4">
        <v>14.19</v>
      </c>
      <c r="J15" s="8">
        <f t="shared" si="1"/>
        <v>-0.0147</v>
      </c>
      <c r="K15" s="8">
        <f t="shared" si="2"/>
        <v>0.0000332</v>
      </c>
      <c r="L15" s="8">
        <f t="shared" si="3"/>
        <v>-44277.10843</v>
      </c>
    </row>
    <row r="16">
      <c r="A16" s="4">
        <v>280.0</v>
      </c>
      <c r="B16" s="9">
        <f>+11.08</f>
        <v>11.08</v>
      </c>
      <c r="C16" s="4">
        <v>1.55</v>
      </c>
      <c r="D16" s="4">
        <v>-318.4</v>
      </c>
      <c r="E16" s="4">
        <v>711.4</v>
      </c>
      <c r="F16" s="4">
        <v>17449.0</v>
      </c>
      <c r="G16" s="4">
        <v>29444.0</v>
      </c>
      <c r="H16" s="4">
        <v>10.1</v>
      </c>
      <c r="I16" s="4">
        <v>14.42</v>
      </c>
      <c r="J16" s="8">
        <f t="shared" si="1"/>
        <v>-0.0139</v>
      </c>
      <c r="K16" s="8">
        <f t="shared" si="2"/>
        <v>0.0000333</v>
      </c>
      <c r="L16" s="8">
        <f t="shared" si="3"/>
        <v>-41741.74174</v>
      </c>
    </row>
    <row r="17">
      <c r="A17" s="4">
        <v>285.0</v>
      </c>
      <c r="B17" s="9">
        <f>+11.23</f>
        <v>11.23</v>
      </c>
      <c r="C17" s="4">
        <v>1.77</v>
      </c>
      <c r="D17" s="4">
        <v>-306.0</v>
      </c>
      <c r="E17" s="4">
        <v>685.6</v>
      </c>
      <c r="F17" s="4">
        <v>17885.0</v>
      </c>
      <c r="G17" s="4">
        <v>20064.0</v>
      </c>
      <c r="H17" s="4">
        <v>10.4</v>
      </c>
      <c r="I17" s="4">
        <v>14.65</v>
      </c>
      <c r="J17" s="8">
        <f t="shared" si="1"/>
        <v>-0.0131</v>
      </c>
      <c r="K17" s="8">
        <f t="shared" si="2"/>
        <v>0.0000329</v>
      </c>
      <c r="L17" s="8">
        <f t="shared" si="3"/>
        <v>-39817.62918</v>
      </c>
    </row>
    <row r="18">
      <c r="A18" s="4">
        <v>290.0</v>
      </c>
      <c r="B18" s="9">
        <f>+11.38</f>
        <v>11.38</v>
      </c>
      <c r="C18" s="4">
        <v>2.0</v>
      </c>
      <c r="D18" s="4">
        <v>-294.3</v>
      </c>
      <c r="E18" s="4">
        <v>661.4</v>
      </c>
      <c r="F18" s="4">
        <v>18164.0</v>
      </c>
      <c r="G18" s="4">
        <v>12264.0</v>
      </c>
      <c r="H18" s="4">
        <v>10.7</v>
      </c>
      <c r="I18" s="4">
        <v>14.88</v>
      </c>
      <c r="J18" s="8">
        <f t="shared" si="1"/>
        <v>-0.0124</v>
      </c>
      <c r="K18" s="8">
        <f t="shared" si="2"/>
        <v>0.0000323</v>
      </c>
      <c r="L18" s="8">
        <f t="shared" si="3"/>
        <v>-38390.09288</v>
      </c>
    </row>
    <row r="19">
      <c r="A19" s="4">
        <v>295.0</v>
      </c>
      <c r="B19" s="9">
        <f>+11.53</f>
        <v>11.53</v>
      </c>
      <c r="C19" s="4">
        <v>2.26</v>
      </c>
      <c r="D19" s="4">
        <v>-283.2</v>
      </c>
      <c r="E19" s="4">
        <v>638.7</v>
      </c>
      <c r="F19" s="4">
        <v>18317.0</v>
      </c>
      <c r="G19" s="4">
        <v>5783.0</v>
      </c>
      <c r="H19" s="4">
        <v>11.0</v>
      </c>
      <c r="I19" s="4">
        <v>15.1</v>
      </c>
      <c r="J19" s="8">
        <f t="shared" si="1"/>
        <v>-0.0117</v>
      </c>
      <c r="K19" s="8">
        <f t="shared" si="2"/>
        <v>0.0000315</v>
      </c>
      <c r="L19" s="8">
        <f t="shared" si="3"/>
        <v>-37142.85714</v>
      </c>
    </row>
    <row r="20">
      <c r="A20" s="4">
        <v>300.0</v>
      </c>
      <c r="B20" s="9">
        <f>+11.68</f>
        <v>11.68</v>
      </c>
      <c r="C20" s="4">
        <v>2.53</v>
      </c>
      <c r="D20" s="4">
        <v>-272.6</v>
      </c>
      <c r="E20" s="4">
        <v>617.4</v>
      </c>
      <c r="F20" s="4">
        <v>18368.0</v>
      </c>
      <c r="G20" s="4">
        <v>404.0</v>
      </c>
      <c r="H20" s="4">
        <v>11.3</v>
      </c>
      <c r="I20" s="4">
        <v>15.33</v>
      </c>
      <c r="J20" s="8">
        <f t="shared" si="1"/>
        <v>-0.0111</v>
      </c>
      <c r="K20" s="8">
        <f t="shared" si="2"/>
        <v>0.0000305</v>
      </c>
      <c r="L20" s="8">
        <f t="shared" si="3"/>
        <v>-36393.44262</v>
      </c>
    </row>
    <row r="21">
      <c r="A21" s="4">
        <v>305.0</v>
      </c>
      <c r="B21" s="9">
        <f>+11.82</f>
        <v>11.82</v>
      </c>
      <c r="C21" s="4">
        <v>2.83</v>
      </c>
      <c r="D21" s="4">
        <v>-262.6</v>
      </c>
      <c r="E21" s="4">
        <v>597.3</v>
      </c>
      <c r="F21" s="4">
        <v>18337.0</v>
      </c>
      <c r="G21" s="4">
        <v>-4049.0</v>
      </c>
      <c r="H21" s="4">
        <v>11.6</v>
      </c>
      <c r="I21" s="4">
        <v>15.56</v>
      </c>
      <c r="J21" s="8">
        <f t="shared" si="1"/>
        <v>-0.0105</v>
      </c>
      <c r="K21" s="8">
        <f t="shared" si="2"/>
        <v>0.0000295</v>
      </c>
      <c r="L21" s="8">
        <f t="shared" si="3"/>
        <v>-35593.22034</v>
      </c>
    </row>
    <row r="22">
      <c r="A22" s="4">
        <v>310.0</v>
      </c>
      <c r="B22" s="9">
        <f>+11.96</f>
        <v>11.96</v>
      </c>
      <c r="C22" s="4">
        <v>3.16</v>
      </c>
      <c r="D22" s="4">
        <v>-253.0</v>
      </c>
      <c r="E22" s="4">
        <v>578.3</v>
      </c>
      <c r="F22" s="4">
        <v>18240.0</v>
      </c>
      <c r="G22" s="4">
        <v>-7727.0</v>
      </c>
      <c r="H22" s="4">
        <v>11.9</v>
      </c>
      <c r="I22" s="4">
        <v>15.78</v>
      </c>
      <c r="J22" s="8">
        <f t="shared" si="1"/>
        <v>-0.00998</v>
      </c>
      <c r="K22" s="8">
        <f t="shared" si="2"/>
        <v>0.0000284</v>
      </c>
      <c r="L22" s="8">
        <f t="shared" si="3"/>
        <v>-35140.84507</v>
      </c>
    </row>
    <row r="23">
      <c r="A23" s="4">
        <v>315.0</v>
      </c>
      <c r="B23" s="9">
        <f>+12.1</f>
        <v>12.1</v>
      </c>
      <c r="C23" s="4">
        <v>3.5</v>
      </c>
      <c r="D23" s="4">
        <v>-243.9</v>
      </c>
      <c r="E23" s="4">
        <v>560.4</v>
      </c>
      <c r="F23" s="4">
        <v>18091.0</v>
      </c>
      <c r="G23" s="4">
        <v>-10750.0</v>
      </c>
      <c r="H23" s="4">
        <v>12.2</v>
      </c>
      <c r="I23" s="4">
        <v>16.01</v>
      </c>
      <c r="J23" s="8">
        <f t="shared" si="1"/>
        <v>-0.00947</v>
      </c>
      <c r="K23" s="8">
        <f t="shared" si="2"/>
        <v>0.0000273</v>
      </c>
      <c r="L23" s="8">
        <f t="shared" si="3"/>
        <v>-34688.64469</v>
      </c>
    </row>
    <row r="24">
      <c r="A24" s="4">
        <v>318.7</v>
      </c>
      <c r="B24" s="9">
        <f>+12.2</f>
        <v>12.2</v>
      </c>
      <c r="C24" s="4">
        <v>3.77</v>
      </c>
      <c r="D24" s="4">
        <v>-237.5</v>
      </c>
      <c r="E24" s="4">
        <v>547.8</v>
      </c>
      <c r="F24" s="4">
        <v>17955.0</v>
      </c>
      <c r="G24" s="4">
        <v>-12628.0</v>
      </c>
      <c r="H24" s="4">
        <v>12.4</v>
      </c>
      <c r="I24" s="4">
        <v>16.18</v>
      </c>
      <c r="J24" s="8">
        <f t="shared" si="1"/>
        <v>-0.00911</v>
      </c>
      <c r="K24" s="8">
        <f t="shared" si="2"/>
        <v>0.0000264</v>
      </c>
      <c r="L24" s="8">
        <f t="shared" si="3"/>
        <v>-34507.57576</v>
      </c>
    </row>
    <row r="25">
      <c r="A25" s="4">
        <v>320.0</v>
      </c>
      <c r="B25" s="9">
        <f>+12.23</f>
        <v>12.23</v>
      </c>
      <c r="C25" s="4" t="s">
        <v>17</v>
      </c>
      <c r="D25" s="4">
        <v>-235.2</v>
      </c>
      <c r="E25" s="4">
        <v>543.5</v>
      </c>
      <c r="F25" s="4">
        <v>17902.0</v>
      </c>
      <c r="G25" s="4">
        <v>-13224.0</v>
      </c>
      <c r="H25" s="4">
        <v>12.5</v>
      </c>
      <c r="I25" s="4">
        <v>16.23</v>
      </c>
      <c r="J25" s="8">
        <f t="shared" si="1"/>
        <v>-0.00899</v>
      </c>
      <c r="K25" s="8">
        <f t="shared" si="2"/>
        <v>0.0000261</v>
      </c>
      <c r="L25" s="8">
        <f t="shared" si="3"/>
        <v>-34444.44444</v>
      </c>
    </row>
    <row r="26">
      <c r="A26" s="4">
        <v>340.0</v>
      </c>
      <c r="B26" s="9">
        <f>+12.74</f>
        <v>12.74</v>
      </c>
      <c r="C26" s="4" t="s">
        <v>17</v>
      </c>
      <c r="D26" s="4">
        <v>-204.1</v>
      </c>
      <c r="E26" s="4">
        <v>484.2</v>
      </c>
      <c r="F26" s="4">
        <v>16896.0</v>
      </c>
      <c r="G26" s="4">
        <v>-19136.0</v>
      </c>
      <c r="H26" s="4">
        <v>13.6</v>
      </c>
      <c r="I26" s="4">
        <v>17.12</v>
      </c>
      <c r="J26" s="8">
        <f t="shared" si="1"/>
        <v>-0.00734</v>
      </c>
      <c r="K26" s="8">
        <f t="shared" si="2"/>
        <v>0.0000218</v>
      </c>
      <c r="L26" s="8">
        <f t="shared" si="3"/>
        <v>-33669.72477</v>
      </c>
    </row>
    <row r="27">
      <c r="A27" s="4">
        <v>360.0</v>
      </c>
      <c r="B27" s="9">
        <f>+13.21</f>
        <v>13.21</v>
      </c>
      <c r="C27" s="4" t="s">
        <v>17</v>
      </c>
      <c r="D27" s="4">
        <v>-177.9</v>
      </c>
      <c r="E27" s="4">
        <v>435.6</v>
      </c>
      <c r="F27" s="4">
        <v>15733.0</v>
      </c>
      <c r="G27" s="4">
        <v>-21118.0</v>
      </c>
      <c r="H27" s="4">
        <v>14.8</v>
      </c>
      <c r="I27" s="4">
        <v>18.0</v>
      </c>
      <c r="J27" s="8">
        <f t="shared" si="1"/>
        <v>-0.00604</v>
      </c>
      <c r="K27" s="8">
        <f t="shared" si="2"/>
        <v>0.0000181</v>
      </c>
      <c r="L27" s="8">
        <f t="shared" si="3"/>
        <v>-33370.16575</v>
      </c>
    </row>
    <row r="28">
      <c r="A28" s="4">
        <v>380.0</v>
      </c>
      <c r="B28" s="9">
        <f>+13.64</f>
        <v>13.64</v>
      </c>
      <c r="C28" s="4" t="s">
        <v>17</v>
      </c>
      <c r="D28" s="4">
        <v>-155.4</v>
      </c>
      <c r="E28" s="4">
        <v>395.3</v>
      </c>
      <c r="F28" s="4">
        <v>14585.0</v>
      </c>
      <c r="G28" s="4">
        <v>-21099.0</v>
      </c>
      <c r="H28" s="4">
        <v>16.0</v>
      </c>
      <c r="I28" s="4">
        <v>18.87</v>
      </c>
      <c r="J28" s="8">
        <f t="shared" si="1"/>
        <v>-0.005</v>
      </c>
      <c r="K28" s="8">
        <f t="shared" si="2"/>
        <v>0.0000151</v>
      </c>
      <c r="L28" s="8">
        <f t="shared" si="3"/>
        <v>-33112.58278</v>
      </c>
    </row>
    <row r="29">
      <c r="A29" s="4">
        <v>400.0</v>
      </c>
      <c r="B29" s="9">
        <f>+14.03</f>
        <v>14.03</v>
      </c>
      <c r="C29" s="4" t="s">
        <v>17</v>
      </c>
      <c r="D29" s="4">
        <v>-136.1</v>
      </c>
      <c r="E29" s="4">
        <v>361.3</v>
      </c>
      <c r="F29" s="4">
        <v>13526.0</v>
      </c>
      <c r="G29" s="4">
        <v>-20092.0</v>
      </c>
      <c r="H29" s="4">
        <v>17.2</v>
      </c>
      <c r="I29" s="4">
        <v>19.73</v>
      </c>
      <c r="J29" s="8">
        <f t="shared" si="1"/>
        <v>-0.00416</v>
      </c>
      <c r="K29" s="8">
        <f t="shared" si="2"/>
        <v>0.0000126</v>
      </c>
      <c r="L29" s="8">
        <f t="shared" si="3"/>
        <v>-33015.87302</v>
      </c>
    </row>
    <row r="30">
      <c r="A30" s="4">
        <v>420.0</v>
      </c>
      <c r="B30" s="9">
        <f>+14.38</f>
        <v>14.38</v>
      </c>
      <c r="C30" s="4" t="s">
        <v>17</v>
      </c>
      <c r="D30" s="4">
        <v>-119.1</v>
      </c>
      <c r="E30" s="4">
        <v>332.3</v>
      </c>
      <c r="F30" s="4">
        <v>12580.0</v>
      </c>
      <c r="G30" s="4">
        <v>-18635.0</v>
      </c>
      <c r="H30" s="4">
        <v>18.3</v>
      </c>
      <c r="I30" s="4">
        <v>20.57</v>
      </c>
      <c r="J30" s="8">
        <f t="shared" si="1"/>
        <v>-0.00347</v>
      </c>
      <c r="K30" s="8">
        <f t="shared" si="2"/>
        <v>0.0000107</v>
      </c>
      <c r="L30" s="8">
        <f t="shared" si="3"/>
        <v>-32429.90654</v>
      </c>
    </row>
    <row r="31">
      <c r="A31" s="4">
        <v>440.0</v>
      </c>
      <c r="B31" s="9">
        <f>+14.7</f>
        <v>14.7</v>
      </c>
      <c r="C31" s="4" t="s">
        <v>17</v>
      </c>
      <c r="D31" s="4">
        <v>-104.3</v>
      </c>
      <c r="E31" s="4">
        <v>307.3</v>
      </c>
      <c r="F31" s="4">
        <v>11750.0</v>
      </c>
      <c r="G31" s="4">
        <v>-17016.0</v>
      </c>
      <c r="H31" s="4">
        <v>19.4</v>
      </c>
      <c r="I31" s="4">
        <v>21.4</v>
      </c>
      <c r="J31" s="8">
        <f t="shared" si="1"/>
        <v>-0.0029</v>
      </c>
      <c r="K31" s="8">
        <f t="shared" si="2"/>
        <v>0.00000907</v>
      </c>
      <c r="L31" s="8">
        <f t="shared" si="3"/>
        <v>-31973.53914</v>
      </c>
    </row>
    <row r="32">
      <c r="A32" s="4">
        <v>460.0</v>
      </c>
      <c r="B32" s="9">
        <f>+14.99</f>
        <v>14.99</v>
      </c>
      <c r="C32" s="4" t="s">
        <v>17</v>
      </c>
      <c r="D32" s="4">
        <v>-91.1</v>
      </c>
      <c r="E32" s="4">
        <v>285.6</v>
      </c>
      <c r="F32" s="4">
        <v>11030.0</v>
      </c>
      <c r="G32" s="4">
        <v>-15390.0</v>
      </c>
      <c r="H32" s="4">
        <v>20.5</v>
      </c>
      <c r="I32" s="4">
        <v>22.22</v>
      </c>
      <c r="J32" s="8">
        <f t="shared" si="1"/>
        <v>-0.00242</v>
      </c>
      <c r="K32" s="8">
        <f t="shared" si="2"/>
        <v>0.00000779</v>
      </c>
      <c r="L32" s="8">
        <f t="shared" si="3"/>
        <v>-31065.46855</v>
      </c>
    </row>
    <row r="33">
      <c r="A33" s="4">
        <v>480.0</v>
      </c>
      <c r="B33" s="9">
        <f>+15.2</f>
        <v>15.2</v>
      </c>
      <c r="C33" s="4" t="s">
        <v>17</v>
      </c>
      <c r="D33" s="4">
        <v>-79.4</v>
      </c>
      <c r="E33" s="4">
        <v>266.6</v>
      </c>
      <c r="F33" s="4">
        <v>10408.0</v>
      </c>
      <c r="G33" s="4">
        <v>-13834.0</v>
      </c>
      <c r="H33" s="4">
        <v>21.6</v>
      </c>
      <c r="I33" s="4">
        <v>23.02</v>
      </c>
      <c r="J33" s="8">
        <f t="shared" si="1"/>
        <v>-0.00202</v>
      </c>
      <c r="K33" s="8">
        <f t="shared" si="2"/>
        <v>0.00000675</v>
      </c>
      <c r="L33" s="8">
        <f t="shared" si="3"/>
        <v>-29925.92593</v>
      </c>
    </row>
    <row r="34">
      <c r="A34" s="4">
        <v>500.0</v>
      </c>
      <c r="B34" s="3">
        <v>15.44</v>
      </c>
      <c r="C34" s="4" t="s">
        <v>17</v>
      </c>
      <c r="D34" s="4">
        <v>-68.8</v>
      </c>
      <c r="E34" s="4">
        <v>249.8</v>
      </c>
      <c r="F34" s="4">
        <v>9873.0</v>
      </c>
      <c r="G34" s="4">
        <v>-12386.0</v>
      </c>
      <c r="H34" s="4">
        <v>22.6</v>
      </c>
      <c r="I34" s="4">
        <v>23.81</v>
      </c>
      <c r="J34" s="8">
        <f t="shared" si="1"/>
        <v>-0.00168</v>
      </c>
      <c r="K34" s="8">
        <f t="shared" si="2"/>
        <v>0.0000059</v>
      </c>
      <c r="L34" s="8">
        <f t="shared" si="3"/>
        <v>-28474.57627</v>
      </c>
    </row>
    <row r="35">
      <c r="A35" s="4">
        <v>550.0</v>
      </c>
      <c r="B35" s="3">
        <v>15.95</v>
      </c>
      <c r="C35" s="4" t="s">
        <v>17</v>
      </c>
      <c r="D35" s="4">
        <v>-46.7</v>
      </c>
      <c r="E35" s="4">
        <v>215.4</v>
      </c>
      <c r="F35" s="4">
        <v>8843.0</v>
      </c>
      <c r="G35" s="4">
        <v>-9300.0</v>
      </c>
      <c r="H35" s="4">
        <v>25.2</v>
      </c>
      <c r="I35" s="4">
        <v>25.74</v>
      </c>
      <c r="J35" s="8">
        <f t="shared" si="1"/>
        <v>-0.00104</v>
      </c>
      <c r="K35" s="8">
        <f t="shared" si="2"/>
        <v>0.00000437</v>
      </c>
      <c r="L35" s="8">
        <f t="shared" si="3"/>
        <v>-23798.627</v>
      </c>
    </row>
    <row r="36">
      <c r="A36" s="4">
        <v>600.0</v>
      </c>
      <c r="B36" s="3">
        <v>16.37</v>
      </c>
      <c r="C36" s="4" t="s">
        <v>17</v>
      </c>
      <c r="D36" s="4">
        <v>-29.1</v>
      </c>
      <c r="E36" s="4">
        <v>188.8</v>
      </c>
      <c r="F36" s="4">
        <v>8141.0</v>
      </c>
      <c r="G36" s="4">
        <v>-6925.0</v>
      </c>
      <c r="H36" s="4">
        <v>27.7</v>
      </c>
      <c r="I36" s="4">
        <v>27.59</v>
      </c>
      <c r="J36" s="8">
        <f t="shared" si="1"/>
        <v>-0.000593</v>
      </c>
      <c r="K36" s="8">
        <f t="shared" si="2"/>
        <v>0.00000338</v>
      </c>
      <c r="L36" s="8">
        <f t="shared" si="3"/>
        <v>-17544.3787</v>
      </c>
    </row>
    <row r="37">
      <c r="A37" s="4">
        <v>650.0</v>
      </c>
      <c r="B37" s="3">
        <v>16.71</v>
      </c>
      <c r="C37" s="4" t="s">
        <v>17</v>
      </c>
      <c r="D37" s="4">
        <v>-14.9</v>
      </c>
      <c r="E37" s="4">
        <v>167.7</v>
      </c>
      <c r="F37" s="4">
        <v>7661.0</v>
      </c>
      <c r="G37" s="4">
        <v>-5121.0</v>
      </c>
      <c r="H37" s="4">
        <v>30.0</v>
      </c>
      <c r="I37" s="4">
        <v>29.37</v>
      </c>
      <c r="J37" s="8">
        <f t="shared" si="1"/>
        <v>-0.00028</v>
      </c>
      <c r="K37" s="8">
        <f t="shared" si="2"/>
        <v>0.00000271</v>
      </c>
      <c r="L37" s="8">
        <f t="shared" si="3"/>
        <v>-10332.10332</v>
      </c>
    </row>
    <row r="38">
      <c r="A38" s="4">
        <v>700.0</v>
      </c>
      <c r="B38" s="3">
        <v>16.99</v>
      </c>
      <c r="C38" s="4" t="s">
        <v>17</v>
      </c>
      <c r="D38" s="4">
        <v>-3.1</v>
      </c>
      <c r="E38" s="4">
        <v>150.6</v>
      </c>
      <c r="F38" s="4">
        <v>7334.0</v>
      </c>
      <c r="G38" s="4">
        <v>-3752.0</v>
      </c>
      <c r="H38" s="4">
        <v>32.3</v>
      </c>
      <c r="I38" s="4">
        <v>31.08</v>
      </c>
      <c r="J38" s="8">
        <f t="shared" si="1"/>
        <v>-0.0000541</v>
      </c>
      <c r="K38" s="8">
        <f t="shared" si="2"/>
        <v>0.00000224</v>
      </c>
      <c r="L38" s="8">
        <f t="shared" si="3"/>
        <v>-2415.178571</v>
      </c>
    </row>
    <row r="39">
      <c r="A39" s="4">
        <v>750.0</v>
      </c>
      <c r="B39" s="3">
        <v>17.22</v>
      </c>
      <c r="C39" s="4" t="s">
        <v>17</v>
      </c>
      <c r="D39" s="4">
        <v>6.8</v>
      </c>
      <c r="E39" s="4">
        <v>136.5</v>
      </c>
      <c r="F39" s="4">
        <v>7112.0</v>
      </c>
      <c r="G39" s="4">
        <v>-2709.0</v>
      </c>
      <c r="H39" s="4">
        <v>34.4</v>
      </c>
      <c r="I39" s="4">
        <v>32.73</v>
      </c>
      <c r="J39" s="8">
        <f t="shared" si="1"/>
        <v>0.000111</v>
      </c>
      <c r="K39" s="8">
        <f t="shared" si="2"/>
        <v>0.00000189</v>
      </c>
      <c r="L39" s="8">
        <f t="shared" si="3"/>
        <v>5873.015873</v>
      </c>
    </row>
    <row r="40">
      <c r="A40" s="4">
        <v>800.0</v>
      </c>
      <c r="B40" s="4">
        <v>17.42</v>
      </c>
      <c r="C40" s="4" t="s">
        <v>17</v>
      </c>
      <c r="D40" s="4">
        <v>15.2</v>
      </c>
      <c r="E40" s="4">
        <v>124.6</v>
      </c>
      <c r="F40" s="4">
        <v>6964.0</v>
      </c>
      <c r="G40" s="4">
        <v>-1910.0</v>
      </c>
      <c r="H40" s="4">
        <v>36.5</v>
      </c>
      <c r="I40" s="4">
        <v>34.32</v>
      </c>
      <c r="J40" s="8">
        <f t="shared" si="1"/>
        <v>0.000232</v>
      </c>
      <c r="K40" s="8">
        <f t="shared" si="2"/>
        <v>0.00000163</v>
      </c>
      <c r="L40" s="8">
        <f t="shared" si="3"/>
        <v>14233.12883</v>
      </c>
    </row>
    <row r="41">
      <c r="A41" s="4">
        <v>850.0</v>
      </c>
      <c r="B41" s="3">
        <v>17.58</v>
      </c>
      <c r="C41" s="4" t="s">
        <v>17</v>
      </c>
      <c r="D41" s="4">
        <v>22.4</v>
      </c>
      <c r="E41" s="4">
        <v>114.5</v>
      </c>
      <c r="F41" s="4">
        <v>6867.0</v>
      </c>
      <c r="G41" s="4">
        <v>-1295.0</v>
      </c>
      <c r="H41" s="4">
        <v>38.4</v>
      </c>
      <c r="I41" s="4">
        <v>35.84</v>
      </c>
      <c r="J41" s="8">
        <f t="shared" si="1"/>
        <v>0.000322</v>
      </c>
      <c r="K41" s="8">
        <f t="shared" si="2"/>
        <v>0.00000142</v>
      </c>
      <c r="L41" s="8">
        <f t="shared" si="3"/>
        <v>22676.05634</v>
      </c>
    </row>
    <row r="42">
      <c r="A42" s="4">
        <v>900.0</v>
      </c>
      <c r="B42" s="3">
        <v>17.73</v>
      </c>
      <c r="C42" s="4" t="s">
        <v>17</v>
      </c>
      <c r="D42" s="4">
        <v>28.7</v>
      </c>
      <c r="E42" s="4">
        <v>105.8</v>
      </c>
      <c r="F42" s="4">
        <v>6807.0</v>
      </c>
      <c r="G42" s="4">
        <v>-819.0</v>
      </c>
      <c r="H42" s="4" t="s">
        <v>17</v>
      </c>
      <c r="I42" s="4" t="s">
        <v>17</v>
      </c>
      <c r="J42" s="8">
        <f t="shared" si="1"/>
        <v>0.00039</v>
      </c>
      <c r="K42" s="8">
        <f t="shared" si="2"/>
        <v>0.00000126</v>
      </c>
      <c r="L42" s="8">
        <f t="shared" si="3"/>
        <v>30952.38095</v>
      </c>
    </row>
    <row r="43">
      <c r="A43" s="4">
        <v>950.0</v>
      </c>
      <c r="B43" s="3">
        <v>17.85</v>
      </c>
      <c r="C43" s="4" t="s">
        <v>17</v>
      </c>
      <c r="D43" s="4">
        <v>34.2</v>
      </c>
      <c r="E43" s="4">
        <v>98.2</v>
      </c>
      <c r="F43" s="4">
        <v>6773.0</v>
      </c>
      <c r="G43" s="4">
        <v>-449.0</v>
      </c>
      <c r="H43" s="4" t="s">
        <v>17</v>
      </c>
      <c r="I43" s="4" t="s">
        <v>17</v>
      </c>
      <c r="J43" s="8">
        <f t="shared" si="1"/>
        <v>0.00044</v>
      </c>
      <c r="K43" s="8">
        <f t="shared" si="2"/>
        <v>0.00000112</v>
      </c>
      <c r="L43" s="8">
        <f t="shared" si="3"/>
        <v>39285.71429</v>
      </c>
    </row>
    <row r="44">
      <c r="A44" s="4">
        <v>1000.0</v>
      </c>
      <c r="B44" s="3">
        <v>17.95</v>
      </c>
      <c r="C44" s="4" t="s">
        <v>17</v>
      </c>
      <c r="D44" s="4">
        <v>39.1</v>
      </c>
      <c r="E44" s="4">
        <v>91.5</v>
      </c>
      <c r="F44" s="4">
        <v>6758.0</v>
      </c>
      <c r="G44" s="4">
        <v>-162.0</v>
      </c>
      <c r="H44" s="4" t="s">
        <v>17</v>
      </c>
      <c r="I44" s="4" t="s">
        <v>17</v>
      </c>
      <c r="J44" s="8">
        <f t="shared" si="1"/>
        <v>0.000478</v>
      </c>
      <c r="K44" s="8">
        <f t="shared" si="2"/>
        <v>0.00000101</v>
      </c>
      <c r="L44" s="8">
        <f t="shared" si="3"/>
        <v>47326.73267</v>
      </c>
    </row>
  </sheetData>
  <mergeCells count="1">
    <mergeCell ref="D2:G2"/>
  </mergeCells>
  <hyperlinks>
    <hyperlink r:id="rId1" location="ref6" ref="C3"/>
    <hyperlink r:id="rId2" location="ref5" ref="D3"/>
    <hyperlink r:id="rId3" location="ref5" ref="E3"/>
    <hyperlink r:id="rId4" location="ref5" ref="F3"/>
    <hyperlink r:id="rId5" location="ref5" ref="G3"/>
    <hyperlink r:id="rId6" location="ref7" ref="H3"/>
    <hyperlink r:id="rId7" location="ref7" ref="I3"/>
  </hyperlinks>
  <drawing r:id="rId8"/>
</worksheet>
</file>