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winne\Documents\Direct Series Configurator\"/>
    </mc:Choice>
  </mc:AlternateContent>
  <bookViews>
    <workbookView xWindow="5610" yWindow="7290" windowWidth="16500" windowHeight="7245" tabRatio="751" activeTab="1"/>
  </bookViews>
  <sheets>
    <sheet name="MENU" sheetId="1" r:id="rId1"/>
    <sheet name="WORKCELL CONFIGURATOR" sheetId="2" r:id="rId2"/>
    <sheet name="WORKCELL BOM" sheetId="4" r:id="rId3"/>
    <sheet name="WORKCELL FORMS" sheetId="6" r:id="rId4"/>
    <sheet name="WORKCELL DATA" sheetId="7" r:id="rId5"/>
    <sheet name="Material" sheetId="5" r:id="rId6"/>
    <sheet name="Data" sheetId="3" r:id="rId7"/>
    <sheet name="Revisions" sheetId="8" r:id="rId8"/>
    <sheet name="IMAGES" sheetId="9" r:id="rId9"/>
  </sheets>
  <definedNames>
    <definedName name="Abchimie">Material!$D$2:$D$4</definedName>
    <definedName name="AVAIL_DELIV">'WORKCELL CONFIGURATOR'!$R$8:$R$9</definedName>
    <definedName name="CAMERA">MENU!$B$70:$B$72</definedName>
    <definedName name="Certification">Data!$E$4:$E$6</definedName>
    <definedName name="CONOP">MENU!$B$65:$B$67</definedName>
    <definedName name="CONVEYOR">MENU!$B$56:$B$63</definedName>
    <definedName name="DEPT">Data!$J$4:$J$10</definedName>
    <definedName name="Direction">Data!$B$4:$B$5</definedName>
    <definedName name="DISPENSE_HEAD">MENU!$B$32:$B$41</definedName>
    <definedName name="DispenseHead_Lookup">IF(PicsOn=1,INDEX(IMAGES!$A$2:$B$30,MATCH('WORKCELL BOM'!$L$24,IMAGES!$A$2:$A$30,0),2))</definedName>
    <definedName name="DOWC">Material!$D$5:$D$12</definedName>
    <definedName name="Dymax">Material!$D$13:$D$20</definedName>
    <definedName name="ELANTAS">Material!$D$21:$D$26</definedName>
    <definedName name="Electrolube">Material!$D$27:$D$34</definedName>
    <definedName name="FLUID_DELIVERY">MENU!$B$8:$B$29</definedName>
    <definedName name="HENKEL">Material!$D$35:$D$38</definedName>
    <definedName name="Humiseal">Material!$D$39:$D$60</definedName>
    <definedName name="Manufacturers">Material!$A$2:$A$10</definedName>
    <definedName name="Material">SMALL(IF(Material!XFA1048557:XFA48='WORKCELL CONFIGURATOR'!XFB1048576,ROW(Material!XFB1048557:XFC48)),ROW('WORKCELL CONFIGURATOR'!1048553:1048553))</definedName>
    <definedName name="No">Data!$A$8</definedName>
    <definedName name="Other">Material!$D$71</definedName>
    <definedName name="Peters">Material!$D$61:$D$70</definedName>
    <definedName name="PicsOn">1</definedName>
    <definedName name="POD">MENU!$B$44:$B$52</definedName>
    <definedName name="POD_NOSPRAY">MENU!$B$44:$B$48</definedName>
    <definedName name="_xlnm.Print_Area" localSheetId="0">MENU!$A$1:$Y$101</definedName>
    <definedName name="_xlnm.Print_Area" localSheetId="1">'WORKCELL CONFIGURATOR'!$F$1:$I$69</definedName>
    <definedName name="PVASALES">Data!$I$4:$I$12</definedName>
    <definedName name="SolventFlush">Data!$D$4:$D$6</definedName>
    <definedName name="UNMOUNTED">MENU!$B$92:$B$100</definedName>
    <definedName name="Voltage">Data!$C$4:$C$5</definedName>
    <definedName name="WORK_CELL">MENU!$B$4:$B$5</definedName>
    <definedName name="YesNo">Data!$A$4:$A$5</definedName>
  </definedNames>
  <calcPr calcId="152511"/>
</workbook>
</file>

<file path=xl/calcChain.xml><?xml version="1.0" encoding="utf-8"?>
<calcChain xmlns="http://schemas.openxmlformats.org/spreadsheetml/2006/main">
  <c r="L10" i="4" l="1"/>
  <c r="F4" i="7" l="1"/>
  <c r="C21" i="2" l="1"/>
  <c r="D22" i="2"/>
  <c r="A5" i="9" l="1"/>
  <c r="A6" i="9"/>
  <c r="A7" i="9"/>
  <c r="A8" i="9"/>
  <c r="A10" i="9"/>
  <c r="A4" i="9"/>
  <c r="I38" i="1" l="1"/>
  <c r="G38" i="1"/>
  <c r="S18" i="2"/>
  <c r="L52" i="4" l="1"/>
  <c r="A20" i="2" l="1"/>
  <c r="I40" i="4" l="1"/>
  <c r="I41" i="4"/>
  <c r="L27" i="2" l="1"/>
  <c r="L25" i="2"/>
  <c r="L23" i="2"/>
  <c r="L21" i="2"/>
  <c r="L19" i="2"/>
  <c r="B21" i="2" s="1"/>
  <c r="A21" i="2" s="1"/>
  <c r="L9" i="2"/>
  <c r="L8" i="2"/>
  <c r="O11" i="4" l="1"/>
  <c r="O12" i="4"/>
  <c r="O16" i="4"/>
  <c r="O17" i="4"/>
  <c r="O21" i="4"/>
  <c r="O22" i="4"/>
  <c r="O23" i="4"/>
  <c r="O25" i="4"/>
  <c r="O27" i="4"/>
  <c r="O29" i="4"/>
  <c r="O31" i="4"/>
  <c r="O33" i="4"/>
  <c r="O34" i="4"/>
  <c r="O35" i="4"/>
  <c r="O36" i="4"/>
  <c r="O37" i="4"/>
  <c r="O38" i="4"/>
  <c r="O43" i="4"/>
  <c r="O45" i="4"/>
  <c r="M10" i="4"/>
  <c r="N10" i="4"/>
  <c r="M11" i="4"/>
  <c r="N11" i="4"/>
  <c r="M12" i="4"/>
  <c r="N12" i="4"/>
  <c r="M14" i="4"/>
  <c r="N14" i="4"/>
  <c r="M16" i="4"/>
  <c r="N16" i="4"/>
  <c r="M17" i="4"/>
  <c r="N17" i="4"/>
  <c r="M19" i="4"/>
  <c r="N19" i="4"/>
  <c r="M20" i="4"/>
  <c r="N20" i="4"/>
  <c r="M21" i="4"/>
  <c r="N21" i="4"/>
  <c r="M22" i="4"/>
  <c r="N22" i="4"/>
  <c r="M23" i="4"/>
  <c r="N23" i="4"/>
  <c r="M25" i="4"/>
  <c r="N25" i="4"/>
  <c r="M27" i="4"/>
  <c r="N27" i="4"/>
  <c r="M29" i="4"/>
  <c r="N29" i="4"/>
  <c r="M31" i="4"/>
  <c r="N31" i="4"/>
  <c r="M33" i="4"/>
  <c r="N33" i="4"/>
  <c r="M34" i="4"/>
  <c r="N34" i="4"/>
  <c r="M35" i="4"/>
  <c r="N35" i="4"/>
  <c r="M36" i="4"/>
  <c r="N36" i="4"/>
  <c r="M37" i="4"/>
  <c r="N37" i="4"/>
  <c r="M38" i="4"/>
  <c r="N38" i="4"/>
  <c r="M40" i="4"/>
  <c r="N40" i="4"/>
  <c r="M43" i="4"/>
  <c r="N43" i="4"/>
  <c r="M45" i="4"/>
  <c r="N45" i="4"/>
  <c r="P10" i="4"/>
  <c r="P11" i="4"/>
  <c r="P12" i="4"/>
  <c r="P14" i="4"/>
  <c r="P16" i="4"/>
  <c r="P17" i="4"/>
  <c r="P19" i="4"/>
  <c r="P20" i="4"/>
  <c r="P21" i="4"/>
  <c r="P22" i="4"/>
  <c r="P23" i="4"/>
  <c r="P25" i="4"/>
  <c r="P27" i="4"/>
  <c r="P29" i="4"/>
  <c r="P31" i="4"/>
  <c r="P33" i="4"/>
  <c r="P34" i="4"/>
  <c r="P35" i="4"/>
  <c r="P36" i="4"/>
  <c r="P37" i="4"/>
  <c r="P38" i="4"/>
  <c r="P40" i="4"/>
  <c r="P43" i="4"/>
  <c r="P45" i="4"/>
  <c r="Q10" i="4"/>
  <c r="Q11" i="4"/>
  <c r="Q12" i="4"/>
  <c r="Q14" i="4"/>
  <c r="Q16" i="4"/>
  <c r="Q17" i="4"/>
  <c r="Q19" i="4"/>
  <c r="Q20" i="4"/>
  <c r="Q21" i="4"/>
  <c r="Q22" i="4"/>
  <c r="Q23" i="4"/>
  <c r="Q25" i="4"/>
  <c r="Q27" i="4"/>
  <c r="Q29" i="4"/>
  <c r="Q31" i="4"/>
  <c r="Q33" i="4"/>
  <c r="Q34" i="4"/>
  <c r="Q35" i="4"/>
  <c r="Q36" i="4"/>
  <c r="Q37" i="4"/>
  <c r="Q38" i="4"/>
  <c r="Q40" i="4"/>
  <c r="Q43" i="4"/>
  <c r="Q45" i="4"/>
  <c r="R10" i="4"/>
  <c r="R11" i="4"/>
  <c r="R12" i="4"/>
  <c r="R16" i="4"/>
  <c r="R17" i="4"/>
  <c r="R19" i="4"/>
  <c r="R20" i="4"/>
  <c r="R21" i="4"/>
  <c r="R22" i="4"/>
  <c r="R23" i="4"/>
  <c r="R25" i="4"/>
  <c r="R27" i="4"/>
  <c r="R29" i="4"/>
  <c r="R31" i="4"/>
  <c r="R33" i="4"/>
  <c r="R34" i="4"/>
  <c r="R35" i="4"/>
  <c r="R36" i="4"/>
  <c r="R37" i="4"/>
  <c r="R38" i="4"/>
  <c r="R40" i="4"/>
  <c r="R43" i="4"/>
  <c r="R45" i="4"/>
  <c r="B53" i="4"/>
  <c r="B14" i="4"/>
  <c r="C14" i="4"/>
  <c r="B15" i="4"/>
  <c r="C15" i="4"/>
  <c r="B18" i="4"/>
  <c r="C18" i="4"/>
  <c r="B19" i="4"/>
  <c r="C19" i="4"/>
  <c r="B20" i="4"/>
  <c r="C20" i="4"/>
  <c r="B24" i="4"/>
  <c r="C24" i="4"/>
  <c r="B26" i="4"/>
  <c r="C26" i="4"/>
  <c r="B28" i="4"/>
  <c r="C28" i="4"/>
  <c r="B30" i="4"/>
  <c r="C30" i="4"/>
  <c r="B32" i="4"/>
  <c r="C32" i="4"/>
  <c r="B39" i="4"/>
  <c r="C39" i="4"/>
  <c r="B41" i="4"/>
  <c r="C41" i="4"/>
  <c r="B42" i="4"/>
  <c r="C42" i="4"/>
  <c r="B44" i="4"/>
  <c r="C44" i="4"/>
  <c r="B46" i="4"/>
  <c r="C46" i="4"/>
  <c r="B47" i="4"/>
  <c r="C47" i="4"/>
  <c r="B48" i="4"/>
  <c r="C48" i="4"/>
  <c r="B49" i="4"/>
  <c r="C49" i="4"/>
  <c r="L33" i="2"/>
  <c r="K33" i="2" s="1"/>
  <c r="G33" i="2"/>
  <c r="I42" i="4" s="1"/>
  <c r="A44" i="4" l="1"/>
  <c r="A18" i="4"/>
  <c r="A46" i="4"/>
  <c r="A42" i="4"/>
  <c r="A28" i="4"/>
  <c r="A26" i="4"/>
  <c r="A24" i="4"/>
  <c r="A19" i="4"/>
  <c r="A15" i="4"/>
  <c r="A49" i="4"/>
  <c r="A48" i="4"/>
  <c r="A47" i="4"/>
  <c r="A41" i="4"/>
  <c r="A39" i="4"/>
  <c r="A32" i="4"/>
  <c r="A30" i="4"/>
  <c r="A20" i="4"/>
  <c r="A14" i="4"/>
  <c r="A4" i="1" l="1"/>
  <c r="D4" i="7" l="1"/>
  <c r="D37" i="2" l="1"/>
  <c r="D38" i="2"/>
  <c r="C38" i="2"/>
  <c r="B38" i="2"/>
  <c r="A38" i="2" l="1"/>
  <c r="L37" i="2"/>
  <c r="K37" i="2" s="1"/>
  <c r="L38" i="2"/>
  <c r="K38" i="2" s="1"/>
  <c r="G38" i="2" l="1"/>
  <c r="I47" i="4" s="1"/>
  <c r="P47" i="4" l="1"/>
  <c r="Q47" i="4"/>
  <c r="M47" i="4"/>
  <c r="N47" i="4"/>
  <c r="R47" i="4"/>
  <c r="O47" i="4"/>
  <c r="S69" i="6"/>
  <c r="S70" i="6"/>
  <c r="S47" i="4" l="1"/>
  <c r="A50" i="4" l="1"/>
  <c r="L40" i="4" l="1"/>
  <c r="O40" i="4" l="1"/>
  <c r="C32" i="2"/>
  <c r="B32" i="2"/>
  <c r="M41" i="4" l="1"/>
  <c r="P41" i="4"/>
  <c r="N41" i="4"/>
  <c r="Q41" i="4"/>
  <c r="O41" i="4"/>
  <c r="A32" i="2"/>
  <c r="S41" i="4" l="1"/>
  <c r="I28" i="1" l="1"/>
  <c r="G28" i="1"/>
  <c r="A65" i="2" l="1"/>
  <c r="A66" i="2"/>
  <c r="A67" i="2"/>
  <c r="A68" i="2"/>
  <c r="A69" i="2"/>
  <c r="A64" i="2"/>
  <c r="I64" i="4" l="1"/>
  <c r="I65" i="4"/>
  <c r="I66" i="4"/>
  <c r="I63" i="4"/>
  <c r="H64" i="4"/>
  <c r="H65" i="4"/>
  <c r="H66" i="4"/>
  <c r="H63" i="4"/>
  <c r="C47" i="2"/>
  <c r="C46" i="2"/>
  <c r="B47" i="2"/>
  <c r="B46" i="2"/>
  <c r="C45" i="2"/>
  <c r="B45" i="2"/>
  <c r="K45" i="2"/>
  <c r="K46" i="2"/>
  <c r="K47" i="2"/>
  <c r="K44" i="2"/>
  <c r="A47" i="2" l="1"/>
  <c r="G66" i="4"/>
  <c r="A66" i="4" s="1"/>
  <c r="R66" i="4"/>
  <c r="L66" i="4"/>
  <c r="G65" i="4"/>
  <c r="A65" i="4" s="1"/>
  <c r="R65" i="4"/>
  <c r="G64" i="4"/>
  <c r="A64" i="4" s="1"/>
  <c r="R64" i="4"/>
  <c r="G63" i="4"/>
  <c r="R63" i="4"/>
  <c r="A46" i="2"/>
  <c r="A45" i="2"/>
  <c r="A63" i="4" l="1"/>
  <c r="S66" i="4"/>
  <c r="S65" i="4"/>
  <c r="S64" i="4"/>
  <c r="S63" i="4"/>
  <c r="R62" i="4" l="1"/>
  <c r="L62" i="4" l="1"/>
  <c r="G43" i="2"/>
  <c r="G62" i="4"/>
  <c r="L61" i="4"/>
  <c r="A43" i="2"/>
  <c r="A62" i="4" l="1"/>
  <c r="A61" i="4"/>
  <c r="A60" i="4"/>
  <c r="S62" i="4"/>
  <c r="C39" i="2"/>
  <c r="B39" i="2"/>
  <c r="C37" i="2"/>
  <c r="B37" i="2"/>
  <c r="B33" i="2"/>
  <c r="B31" i="2"/>
  <c r="G30" i="2" s="1"/>
  <c r="A37" i="2" l="1"/>
  <c r="A39" i="2"/>
  <c r="C9" i="2" l="1"/>
  <c r="B24" i="2"/>
  <c r="C10" i="2"/>
  <c r="C17" i="2"/>
  <c r="B17" i="2"/>
  <c r="C16" i="2"/>
  <c r="B16" i="2"/>
  <c r="C15" i="2"/>
  <c r="B14" i="2"/>
  <c r="C14" i="2"/>
  <c r="A13" i="2"/>
  <c r="B10" i="2"/>
  <c r="I13" i="4"/>
  <c r="I15" i="4"/>
  <c r="I18" i="4"/>
  <c r="I24" i="4"/>
  <c r="I26" i="4"/>
  <c r="I28" i="4"/>
  <c r="I30" i="4"/>
  <c r="I32" i="4"/>
  <c r="L36" i="4"/>
  <c r="I39" i="4"/>
  <c r="I44" i="4"/>
  <c r="G37" i="2"/>
  <c r="I46" i="4" s="1"/>
  <c r="G39" i="2"/>
  <c r="H48" i="4" s="1"/>
  <c r="I48" i="4" s="1"/>
  <c r="I9" i="4"/>
  <c r="I7" i="4" s="1"/>
  <c r="G40" i="2"/>
  <c r="H49" i="4" s="1"/>
  <c r="I49" i="4" s="1"/>
  <c r="B13" i="4"/>
  <c r="C13" i="4"/>
  <c r="G52" i="4"/>
  <c r="R52" i="4"/>
  <c r="F54" i="2"/>
  <c r="J7" i="4" s="1"/>
  <c r="B13" i="3"/>
  <c r="B14" i="3"/>
  <c r="O10" i="4"/>
  <c r="E13" i="3"/>
  <c r="E14" i="3"/>
  <c r="T52" i="2"/>
  <c r="T51" i="2"/>
  <c r="T50" i="2"/>
  <c r="P5" i="1"/>
  <c r="O5" i="1"/>
  <c r="P4" i="1"/>
  <c r="O4" i="1"/>
  <c r="L54" i="4"/>
  <c r="I55" i="4"/>
  <c r="L55" i="4" s="1"/>
  <c r="I56" i="4"/>
  <c r="L56" i="4" s="1"/>
  <c r="I57" i="4"/>
  <c r="L57" i="4" s="1"/>
  <c r="I58" i="4"/>
  <c r="L58" i="4" s="1"/>
  <c r="I59" i="4"/>
  <c r="L59" i="4" s="1"/>
  <c r="L53" i="4"/>
  <c r="A71" i="1"/>
  <c r="A72" i="1" s="1"/>
  <c r="A33" i="1"/>
  <c r="A34" i="1" s="1"/>
  <c r="A35" i="1" s="1"/>
  <c r="A36" i="1" s="1"/>
  <c r="A37" i="1" s="1"/>
  <c r="A38" i="1" s="1"/>
  <c r="A39" i="1" s="1"/>
  <c r="A40" i="1" s="1"/>
  <c r="A41" i="1" s="1"/>
  <c r="T77" i="6"/>
  <c r="T75" i="6"/>
  <c r="M50" i="6"/>
  <c r="B50" i="6"/>
  <c r="M3" i="6"/>
  <c r="B3" i="6"/>
  <c r="U66" i="6"/>
  <c r="U65" i="6"/>
  <c r="C4" i="7"/>
  <c r="B54" i="4"/>
  <c r="C54" i="4"/>
  <c r="D54" i="4"/>
  <c r="B55" i="4"/>
  <c r="C55" i="4"/>
  <c r="D55" i="4"/>
  <c r="B56" i="4"/>
  <c r="C56" i="4"/>
  <c r="D56" i="4"/>
  <c r="B57" i="4"/>
  <c r="C57" i="4"/>
  <c r="D57" i="4"/>
  <c r="B58" i="4"/>
  <c r="C58" i="4"/>
  <c r="D58" i="4"/>
  <c r="B59" i="4"/>
  <c r="C59" i="4"/>
  <c r="D59" i="4"/>
  <c r="C53" i="4"/>
  <c r="D53" i="4"/>
  <c r="A52" i="4"/>
  <c r="A51" i="4"/>
  <c r="H55" i="4"/>
  <c r="H54" i="4"/>
  <c r="H53" i="4"/>
  <c r="H56" i="4"/>
  <c r="L51" i="4"/>
  <c r="K28" i="4"/>
  <c r="K30" i="4"/>
  <c r="K32" i="4"/>
  <c r="K26" i="4"/>
  <c r="L16" i="4"/>
  <c r="L17" i="4"/>
  <c r="L21" i="4"/>
  <c r="L22" i="4"/>
  <c r="L23" i="4"/>
  <c r="L25" i="4"/>
  <c r="L27" i="4"/>
  <c r="L29" i="4"/>
  <c r="L31" i="4"/>
  <c r="L33" i="4"/>
  <c r="L38" i="4"/>
  <c r="L43" i="4"/>
  <c r="L45" i="4"/>
  <c r="C33" i="2"/>
  <c r="A33" i="2" s="1"/>
  <c r="C31" i="2"/>
  <c r="A31" i="2" s="1"/>
  <c r="H52" i="4"/>
  <c r="G4" i="2"/>
  <c r="I6" i="4"/>
  <c r="I5" i="4"/>
  <c r="P8" i="4"/>
  <c r="A7" i="2"/>
  <c r="M9" i="2"/>
  <c r="O9" i="2"/>
  <c r="P9" i="2"/>
  <c r="M8" i="2"/>
  <c r="O8" i="2"/>
  <c r="P8" i="2"/>
  <c r="A11" i="2"/>
  <c r="A12" i="2"/>
  <c r="K19" i="2"/>
  <c r="K30" i="2"/>
  <c r="K35" i="2"/>
  <c r="K31" i="2"/>
  <c r="K17" i="2"/>
  <c r="K12" i="2"/>
  <c r="A90" i="1"/>
  <c r="A91" i="1" s="1"/>
  <c r="A93" i="1" s="1"/>
  <c r="A94" i="1" s="1"/>
  <c r="A95" i="1" s="1"/>
  <c r="A96" i="1" s="1"/>
  <c r="A97" i="1" s="1"/>
  <c r="A98" i="1" s="1"/>
  <c r="A99" i="1" s="1"/>
  <c r="A86" i="1"/>
  <c r="A87" i="1" s="1"/>
  <c r="A81" i="1"/>
  <c r="A82" i="1" s="1"/>
  <c r="A83" i="1" s="1"/>
  <c r="A19" i="1"/>
  <c r="A20" i="1" s="1"/>
  <c r="A21" i="1" s="1"/>
  <c r="A22" i="1" s="1"/>
  <c r="A23" i="1" s="1"/>
  <c r="A24" i="1" s="1"/>
  <c r="A25" i="1" s="1"/>
  <c r="A26" i="1" s="1"/>
  <c r="A27" i="1" s="1"/>
  <c r="A28" i="1" s="1"/>
  <c r="A29" i="1" s="1"/>
  <c r="A9" i="1"/>
  <c r="A10" i="1" s="1"/>
  <c r="A11" i="1" s="1"/>
  <c r="A12" i="1" s="1"/>
  <c r="A13" i="1" s="1"/>
  <c r="A14" i="1" s="1"/>
  <c r="A15" i="1" s="1"/>
  <c r="A16" i="1" s="1"/>
  <c r="A17" i="1" s="1"/>
  <c r="A75" i="1"/>
  <c r="A76" i="1" s="1"/>
  <c r="A77" i="1" s="1"/>
  <c r="A78" i="1" s="1"/>
  <c r="A57" i="1"/>
  <c r="A58" i="1" s="1"/>
  <c r="A59" i="1" s="1"/>
  <c r="A60" i="1" s="1"/>
  <c r="A61" i="1" s="1"/>
  <c r="A62" i="1" s="1"/>
  <c r="A63" i="1" s="1"/>
  <c r="A64" i="1" s="1"/>
  <c r="A66" i="1" s="1"/>
  <c r="A45" i="1"/>
  <c r="A46" i="1" s="1"/>
  <c r="A47" i="1" s="1"/>
  <c r="A48" i="1" s="1"/>
  <c r="A49" i="1" s="1"/>
  <c r="A50" i="1" s="1"/>
  <c r="A51" i="1" s="1"/>
  <c r="A52" i="1" s="1"/>
  <c r="A5" i="1"/>
  <c r="G6" i="2"/>
  <c r="G5" i="2"/>
  <c r="I1" i="1"/>
  <c r="G1" i="1"/>
  <c r="L3" i="4"/>
  <c r="B4" i="7" s="1"/>
  <c r="L2" i="4"/>
  <c r="B4" i="6" s="1"/>
  <c r="I3" i="4"/>
  <c r="L4" i="4"/>
  <c r="E4" i="7"/>
  <c r="S68" i="6"/>
  <c r="O64" i="6"/>
  <c r="M41" i="6"/>
  <c r="G50" i="6"/>
  <c r="R50" i="6"/>
  <c r="R3" i="6"/>
  <c r="G3" i="6"/>
  <c r="I2" i="4"/>
  <c r="D6" i="3"/>
  <c r="D5" i="3"/>
  <c r="V9" i="4" l="1"/>
  <c r="M9" i="4"/>
  <c r="O9" i="4"/>
  <c r="N9" i="4"/>
  <c r="Q9" i="4"/>
  <c r="P9" i="4"/>
  <c r="M44" i="4"/>
  <c r="N44" i="4"/>
  <c r="P44" i="4"/>
  <c r="Q44" i="4"/>
  <c r="P39" i="4"/>
  <c r="N39" i="4"/>
  <c r="Q39" i="4"/>
  <c r="M39" i="4"/>
  <c r="M32" i="4"/>
  <c r="Q32" i="4"/>
  <c r="N32" i="4"/>
  <c r="P32" i="4"/>
  <c r="R32" i="4"/>
  <c r="M30" i="4"/>
  <c r="N30" i="4"/>
  <c r="P30" i="4"/>
  <c r="Q30" i="4"/>
  <c r="N28" i="4"/>
  <c r="P28" i="4"/>
  <c r="M28" i="4"/>
  <c r="Q28" i="4"/>
  <c r="P26" i="4"/>
  <c r="Q26" i="4"/>
  <c r="N26" i="4"/>
  <c r="M26" i="4"/>
  <c r="P24" i="4"/>
  <c r="M24" i="4"/>
  <c r="Q24" i="4"/>
  <c r="N24" i="4"/>
  <c r="M18" i="4"/>
  <c r="Q18" i="4"/>
  <c r="N18" i="4"/>
  <c r="R18" i="4"/>
  <c r="P18" i="4"/>
  <c r="R15" i="4"/>
  <c r="P15" i="4"/>
  <c r="Q15" i="4"/>
  <c r="M15" i="4"/>
  <c r="N15" i="4"/>
  <c r="Q13" i="4"/>
  <c r="P13" i="4"/>
  <c r="N13" i="4"/>
  <c r="M13" i="4"/>
  <c r="P49" i="4"/>
  <c r="M49" i="4"/>
  <c r="N49" i="4"/>
  <c r="Q49" i="4"/>
  <c r="R48" i="4"/>
  <c r="Q48" i="4"/>
  <c r="N48" i="4"/>
  <c r="P48" i="4"/>
  <c r="M48" i="4"/>
  <c r="P46" i="4"/>
  <c r="R46" i="4"/>
  <c r="Q46" i="4"/>
  <c r="M46" i="4"/>
  <c r="N46" i="4"/>
  <c r="M51" i="6"/>
  <c r="S23" i="4"/>
  <c r="A10" i="2"/>
  <c r="B51" i="6"/>
  <c r="A4" i="7"/>
  <c r="M4" i="6"/>
  <c r="G49" i="4"/>
  <c r="O49" i="4" s="1"/>
  <c r="A56" i="4"/>
  <c r="G56" i="4" s="1"/>
  <c r="S40" i="4"/>
  <c r="S29" i="4"/>
  <c r="O44" i="4"/>
  <c r="A57" i="4"/>
  <c r="G57" i="4" s="1"/>
  <c r="R4" i="6"/>
  <c r="O24" i="4"/>
  <c r="R51" i="6"/>
  <c r="G51" i="6"/>
  <c r="S52" i="4"/>
  <c r="G4" i="6"/>
  <c r="A55" i="4"/>
  <c r="G55" i="4" s="1"/>
  <c r="U9" i="4"/>
  <c r="L39" i="4" s="1"/>
  <c r="L32" i="4"/>
  <c r="O30" i="4"/>
  <c r="S45" i="4"/>
  <c r="S38" i="4"/>
  <c r="S27" i="4"/>
  <c r="O28" i="4"/>
  <c r="O19" i="4"/>
  <c r="A54" i="4"/>
  <c r="G54" i="4" s="1"/>
  <c r="O15" i="4"/>
  <c r="S31" i="4"/>
  <c r="S22" i="4"/>
  <c r="G48" i="4"/>
  <c r="O48" i="4" s="1"/>
  <c r="O46" i="4"/>
  <c r="A59" i="4"/>
  <c r="G59" i="4" s="1"/>
  <c r="O32" i="4"/>
  <c r="A58" i="4"/>
  <c r="G58" i="4" s="1"/>
  <c r="O26" i="4"/>
  <c r="O18" i="4"/>
  <c r="O14" i="4"/>
  <c r="S33" i="4"/>
  <c r="S25" i="4"/>
  <c r="O39" i="4"/>
  <c r="O20" i="4"/>
  <c r="A13" i="4"/>
  <c r="O13" i="4" s="1"/>
  <c r="A53" i="4"/>
  <c r="G53" i="4" s="1"/>
  <c r="S43" i="4"/>
  <c r="A24" i="2"/>
  <c r="L37" i="4"/>
  <c r="L28" i="2"/>
  <c r="B22" i="2"/>
  <c r="A22" i="2" s="1"/>
  <c r="A23" i="2"/>
  <c r="A25" i="2"/>
  <c r="A27" i="2"/>
  <c r="B26" i="2"/>
  <c r="A26" i="2" s="1"/>
  <c r="A17" i="2"/>
  <c r="B15" i="2"/>
  <c r="A15" i="2" s="1"/>
  <c r="A16" i="2"/>
  <c r="A14" i="2"/>
  <c r="N9" i="2"/>
  <c r="Q9" i="2" s="1"/>
  <c r="R9" i="2" s="1"/>
  <c r="B28" i="2"/>
  <c r="A28" i="2" s="1"/>
  <c r="N8" i="2"/>
  <c r="Q8" i="2" s="1"/>
  <c r="R8" i="2" s="1"/>
  <c r="B9" i="2"/>
  <c r="A9" i="2" s="1"/>
  <c r="L47" i="4" l="1"/>
  <c r="L9" i="4"/>
  <c r="Q42" i="4"/>
  <c r="Q68" i="4" s="1"/>
  <c r="L1" i="2" s="1"/>
  <c r="F49" i="2" s="1"/>
  <c r="R42" i="4"/>
  <c r="M42" i="4"/>
  <c r="M68" i="4" s="1"/>
  <c r="N42" i="4"/>
  <c r="N68" i="4" s="1"/>
  <c r="P42" i="4"/>
  <c r="P68" i="4" s="1"/>
  <c r="U39" i="4" s="1"/>
  <c r="K27" i="2"/>
  <c r="K25" i="2"/>
  <c r="K23" i="2"/>
  <c r="K21" i="2"/>
  <c r="L65" i="4"/>
  <c r="L41" i="4"/>
  <c r="L64" i="4"/>
  <c r="L63" i="4"/>
  <c r="L24" i="4"/>
  <c r="L30" i="4"/>
  <c r="L44" i="4"/>
  <c r="L35" i="4"/>
  <c r="L34" i="4"/>
  <c r="L28" i="4"/>
  <c r="L26" i="4"/>
  <c r="L46" i="4"/>
  <c r="L18" i="4"/>
  <c r="L15" i="4"/>
  <c r="L13" i="4"/>
  <c r="S44" i="4"/>
  <c r="S36" i="4"/>
  <c r="S49" i="4"/>
  <c r="S48" i="4"/>
  <c r="S30" i="4"/>
  <c r="S24" i="4"/>
  <c r="L14" i="4"/>
  <c r="L42" i="4"/>
  <c r="L19" i="4"/>
  <c r="L49" i="4"/>
  <c r="S15" i="4"/>
  <c r="L48" i="4"/>
  <c r="S28" i="4"/>
  <c r="S19" i="4"/>
  <c r="S26" i="4"/>
  <c r="S14" i="4"/>
  <c r="S46" i="4"/>
  <c r="S35" i="4"/>
  <c r="S32" i="4"/>
  <c r="S18" i="4"/>
  <c r="S39" i="4"/>
  <c r="S37" i="4"/>
  <c r="S34" i="4"/>
  <c r="S20" i="4"/>
  <c r="S13" i="4"/>
  <c r="P70" i="4" l="1"/>
  <c r="L11" i="4" s="1"/>
  <c r="O42" i="4"/>
  <c r="O68" i="4" s="1"/>
  <c r="F50" i="2" s="1"/>
  <c r="S42" i="4"/>
  <c r="S68" i="4" s="1"/>
  <c r="I49" i="2" s="1"/>
  <c r="I4" i="4"/>
  <c r="G54" i="2"/>
  <c r="I50" i="2"/>
  <c r="L7" i="4" l="1"/>
  <c r="G52" i="2"/>
  <c r="L5" i="4" s="1"/>
  <c r="G53" i="2"/>
  <c r="L6" i="4" s="1"/>
</calcChain>
</file>

<file path=xl/comments1.xml><?xml version="1.0" encoding="utf-8"?>
<comments xmlns="http://schemas.openxmlformats.org/spreadsheetml/2006/main">
  <authors>
    <author>Jason Schoen</author>
  </authors>
  <commentList>
    <comment ref="G28" authorId="0" shapeId="0">
      <text>
        <r>
          <rPr>
            <b/>
            <sz val="9"/>
            <color indexed="81"/>
            <rFont val="Tahoma"/>
            <family val="2"/>
          </rPr>
          <t>Jason Schoen:</t>
        </r>
        <r>
          <rPr>
            <sz val="9"/>
            <color indexed="81"/>
            <rFont val="Tahoma"/>
            <family val="2"/>
          </rPr>
          <t xml:space="preserve">
CHANGES BASED ON VOLTAGE</t>
        </r>
      </text>
    </comment>
    <comment ref="I28" authorId="0" shapeId="0">
      <text>
        <r>
          <rPr>
            <b/>
            <sz val="9"/>
            <color indexed="81"/>
            <rFont val="Tahoma"/>
            <family val="2"/>
          </rPr>
          <t>Jason Schoen:</t>
        </r>
        <r>
          <rPr>
            <sz val="9"/>
            <color indexed="81"/>
            <rFont val="Tahoma"/>
            <family val="2"/>
          </rPr>
          <t xml:space="preserve">
CHANGES BASED ON VOLTAGE</t>
        </r>
      </text>
    </comment>
  </commentList>
</comments>
</file>

<file path=xl/comments2.xml><?xml version="1.0" encoding="utf-8"?>
<comments xmlns="http://schemas.openxmlformats.org/spreadsheetml/2006/main">
  <authors>
    <author>Jason Schoen</author>
  </authors>
  <commentList>
    <comment ref="A7" authorId="0" shapeId="0">
      <text>
        <r>
          <rPr>
            <b/>
            <sz val="9"/>
            <color indexed="81"/>
            <rFont val="Tahoma"/>
            <family val="2"/>
          </rPr>
          <t>Jason Schoen:</t>
        </r>
        <r>
          <rPr>
            <sz val="9"/>
            <color indexed="81"/>
            <rFont val="Tahoma"/>
            <family val="2"/>
          </rPr>
          <t xml:space="preserve">
check to see if there is any fluid delievery</t>
        </r>
      </text>
    </comment>
    <comment ref="A8" authorId="0" shapeId="0">
      <text>
        <r>
          <rPr>
            <b/>
            <sz val="9"/>
            <color indexed="81"/>
            <rFont val="Tahoma"/>
            <family val="2"/>
          </rPr>
          <t>Jason Schoen:</t>
        </r>
        <r>
          <rPr>
            <sz val="9"/>
            <color indexed="81"/>
            <rFont val="Tahoma"/>
            <family val="2"/>
          </rPr>
          <t xml:space="preserve">
if fluid 1 used</t>
        </r>
      </text>
    </comment>
    <comment ref="L8" authorId="0" shapeId="0">
      <text>
        <r>
          <rPr>
            <b/>
            <sz val="9"/>
            <color indexed="81"/>
            <rFont val="Tahoma"/>
            <family val="2"/>
          </rPr>
          <t>IS 1 A SYRINGE</t>
        </r>
      </text>
    </comment>
    <comment ref="M8" authorId="0" shapeId="0">
      <text>
        <r>
          <rPr>
            <b/>
            <sz val="9"/>
            <color indexed="81"/>
            <rFont val="Tahoma"/>
            <family val="2"/>
          </rPr>
          <t>IS 1 NOT USED</t>
        </r>
      </text>
    </comment>
    <comment ref="N8" authorId="0" shapeId="0">
      <text>
        <r>
          <rPr>
            <b/>
            <sz val="9"/>
            <color indexed="81"/>
            <rFont val="Tahoma"/>
            <family val="2"/>
          </rPr>
          <t>IS IT A SYRINGE AND NOT USED</t>
        </r>
      </text>
    </comment>
    <comment ref="O8" authorId="0" shapeId="0">
      <text>
        <r>
          <rPr>
            <b/>
            <sz val="9"/>
            <color indexed="81"/>
            <rFont val="Tahoma"/>
            <family val="2"/>
          </rPr>
          <t>NOT BLANK</t>
        </r>
      </text>
    </comment>
    <comment ref="P8" authorId="0" shapeId="0">
      <text>
        <r>
          <rPr>
            <b/>
            <sz val="9"/>
            <color indexed="81"/>
            <rFont val="Tahoma"/>
            <family val="2"/>
          </rPr>
          <t>NOT "N"</t>
        </r>
      </text>
    </comment>
    <comment ref="Q8" authorId="0" shapeId="0">
      <text>
        <r>
          <rPr>
            <b/>
            <sz val="9"/>
            <color indexed="81"/>
            <rFont val="Tahoma"/>
            <family val="2"/>
          </rPr>
          <t>AVAILABLE</t>
        </r>
      </text>
    </comment>
    <comment ref="B9" authorId="0" shapeId="0">
      <text>
        <r>
          <rPr>
            <b/>
            <sz val="9"/>
            <color indexed="81"/>
            <rFont val="Tahoma"/>
            <family val="2"/>
          </rPr>
          <t>Jason Schoen:</t>
        </r>
        <r>
          <rPr>
            <sz val="9"/>
            <color indexed="81"/>
            <rFont val="Tahoma"/>
            <family val="2"/>
          </rPr>
          <t xml:space="preserve">
is fluid 1 used and a syringe</t>
        </r>
      </text>
    </comment>
    <comment ref="C9" authorId="0" shapeId="0">
      <text>
        <r>
          <rPr>
            <b/>
            <sz val="9"/>
            <color indexed="81"/>
            <rFont val="Tahoma"/>
            <family val="2"/>
          </rPr>
          <t>Jason Schoen:</t>
        </r>
        <r>
          <rPr>
            <sz val="9"/>
            <color indexed="81"/>
            <rFont val="Tahoma"/>
            <family val="2"/>
          </rPr>
          <t xml:space="preserve">
Is it not a GPCC</t>
        </r>
      </text>
    </comment>
    <comment ref="L9" authorId="0" shapeId="0">
      <text>
        <r>
          <rPr>
            <b/>
            <sz val="9"/>
            <color indexed="81"/>
            <rFont val="Tahoma"/>
            <family val="2"/>
          </rPr>
          <t>IS 2 A SYRINGE</t>
        </r>
      </text>
    </comment>
    <comment ref="M9" authorId="0" shapeId="0">
      <text>
        <r>
          <rPr>
            <b/>
            <sz val="9"/>
            <color indexed="81"/>
            <rFont val="Tahoma"/>
            <family val="2"/>
          </rPr>
          <t>IS 2 USED</t>
        </r>
      </text>
    </comment>
    <comment ref="N9" authorId="0" shapeId="0">
      <text>
        <r>
          <rPr>
            <b/>
            <sz val="9"/>
            <color indexed="81"/>
            <rFont val="Tahoma"/>
            <family val="2"/>
          </rPr>
          <t>IS IT A SYRINGE AND NOT USED</t>
        </r>
      </text>
    </comment>
    <comment ref="O9" authorId="0" shapeId="0">
      <text>
        <r>
          <rPr>
            <b/>
            <sz val="9"/>
            <color indexed="81"/>
            <rFont val="Tahoma"/>
            <family val="2"/>
          </rPr>
          <t>NOT BLANK</t>
        </r>
      </text>
    </comment>
    <comment ref="P9" authorId="0" shapeId="0">
      <text>
        <r>
          <rPr>
            <b/>
            <sz val="9"/>
            <color indexed="81"/>
            <rFont val="Tahoma"/>
            <family val="2"/>
          </rPr>
          <t>NOT "N"</t>
        </r>
      </text>
    </comment>
    <comment ref="Q9" authorId="0" shapeId="0">
      <text>
        <r>
          <rPr>
            <b/>
            <sz val="9"/>
            <color indexed="81"/>
            <rFont val="Tahoma"/>
            <family val="2"/>
          </rPr>
          <t>AVAILABLE</t>
        </r>
      </text>
    </comment>
    <comment ref="B10" authorId="0" shapeId="0">
      <text>
        <r>
          <rPr>
            <b/>
            <sz val="9"/>
            <color indexed="81"/>
            <rFont val="Tahoma"/>
            <family val="2"/>
          </rPr>
          <t>Jason Schoen:</t>
        </r>
        <r>
          <rPr>
            <sz val="9"/>
            <color indexed="81"/>
            <rFont val="Tahoma"/>
            <family val="2"/>
          </rPr>
          <t xml:space="preserve">
is fluide 1 used and a syringe</t>
        </r>
      </text>
    </comment>
    <comment ref="C10" authorId="0" shapeId="0">
      <text>
        <r>
          <rPr>
            <b/>
            <sz val="9"/>
            <color indexed="81"/>
            <rFont val="Tahoma"/>
            <family val="2"/>
          </rPr>
          <t>Jason Schoen:</t>
        </r>
        <r>
          <rPr>
            <sz val="9"/>
            <color indexed="81"/>
            <rFont val="Tahoma"/>
            <family val="2"/>
          </rPr>
          <t xml:space="preserve">
Is it not a GPCC</t>
        </r>
      </text>
    </comment>
    <comment ref="A11" authorId="0" shapeId="0">
      <text>
        <r>
          <rPr>
            <b/>
            <sz val="9"/>
            <color indexed="81"/>
            <rFont val="Tahoma"/>
            <family val="2"/>
          </rPr>
          <t>Jason Schoen:</t>
        </r>
        <r>
          <rPr>
            <sz val="9"/>
            <color indexed="81"/>
            <rFont val="Tahoma"/>
            <family val="2"/>
          </rPr>
          <t xml:space="preserve">
is fluid one used</t>
        </r>
      </text>
    </comment>
    <comment ref="A12" authorId="0" shapeId="0">
      <text>
        <r>
          <rPr>
            <b/>
            <sz val="9"/>
            <color indexed="81"/>
            <rFont val="Tahoma"/>
            <family val="2"/>
          </rPr>
          <t>Jason Schoen:</t>
        </r>
        <r>
          <rPr>
            <sz val="9"/>
            <color indexed="81"/>
            <rFont val="Tahoma"/>
            <family val="2"/>
          </rPr>
          <t xml:space="preserve">
is fluid one used</t>
        </r>
      </text>
    </comment>
    <comment ref="A13" authorId="0" shapeId="0">
      <text>
        <r>
          <rPr>
            <b/>
            <sz val="9"/>
            <color indexed="81"/>
            <rFont val="Tahoma"/>
            <family val="2"/>
          </rPr>
          <t>Jason Schoen:</t>
        </r>
        <r>
          <rPr>
            <sz val="9"/>
            <color indexed="81"/>
            <rFont val="Tahoma"/>
            <family val="2"/>
          </rPr>
          <t xml:space="preserve">
Is it not a GPCC</t>
        </r>
      </text>
    </comment>
    <comment ref="B14" authorId="0" shapeId="0">
      <text>
        <r>
          <rPr>
            <b/>
            <sz val="9"/>
            <color indexed="81"/>
            <rFont val="Tahoma"/>
            <family val="2"/>
          </rPr>
          <t>Jason Schoen:</t>
        </r>
        <r>
          <rPr>
            <sz val="9"/>
            <color indexed="81"/>
            <rFont val="Tahoma"/>
            <family val="2"/>
          </rPr>
          <t xml:space="preserve">
is fluid 2 used and a syringe</t>
        </r>
      </text>
    </comment>
    <comment ref="C14" authorId="0" shapeId="0">
      <text>
        <r>
          <rPr>
            <b/>
            <sz val="9"/>
            <color indexed="81"/>
            <rFont val="Tahoma"/>
            <family val="2"/>
          </rPr>
          <t>Jason Schoen:</t>
        </r>
        <r>
          <rPr>
            <sz val="9"/>
            <color indexed="81"/>
            <rFont val="Tahoma"/>
            <family val="2"/>
          </rPr>
          <t xml:space="preserve">
Is it not a GPCC</t>
        </r>
      </text>
    </comment>
    <comment ref="B15" authorId="0" shapeId="0">
      <text>
        <r>
          <rPr>
            <b/>
            <sz val="9"/>
            <color indexed="81"/>
            <rFont val="Tahoma"/>
            <family val="2"/>
          </rPr>
          <t>Jason Schoen:</t>
        </r>
        <r>
          <rPr>
            <sz val="9"/>
            <color indexed="81"/>
            <rFont val="Tahoma"/>
            <family val="2"/>
          </rPr>
          <t xml:space="preserve">
is fluid 2 used, is solvent one used, is fluid 2 a syringe</t>
        </r>
      </text>
    </comment>
    <comment ref="C15" authorId="0" shapeId="0">
      <text>
        <r>
          <rPr>
            <b/>
            <sz val="9"/>
            <color indexed="81"/>
            <rFont val="Tahoma"/>
            <family val="2"/>
          </rPr>
          <t>Jason Schoen:</t>
        </r>
        <r>
          <rPr>
            <sz val="9"/>
            <color indexed="81"/>
            <rFont val="Tahoma"/>
            <family val="2"/>
          </rPr>
          <t xml:space="preserve">
Is it not a GPCC</t>
        </r>
      </text>
    </comment>
    <comment ref="B16" authorId="0" shapeId="0">
      <text>
        <r>
          <rPr>
            <b/>
            <sz val="9"/>
            <color indexed="81"/>
            <rFont val="Tahoma"/>
            <family val="2"/>
          </rPr>
          <t>Jason Schoen:</t>
        </r>
        <r>
          <rPr>
            <sz val="9"/>
            <color indexed="81"/>
            <rFont val="Tahoma"/>
            <family val="2"/>
          </rPr>
          <t xml:space="preserve">
is fluid 2 used</t>
        </r>
      </text>
    </comment>
    <comment ref="C16" authorId="0" shapeId="0">
      <text>
        <r>
          <rPr>
            <b/>
            <sz val="9"/>
            <color indexed="81"/>
            <rFont val="Tahoma"/>
            <family val="2"/>
          </rPr>
          <t>Jason Schoen:</t>
        </r>
        <r>
          <rPr>
            <sz val="9"/>
            <color indexed="81"/>
            <rFont val="Tahoma"/>
            <family val="2"/>
          </rPr>
          <t xml:space="preserve">
Is it not a GPCC</t>
        </r>
      </text>
    </comment>
    <comment ref="B17" authorId="0" shapeId="0">
      <text>
        <r>
          <rPr>
            <b/>
            <sz val="9"/>
            <color indexed="81"/>
            <rFont val="Tahoma"/>
            <family val="2"/>
          </rPr>
          <t>Jason Schoen:</t>
        </r>
        <r>
          <rPr>
            <sz val="9"/>
            <color indexed="81"/>
            <rFont val="Tahoma"/>
            <family val="2"/>
          </rPr>
          <t xml:space="preserve">
is fluid 2 used</t>
        </r>
      </text>
    </comment>
    <comment ref="C17" authorId="0" shapeId="0">
      <text>
        <r>
          <rPr>
            <b/>
            <sz val="9"/>
            <color indexed="81"/>
            <rFont val="Tahoma"/>
            <family val="2"/>
          </rPr>
          <t>Jason Schoen:</t>
        </r>
        <r>
          <rPr>
            <sz val="9"/>
            <color indexed="81"/>
            <rFont val="Tahoma"/>
            <family val="2"/>
          </rPr>
          <t xml:space="preserve">
Is it not a GPCC</t>
        </r>
      </text>
    </comment>
    <comment ref="L19" authorId="0" shapeId="0">
      <text>
        <r>
          <rPr>
            <b/>
            <sz val="9"/>
            <color indexed="81"/>
            <rFont val="Tahoma"/>
            <family val="2"/>
          </rPr>
          <t>POSSIBLE VALVES</t>
        </r>
      </text>
    </comment>
    <comment ref="A20" authorId="0" shapeId="0">
      <text>
        <r>
          <rPr>
            <b/>
            <sz val="9"/>
            <color indexed="81"/>
            <rFont val="Tahoma"/>
            <family val="2"/>
          </rPr>
          <t>Jason Schoen:</t>
        </r>
        <r>
          <rPr>
            <sz val="9"/>
            <color indexed="81"/>
            <rFont val="Tahoma"/>
            <family val="2"/>
          </rPr>
          <t xml:space="preserve">
IS THERE A DISPENSE HEAD OR BLANK</t>
        </r>
      </text>
    </comment>
    <comment ref="A21" authorId="0" shapeId="0">
      <text>
        <r>
          <rPr>
            <b/>
            <sz val="9"/>
            <color indexed="81"/>
            <rFont val="Tahoma"/>
            <family val="2"/>
          </rPr>
          <t>Jason Schoen:</t>
        </r>
        <r>
          <rPr>
            <sz val="9"/>
            <color indexed="81"/>
            <rFont val="Tahoma"/>
            <family val="2"/>
          </rPr>
          <t xml:space="preserve">
is valves 1 or more</t>
        </r>
      </text>
    </comment>
    <comment ref="B21" authorId="0" shapeId="0">
      <text>
        <r>
          <rPr>
            <b/>
            <sz val="9"/>
            <color indexed="81"/>
            <rFont val="Tahoma"/>
            <family val="2"/>
          </rPr>
          <t>Jason Schoen:</t>
        </r>
        <r>
          <rPr>
            <sz val="9"/>
            <color indexed="81"/>
            <rFont val="Tahoma"/>
            <family val="2"/>
          </rPr>
          <t xml:space="preserve">
is valves 1 or more</t>
        </r>
      </text>
    </comment>
    <comment ref="C21" authorId="0" shapeId="0">
      <text>
        <r>
          <rPr>
            <b/>
            <sz val="9"/>
            <color indexed="81"/>
            <rFont val="Tahoma"/>
            <family val="2"/>
          </rPr>
          <t>Jason Schoen:</t>
        </r>
        <r>
          <rPr>
            <sz val="9"/>
            <color indexed="81"/>
            <rFont val="Tahoma"/>
            <family val="2"/>
          </rPr>
          <t xml:space="preserve">
is it not a jetter?</t>
        </r>
      </text>
    </comment>
    <comment ref="L21" authorId="0" shapeId="0">
      <text>
        <r>
          <rPr>
            <b/>
            <sz val="9"/>
            <color indexed="81"/>
            <rFont val="Tahoma"/>
            <family val="2"/>
          </rPr>
          <t>SPRAY Y/N</t>
        </r>
      </text>
    </comment>
    <comment ref="B22" authorId="0" shapeId="0">
      <text>
        <r>
          <rPr>
            <b/>
            <sz val="9"/>
            <color indexed="81"/>
            <rFont val="Tahoma"/>
            <family val="2"/>
          </rPr>
          <t>Jason Schoen:</t>
        </r>
        <r>
          <rPr>
            <sz val="9"/>
            <color indexed="81"/>
            <rFont val="Tahoma"/>
            <family val="2"/>
          </rPr>
          <t xml:space="preserve">
is valves 1 or more and position 1 used</t>
        </r>
      </text>
    </comment>
    <comment ref="C22" authorId="0" shapeId="0">
      <text>
        <r>
          <rPr>
            <b/>
            <sz val="9"/>
            <color indexed="81"/>
            <rFont val="Tahoma"/>
            <family val="2"/>
          </rPr>
          <t>Jason Schoen:</t>
        </r>
        <r>
          <rPr>
            <sz val="9"/>
            <color indexed="81"/>
            <rFont val="Tahoma"/>
            <family val="2"/>
          </rPr>
          <t xml:space="preserve">
WAS Is it not a GPCC</t>
        </r>
      </text>
    </comment>
    <comment ref="D22" authorId="0" shapeId="0">
      <text>
        <r>
          <rPr>
            <b/>
            <sz val="9"/>
            <color indexed="81"/>
            <rFont val="Tahoma"/>
            <family val="2"/>
          </rPr>
          <t>Jason Schoen:</t>
        </r>
        <r>
          <rPr>
            <sz val="9"/>
            <color indexed="81"/>
            <rFont val="Tahoma"/>
            <family val="2"/>
          </rPr>
          <t xml:space="preserve">
is it not a jetter?</t>
        </r>
      </text>
    </comment>
    <comment ref="A23" authorId="0" shapeId="0">
      <text>
        <r>
          <rPr>
            <b/>
            <sz val="9"/>
            <color indexed="81"/>
            <rFont val="Tahoma"/>
            <family val="2"/>
          </rPr>
          <t>Jason Schoen:</t>
        </r>
        <r>
          <rPr>
            <sz val="9"/>
            <color indexed="81"/>
            <rFont val="Tahoma"/>
            <family val="2"/>
          </rPr>
          <t xml:space="preserve">
is valves 2 or more</t>
        </r>
      </text>
    </comment>
    <comment ref="L23" authorId="0" shapeId="0">
      <text>
        <r>
          <rPr>
            <b/>
            <sz val="9"/>
            <color indexed="81"/>
            <rFont val="Tahoma"/>
            <family val="2"/>
          </rPr>
          <t>SPRAY Y/N</t>
        </r>
      </text>
    </comment>
    <comment ref="B24" authorId="0" shapeId="0">
      <text>
        <r>
          <rPr>
            <b/>
            <sz val="9"/>
            <color indexed="81"/>
            <rFont val="Tahoma"/>
            <family val="2"/>
          </rPr>
          <t>Jason Schoen:</t>
        </r>
        <r>
          <rPr>
            <sz val="9"/>
            <color indexed="81"/>
            <rFont val="Tahoma"/>
            <family val="2"/>
          </rPr>
          <t xml:space="preserve">
is valves 2 or more and position 2 used</t>
        </r>
      </text>
    </comment>
    <comment ref="C24" authorId="0" shapeId="0">
      <text>
        <r>
          <rPr>
            <b/>
            <sz val="9"/>
            <color indexed="81"/>
            <rFont val="Tahoma"/>
            <family val="2"/>
          </rPr>
          <t>Jason Schoen:</t>
        </r>
        <r>
          <rPr>
            <sz val="9"/>
            <color indexed="81"/>
            <rFont val="Tahoma"/>
            <family val="2"/>
          </rPr>
          <t xml:space="preserve">
WAS Is it not a GPCC</t>
        </r>
      </text>
    </comment>
    <comment ref="A25" authorId="0" shapeId="0">
      <text>
        <r>
          <rPr>
            <b/>
            <sz val="9"/>
            <color indexed="81"/>
            <rFont val="Tahoma"/>
            <family val="2"/>
          </rPr>
          <t>Jason Schoen:</t>
        </r>
        <r>
          <rPr>
            <sz val="9"/>
            <color indexed="81"/>
            <rFont val="Tahoma"/>
            <family val="2"/>
          </rPr>
          <t xml:space="preserve">
is valves 3 or more</t>
        </r>
      </text>
    </comment>
    <comment ref="L25" authorId="0" shapeId="0">
      <text>
        <r>
          <rPr>
            <b/>
            <sz val="9"/>
            <color indexed="81"/>
            <rFont val="Tahoma"/>
            <family val="2"/>
          </rPr>
          <t>SPRAY Y/N</t>
        </r>
      </text>
    </comment>
    <comment ref="B26" authorId="0" shapeId="0">
      <text>
        <r>
          <rPr>
            <b/>
            <sz val="9"/>
            <color indexed="81"/>
            <rFont val="Tahoma"/>
            <family val="2"/>
          </rPr>
          <t>Jason Schoen:</t>
        </r>
        <r>
          <rPr>
            <sz val="9"/>
            <color indexed="81"/>
            <rFont val="Tahoma"/>
            <family val="2"/>
          </rPr>
          <t xml:space="preserve">
is valves 3 or more and position 3 used</t>
        </r>
      </text>
    </comment>
    <comment ref="C26" authorId="0" shapeId="0">
      <text>
        <r>
          <rPr>
            <b/>
            <sz val="9"/>
            <color indexed="81"/>
            <rFont val="Tahoma"/>
            <family val="2"/>
          </rPr>
          <t>Jason Schoen:</t>
        </r>
        <r>
          <rPr>
            <sz val="9"/>
            <color indexed="81"/>
            <rFont val="Tahoma"/>
            <family val="2"/>
          </rPr>
          <t xml:space="preserve">
WAS Is it not a GPCC</t>
        </r>
      </text>
    </comment>
    <comment ref="A27" authorId="0" shapeId="0">
      <text>
        <r>
          <rPr>
            <b/>
            <sz val="9"/>
            <color indexed="81"/>
            <rFont val="Tahoma"/>
            <family val="2"/>
          </rPr>
          <t>Jason Schoen:</t>
        </r>
        <r>
          <rPr>
            <sz val="9"/>
            <color indexed="81"/>
            <rFont val="Tahoma"/>
            <family val="2"/>
          </rPr>
          <t xml:space="preserve">
is valves 4 or more</t>
        </r>
      </text>
    </comment>
    <comment ref="L27" authorId="0" shapeId="0">
      <text>
        <r>
          <rPr>
            <b/>
            <sz val="9"/>
            <color indexed="81"/>
            <rFont val="Tahoma"/>
            <family val="2"/>
          </rPr>
          <t>SPRAY Y/N</t>
        </r>
      </text>
    </comment>
    <comment ref="B28" authorId="0" shapeId="0">
      <text>
        <r>
          <rPr>
            <b/>
            <sz val="9"/>
            <color indexed="81"/>
            <rFont val="Tahoma"/>
            <family val="2"/>
          </rPr>
          <t>Jason Schoen:</t>
        </r>
        <r>
          <rPr>
            <sz val="9"/>
            <color indexed="81"/>
            <rFont val="Tahoma"/>
            <family val="2"/>
          </rPr>
          <t xml:space="preserve">
is valves 4 and position 4 used</t>
        </r>
      </text>
    </comment>
    <comment ref="C28" authorId="0" shapeId="0">
      <text>
        <r>
          <rPr>
            <b/>
            <sz val="9"/>
            <color indexed="81"/>
            <rFont val="Tahoma"/>
            <family val="2"/>
          </rPr>
          <t>Jason Schoen:</t>
        </r>
        <r>
          <rPr>
            <sz val="9"/>
            <color indexed="81"/>
            <rFont val="Tahoma"/>
            <family val="2"/>
          </rPr>
          <t xml:space="preserve">
WAS Is it not a GPCC</t>
        </r>
      </text>
    </comment>
    <comment ref="L28" authorId="0" shapeId="0">
      <text>
        <r>
          <rPr>
            <b/>
            <sz val="9"/>
            <color indexed="81"/>
            <rFont val="Tahoma"/>
            <family val="2"/>
          </rPr>
          <t># OF SPRAY</t>
        </r>
      </text>
    </comment>
    <comment ref="B31" authorId="0" shapeId="0">
      <text>
        <r>
          <rPr>
            <b/>
            <sz val="9"/>
            <color indexed="81"/>
            <rFont val="Tahoma"/>
            <family val="2"/>
          </rPr>
          <t>Jason Schoen:</t>
        </r>
        <r>
          <rPr>
            <sz val="9"/>
            <color indexed="81"/>
            <rFont val="Tahoma"/>
            <family val="2"/>
          </rPr>
          <t xml:space="preserve">
IS IT NOT A FLEX FIXTURE</t>
        </r>
      </text>
    </comment>
    <comment ref="C31" authorId="0" shapeId="0">
      <text>
        <r>
          <rPr>
            <b/>
            <sz val="9"/>
            <color indexed="81"/>
            <rFont val="Tahoma"/>
            <family val="2"/>
          </rPr>
          <t>Jason Schoen:</t>
        </r>
        <r>
          <rPr>
            <sz val="9"/>
            <color indexed="81"/>
            <rFont val="Tahoma"/>
            <family val="2"/>
          </rPr>
          <t xml:space="preserve">
IS THERE A CONVEYOR</t>
        </r>
      </text>
    </comment>
    <comment ref="B32" authorId="0" shapeId="0">
      <text>
        <r>
          <rPr>
            <b/>
            <sz val="9"/>
            <color indexed="81"/>
            <rFont val="Tahoma"/>
            <family val="2"/>
          </rPr>
          <t>Jason Schoen:</t>
        </r>
        <r>
          <rPr>
            <sz val="9"/>
            <color indexed="81"/>
            <rFont val="Tahoma"/>
            <family val="2"/>
          </rPr>
          <t xml:space="preserve">
IS IT NOT A FLEX FIXTURE</t>
        </r>
      </text>
    </comment>
    <comment ref="C32" authorId="0" shapeId="0">
      <text>
        <r>
          <rPr>
            <b/>
            <sz val="9"/>
            <color indexed="81"/>
            <rFont val="Tahoma"/>
            <family val="2"/>
          </rPr>
          <t>Jason Schoen:</t>
        </r>
        <r>
          <rPr>
            <sz val="9"/>
            <color indexed="81"/>
            <rFont val="Tahoma"/>
            <family val="2"/>
          </rPr>
          <t xml:space="preserve">
IS THERE A CONVEYOR</t>
        </r>
      </text>
    </comment>
    <comment ref="B33" authorId="0" shapeId="0">
      <text>
        <r>
          <rPr>
            <b/>
            <sz val="9"/>
            <color indexed="81"/>
            <rFont val="Tahoma"/>
            <family val="2"/>
          </rPr>
          <t>Jason Schoen:</t>
        </r>
        <r>
          <rPr>
            <sz val="9"/>
            <color indexed="81"/>
            <rFont val="Tahoma"/>
            <family val="2"/>
          </rPr>
          <t xml:space="preserve">
IS IT NOT A FLEX FIXTURE</t>
        </r>
      </text>
    </comment>
    <comment ref="C33" authorId="0" shapeId="0">
      <text>
        <r>
          <rPr>
            <b/>
            <sz val="9"/>
            <color indexed="81"/>
            <rFont val="Tahoma"/>
            <family val="2"/>
          </rPr>
          <t>Jason Schoen:</t>
        </r>
        <r>
          <rPr>
            <sz val="9"/>
            <color indexed="81"/>
            <rFont val="Tahoma"/>
            <family val="2"/>
          </rPr>
          <t xml:space="preserve">
IS THERE A CONVEYOR</t>
        </r>
      </text>
    </comment>
    <comment ref="L33" authorId="0" shapeId="0">
      <text>
        <r>
          <rPr>
            <b/>
            <sz val="9"/>
            <color indexed="81"/>
            <rFont val="Tahoma"/>
            <family val="2"/>
          </rPr>
          <t>Jason Schoen:</t>
        </r>
        <r>
          <rPr>
            <sz val="9"/>
            <color indexed="81"/>
            <rFont val="Tahoma"/>
            <family val="2"/>
          </rPr>
          <t xml:space="preserve">
BIDIRECTIONAL?</t>
        </r>
      </text>
    </comment>
    <comment ref="B37" authorId="0" shapeId="0">
      <text>
        <r>
          <rPr>
            <b/>
            <sz val="9"/>
            <color indexed="81"/>
            <rFont val="Tahoma"/>
            <family val="2"/>
          </rPr>
          <t>Jason Schoen:</t>
        </r>
        <r>
          <rPr>
            <sz val="9"/>
            <color indexed="81"/>
            <rFont val="Tahoma"/>
            <family val="2"/>
          </rPr>
          <t xml:space="preserve">
IS IT NOT A FLEX FIXTURE</t>
        </r>
      </text>
    </comment>
    <comment ref="C37" authorId="0" shapeId="0">
      <text>
        <r>
          <rPr>
            <b/>
            <sz val="9"/>
            <color indexed="81"/>
            <rFont val="Tahoma"/>
            <family val="2"/>
          </rPr>
          <t>Jason Schoen:</t>
        </r>
        <r>
          <rPr>
            <sz val="9"/>
            <color indexed="81"/>
            <rFont val="Tahoma"/>
            <family val="2"/>
          </rPr>
          <t xml:space="preserve">
IS THERE A CONVEYOR</t>
        </r>
      </text>
    </comment>
    <comment ref="D37" authorId="0" shapeId="0">
      <text>
        <r>
          <rPr>
            <b/>
            <sz val="9"/>
            <color indexed="81"/>
            <rFont val="Tahoma"/>
            <family val="2"/>
          </rPr>
          <t>Jason Schoen:</t>
        </r>
        <r>
          <rPr>
            <sz val="9"/>
            <color indexed="81"/>
            <rFont val="Tahoma"/>
            <family val="2"/>
          </rPr>
          <t xml:space="preserve">
Is there a GPCC</t>
        </r>
      </text>
    </comment>
    <comment ref="B38" authorId="0" shapeId="0">
      <text>
        <r>
          <rPr>
            <b/>
            <sz val="9"/>
            <color indexed="81"/>
            <rFont val="Tahoma"/>
            <family val="2"/>
          </rPr>
          <t>Jason Schoen:</t>
        </r>
        <r>
          <rPr>
            <sz val="9"/>
            <color indexed="81"/>
            <rFont val="Tahoma"/>
            <family val="2"/>
          </rPr>
          <t xml:space="preserve">
IS IT NOT A FLEX FIXTURE</t>
        </r>
      </text>
    </comment>
    <comment ref="C38" authorId="0" shapeId="0">
      <text>
        <r>
          <rPr>
            <b/>
            <sz val="9"/>
            <color indexed="81"/>
            <rFont val="Tahoma"/>
            <family val="2"/>
          </rPr>
          <t>Jason Schoen:</t>
        </r>
        <r>
          <rPr>
            <sz val="9"/>
            <color indexed="81"/>
            <rFont val="Tahoma"/>
            <family val="2"/>
          </rPr>
          <t xml:space="preserve">
IS THERE A CONVEYOR</t>
        </r>
      </text>
    </comment>
    <comment ref="D38" authorId="0" shapeId="0">
      <text>
        <r>
          <rPr>
            <b/>
            <sz val="9"/>
            <color indexed="81"/>
            <rFont val="Tahoma"/>
            <family val="2"/>
          </rPr>
          <t>Jason Schoen:</t>
        </r>
        <r>
          <rPr>
            <sz val="9"/>
            <color indexed="81"/>
            <rFont val="Tahoma"/>
            <family val="2"/>
          </rPr>
          <t xml:space="preserve">
Is there a GPCC</t>
        </r>
      </text>
    </comment>
    <comment ref="B39" authorId="0" shapeId="0">
      <text>
        <r>
          <rPr>
            <b/>
            <sz val="9"/>
            <color indexed="81"/>
            <rFont val="Tahoma"/>
            <family val="2"/>
          </rPr>
          <t>Jason Schoen:</t>
        </r>
        <r>
          <rPr>
            <sz val="9"/>
            <color indexed="81"/>
            <rFont val="Tahoma"/>
            <family val="2"/>
          </rPr>
          <t xml:space="preserve">
IS IT NOT A FLEX FIXTURE</t>
        </r>
      </text>
    </comment>
    <comment ref="C39" authorId="0" shapeId="0">
      <text>
        <r>
          <rPr>
            <b/>
            <sz val="9"/>
            <color indexed="81"/>
            <rFont val="Tahoma"/>
            <family val="2"/>
          </rPr>
          <t>Jason Schoen:</t>
        </r>
        <r>
          <rPr>
            <sz val="9"/>
            <color indexed="81"/>
            <rFont val="Tahoma"/>
            <family val="2"/>
          </rPr>
          <t xml:space="preserve">
IS THERE A CONVEYOR</t>
        </r>
      </text>
    </comment>
    <comment ref="A43" authorId="0" shapeId="0">
      <text>
        <r>
          <rPr>
            <b/>
            <sz val="9"/>
            <color indexed="81"/>
            <rFont val="Tahoma"/>
            <family val="2"/>
          </rPr>
          <t>Jason Schoen:</t>
        </r>
        <r>
          <rPr>
            <sz val="9"/>
            <color indexed="81"/>
            <rFont val="Tahoma"/>
            <family val="2"/>
          </rPr>
          <t xml:space="preserve">
IS IT 110V?</t>
        </r>
      </text>
    </comment>
    <comment ref="B45" authorId="0" shapeId="0">
      <text>
        <r>
          <rPr>
            <b/>
            <sz val="9"/>
            <color indexed="81"/>
            <rFont val="Tahoma"/>
            <family val="2"/>
          </rPr>
          <t>Jason Schoen:</t>
        </r>
        <r>
          <rPr>
            <sz val="9"/>
            <color indexed="81"/>
            <rFont val="Tahoma"/>
            <family val="2"/>
          </rPr>
          <t xml:space="preserve">
IS THE ONE ABOVE N</t>
        </r>
      </text>
    </comment>
    <comment ref="C45" authorId="0" shapeId="0">
      <text>
        <r>
          <rPr>
            <b/>
            <sz val="9"/>
            <color indexed="81"/>
            <rFont val="Tahoma"/>
            <family val="2"/>
          </rPr>
          <t>Jason Schoen:</t>
        </r>
        <r>
          <rPr>
            <sz val="9"/>
            <color indexed="81"/>
            <rFont val="Tahoma"/>
            <family val="2"/>
          </rPr>
          <t xml:space="preserve">
IS THE ONE ABOVE BLANK</t>
        </r>
      </text>
    </comment>
    <comment ref="B46" authorId="0" shapeId="0">
      <text>
        <r>
          <rPr>
            <b/>
            <sz val="9"/>
            <color indexed="81"/>
            <rFont val="Tahoma"/>
            <family val="2"/>
          </rPr>
          <t>Jason Schoen:</t>
        </r>
        <r>
          <rPr>
            <sz val="9"/>
            <color indexed="81"/>
            <rFont val="Tahoma"/>
            <family val="2"/>
          </rPr>
          <t xml:space="preserve">
IS THE ONE ABOVE N</t>
        </r>
      </text>
    </comment>
    <comment ref="C46" authorId="0" shapeId="0">
      <text>
        <r>
          <rPr>
            <b/>
            <sz val="9"/>
            <color indexed="81"/>
            <rFont val="Tahoma"/>
            <family val="2"/>
          </rPr>
          <t>Jason Schoen:</t>
        </r>
        <r>
          <rPr>
            <sz val="9"/>
            <color indexed="81"/>
            <rFont val="Tahoma"/>
            <family val="2"/>
          </rPr>
          <t xml:space="preserve">
IS THE ONE ABOVE BLANK</t>
        </r>
      </text>
    </comment>
    <comment ref="B47" authorId="0" shapeId="0">
      <text>
        <r>
          <rPr>
            <b/>
            <sz val="9"/>
            <color indexed="81"/>
            <rFont val="Tahoma"/>
            <family val="2"/>
          </rPr>
          <t>Jason Schoen:</t>
        </r>
        <r>
          <rPr>
            <sz val="9"/>
            <color indexed="81"/>
            <rFont val="Tahoma"/>
            <family val="2"/>
          </rPr>
          <t xml:space="preserve">
IS THE ONE ABOVE N</t>
        </r>
      </text>
    </comment>
    <comment ref="C47" authorId="0" shapeId="0">
      <text>
        <r>
          <rPr>
            <b/>
            <sz val="9"/>
            <color indexed="81"/>
            <rFont val="Tahoma"/>
            <family val="2"/>
          </rPr>
          <t>Jason Schoen:</t>
        </r>
        <r>
          <rPr>
            <sz val="9"/>
            <color indexed="81"/>
            <rFont val="Tahoma"/>
            <family val="2"/>
          </rPr>
          <t xml:space="preserve">
IS THE ONE ABOVE BLANK</t>
        </r>
      </text>
    </comment>
  </commentList>
</comments>
</file>

<file path=xl/comments3.xml><?xml version="1.0" encoding="utf-8"?>
<comments xmlns="http://schemas.openxmlformats.org/spreadsheetml/2006/main">
  <authors>
    <author>Jason Schoen</author>
  </authors>
  <commentList>
    <comment ref="U9" authorId="0" shapeId="0">
      <text>
        <r>
          <rPr>
            <b/>
            <sz val="9"/>
            <color indexed="81"/>
            <rFont val="Tahoma"/>
            <family val="2"/>
          </rPr>
          <t>Jason Schoen:</t>
        </r>
        <r>
          <rPr>
            <sz val="9"/>
            <color indexed="81"/>
            <rFont val="Tahoma"/>
            <family val="2"/>
          </rPr>
          <t xml:space="preserve">
PART NUMBER LOOKUP COLUMN</t>
        </r>
      </text>
    </comment>
    <comment ref="V9" authorId="0" shapeId="0">
      <text>
        <r>
          <rPr>
            <b/>
            <sz val="9"/>
            <color indexed="81"/>
            <rFont val="Tahoma"/>
            <family val="2"/>
          </rPr>
          <t>Jason Schoen:</t>
        </r>
        <r>
          <rPr>
            <sz val="9"/>
            <color indexed="81"/>
            <rFont val="Tahoma"/>
            <family val="2"/>
          </rPr>
          <t xml:space="preserve">
galil lookup colunm</t>
        </r>
      </text>
    </comment>
    <comment ref="A13" authorId="0" shapeId="0">
      <text>
        <r>
          <rPr>
            <b/>
            <sz val="9"/>
            <color indexed="81"/>
            <rFont val="Tahoma"/>
            <family val="2"/>
          </rPr>
          <t>Jason Schoen:</t>
        </r>
        <r>
          <rPr>
            <sz val="9"/>
            <color indexed="81"/>
            <rFont val="Tahoma"/>
            <family val="2"/>
          </rPr>
          <t xml:space="preserve">
RESULT</t>
        </r>
      </text>
    </comment>
    <comment ref="B13" authorId="0" shapeId="0">
      <text>
        <r>
          <rPr>
            <b/>
            <sz val="9"/>
            <color indexed="81"/>
            <rFont val="Tahoma"/>
            <family val="2"/>
          </rPr>
          <t>Jason Schoen:</t>
        </r>
        <r>
          <rPr>
            <sz val="9"/>
            <color indexed="81"/>
            <rFont val="Tahoma"/>
            <family val="2"/>
          </rPr>
          <t xml:space="preserve">
IS IT BLANK</t>
        </r>
      </text>
    </comment>
    <comment ref="C13" authorId="0" shapeId="0">
      <text>
        <r>
          <rPr>
            <b/>
            <sz val="9"/>
            <color indexed="81"/>
            <rFont val="Tahoma"/>
            <family val="2"/>
          </rPr>
          <t>Jason Schoen:</t>
        </r>
        <r>
          <rPr>
            <sz val="9"/>
            <color indexed="81"/>
            <rFont val="Tahoma"/>
            <family val="2"/>
          </rPr>
          <t xml:space="preserve">
IS IT A "N"
</t>
        </r>
      </text>
    </comment>
    <comment ref="A50" authorId="0" shapeId="0">
      <text>
        <r>
          <rPr>
            <b/>
            <sz val="9"/>
            <color indexed="81"/>
            <rFont val="Tahoma"/>
            <family val="2"/>
          </rPr>
          <t>SPARES?</t>
        </r>
      </text>
    </comment>
    <comment ref="A51" authorId="0" shapeId="0">
      <text>
        <r>
          <rPr>
            <b/>
            <sz val="9"/>
            <color indexed="81"/>
            <rFont val="Tahoma"/>
            <family val="2"/>
          </rPr>
          <t>SPARES?</t>
        </r>
      </text>
    </comment>
    <comment ref="A52" authorId="0" shapeId="0">
      <text>
        <r>
          <rPr>
            <b/>
            <sz val="9"/>
            <color indexed="81"/>
            <rFont val="Tahoma"/>
            <family val="2"/>
          </rPr>
          <t>is there spares?</t>
        </r>
      </text>
    </comment>
    <comment ref="A53" authorId="0" shapeId="0">
      <text>
        <r>
          <rPr>
            <b/>
            <sz val="9"/>
            <color indexed="81"/>
            <rFont val="Tahoma"/>
            <family val="2"/>
          </rPr>
          <t>Jason Schoen:</t>
        </r>
        <r>
          <rPr>
            <sz val="9"/>
            <color indexed="81"/>
            <rFont val="Tahoma"/>
            <family val="2"/>
          </rPr>
          <t xml:space="preserve">
result</t>
        </r>
      </text>
    </comment>
    <comment ref="B53" authorId="0" shapeId="0">
      <text>
        <r>
          <rPr>
            <b/>
            <sz val="9"/>
            <color indexed="81"/>
            <rFont val="Tahoma"/>
            <family val="2"/>
          </rPr>
          <t>Jason Schoen:</t>
        </r>
        <r>
          <rPr>
            <sz val="9"/>
            <color indexed="81"/>
            <rFont val="Tahoma"/>
            <family val="2"/>
          </rPr>
          <t xml:space="preserve">
is there spares?</t>
        </r>
      </text>
    </comment>
    <comment ref="C53" authorId="0" shapeId="0">
      <text>
        <r>
          <rPr>
            <b/>
            <sz val="9"/>
            <color indexed="81"/>
            <rFont val="Tahoma"/>
            <family val="2"/>
          </rPr>
          <t>Jason Schoen:</t>
        </r>
        <r>
          <rPr>
            <sz val="9"/>
            <color indexed="81"/>
            <rFont val="Tahoma"/>
            <family val="2"/>
          </rPr>
          <t xml:space="preserve">
is the option field blank
</t>
        </r>
      </text>
    </comment>
    <comment ref="D53" authorId="0" shapeId="0">
      <text>
        <r>
          <rPr>
            <b/>
            <sz val="9"/>
            <color indexed="81"/>
            <rFont val="Tahoma"/>
            <family val="2"/>
          </rPr>
          <t>Jason Schoen:</t>
        </r>
        <r>
          <rPr>
            <sz val="9"/>
            <color indexed="81"/>
            <rFont val="Tahoma"/>
            <family val="2"/>
          </rPr>
          <t xml:space="preserve">
is there a N in the option field
</t>
        </r>
      </text>
    </comment>
    <comment ref="A60" authorId="0" shapeId="0">
      <text>
        <r>
          <rPr>
            <b/>
            <sz val="9"/>
            <color indexed="81"/>
            <rFont val="Tahoma"/>
            <family val="2"/>
          </rPr>
          <t>Jason Schoen:</t>
        </r>
        <r>
          <rPr>
            <sz val="9"/>
            <color indexed="81"/>
            <rFont val="Tahoma"/>
            <family val="2"/>
          </rPr>
          <t xml:space="preserve">
ACCESSORIES?</t>
        </r>
      </text>
    </comment>
    <comment ref="A61" authorId="0" shapeId="0">
      <text>
        <r>
          <rPr>
            <b/>
            <sz val="9"/>
            <color indexed="81"/>
            <rFont val="Tahoma"/>
            <family val="2"/>
          </rPr>
          <t>Jason Schoen:</t>
        </r>
        <r>
          <rPr>
            <sz val="9"/>
            <color indexed="81"/>
            <rFont val="Tahoma"/>
            <family val="2"/>
          </rPr>
          <t xml:space="preserve">
ACCESSORIES?</t>
        </r>
      </text>
    </comment>
    <comment ref="P70" authorId="0" shapeId="0">
      <text>
        <r>
          <rPr>
            <b/>
            <sz val="9"/>
            <color indexed="81"/>
            <rFont val="Tahoma"/>
            <family val="2"/>
          </rPr>
          <t>Jason Schoen:</t>
        </r>
        <r>
          <rPr>
            <sz val="9"/>
            <color indexed="81"/>
            <rFont val="Tahoma"/>
            <family val="2"/>
          </rPr>
          <t xml:space="preserve">
4 OR 8 AXIS GALIL</t>
        </r>
      </text>
    </comment>
  </commentList>
</comments>
</file>

<file path=xl/sharedStrings.xml><?xml version="1.0" encoding="utf-8"?>
<sst xmlns="http://schemas.openxmlformats.org/spreadsheetml/2006/main" count="1717" uniqueCount="658">
  <si>
    <t>FCS300-ES</t>
  </si>
  <si>
    <t>FC100-MC</t>
  </si>
  <si>
    <t>FCM100</t>
  </si>
  <si>
    <t>Needle Calibration, 3 axis</t>
  </si>
  <si>
    <t>Fluid Delivery</t>
  </si>
  <si>
    <t>Flow meter</t>
  </si>
  <si>
    <t>Software</t>
  </si>
  <si>
    <t>Pathmaster</t>
  </si>
  <si>
    <t>Portal</t>
  </si>
  <si>
    <t>FC100-CF</t>
  </si>
  <si>
    <t>Vision</t>
  </si>
  <si>
    <t>YesNo</t>
  </si>
  <si>
    <t>Voltage</t>
  </si>
  <si>
    <t>Direction</t>
  </si>
  <si>
    <t>FCS300-R</t>
  </si>
  <si>
    <t>FCS300-F</t>
  </si>
  <si>
    <t>Left to Right</t>
  </si>
  <si>
    <t>Right to Left</t>
  </si>
  <si>
    <t>Manufacturer</t>
  </si>
  <si>
    <t>Product Name</t>
  </si>
  <si>
    <t>Notes</t>
  </si>
  <si>
    <t>Abchimie</t>
  </si>
  <si>
    <t>AVR80</t>
  </si>
  <si>
    <t>FCS, CF, FC, FCM</t>
  </si>
  <si>
    <t>AVR80 BA</t>
  </si>
  <si>
    <t>Dow Corning</t>
  </si>
  <si>
    <t>1-2577</t>
  </si>
  <si>
    <t>FCS, FC, FCM</t>
  </si>
  <si>
    <t>1-2577 Low VOC</t>
  </si>
  <si>
    <t>1-2620</t>
  </si>
  <si>
    <t>1-2620 Low VOC</t>
  </si>
  <si>
    <t>3-1944</t>
  </si>
  <si>
    <t>FC100</t>
  </si>
  <si>
    <t>Requires cartridge or pail pump</t>
  </si>
  <si>
    <t>3-1953</t>
  </si>
  <si>
    <t>Available in bladder bag</t>
  </si>
  <si>
    <t>3-1965</t>
  </si>
  <si>
    <t>Dymax</t>
  </si>
  <si>
    <t>9481-E</t>
  </si>
  <si>
    <t>9482</t>
  </si>
  <si>
    <t>984-LVUF</t>
  </si>
  <si>
    <t>987</t>
  </si>
  <si>
    <t>9-20351-UR</t>
  </si>
  <si>
    <t>9-20557</t>
  </si>
  <si>
    <t>9-20557-LV</t>
  </si>
  <si>
    <t>Bectron PL 1102</t>
  </si>
  <si>
    <t>Bectron PL 4122-37E</t>
  </si>
  <si>
    <t>Bectron PL 4122-40P</t>
  </si>
  <si>
    <t>Bectron PL 4122-37 E BLF</t>
  </si>
  <si>
    <t>Bectron PL 4122-40 E BLF</t>
  </si>
  <si>
    <t>Electrolube</t>
  </si>
  <si>
    <t>DCA</t>
  </si>
  <si>
    <t>DCB/DCR</t>
  </si>
  <si>
    <t>FSC</t>
  </si>
  <si>
    <t>HPA</t>
  </si>
  <si>
    <t>UVCL</t>
  </si>
  <si>
    <t>WBP/WBPS</t>
  </si>
  <si>
    <t>Henkel / Hysol / Loctite</t>
  </si>
  <si>
    <t>PC40-UM</t>
  </si>
  <si>
    <t>PC40-UMF</t>
  </si>
  <si>
    <t>Humiseal</t>
  </si>
  <si>
    <t>1A33</t>
  </si>
  <si>
    <t>1B31</t>
  </si>
  <si>
    <t>1B73</t>
  </si>
  <si>
    <t>1BGel / Acrylic Gel</t>
  </si>
  <si>
    <t>Not for Spray</t>
  </si>
  <si>
    <t>1C49</t>
  </si>
  <si>
    <t>ES, FC, FCM</t>
  </si>
  <si>
    <t>1C49HVF</t>
  </si>
  <si>
    <t>Not for spray</t>
  </si>
  <si>
    <t>1C49LV</t>
  </si>
  <si>
    <t>1C51</t>
  </si>
  <si>
    <t>1C53</t>
  </si>
  <si>
    <t>1C55</t>
  </si>
  <si>
    <t>1C61</t>
  </si>
  <si>
    <t>1C63</t>
  </si>
  <si>
    <t>FC, FCM</t>
  </si>
  <si>
    <t>1R32</t>
  </si>
  <si>
    <t>1R32A-2</t>
  </si>
  <si>
    <t>UV40</t>
  </si>
  <si>
    <t>UV40-100</t>
  </si>
  <si>
    <t>100cps</t>
  </si>
  <si>
    <t>UV40-250</t>
  </si>
  <si>
    <t>250 cps</t>
  </si>
  <si>
    <t>UV40HV</t>
  </si>
  <si>
    <t>UV40 GEL</t>
  </si>
  <si>
    <t>UV50</t>
  </si>
  <si>
    <t>UV500</t>
  </si>
  <si>
    <t>Peters</t>
  </si>
  <si>
    <t>SL 1301 ECO-FLZ</t>
  </si>
  <si>
    <t>SL 1301 ECO-BA-FLZ</t>
  </si>
  <si>
    <t>SL 1305 AQ-ECO</t>
  </si>
  <si>
    <t>SL 1307 FLZ</t>
  </si>
  <si>
    <t>SL 1307-T</t>
  </si>
  <si>
    <t>SL 1309 N FLZ</t>
  </si>
  <si>
    <t>DSL 1600 E-FLZ</t>
  </si>
  <si>
    <t>DSL 1705 FLZ</t>
  </si>
  <si>
    <t>DSL 1707 FLZ</t>
  </si>
  <si>
    <t>Valve Group</t>
  </si>
  <si>
    <t>Manufacturers</t>
  </si>
  <si>
    <t>Other</t>
  </si>
  <si>
    <t>Elantas / Altana</t>
  </si>
  <si>
    <t>DOWC</t>
  </si>
  <si>
    <t>ELANTAS</t>
  </si>
  <si>
    <t>HENKEL</t>
  </si>
  <si>
    <t>Manufactures
Symbol</t>
  </si>
  <si>
    <t>Description</t>
  </si>
  <si>
    <t>X Usage</t>
  </si>
  <si>
    <t>Fluid
Schematic</t>
  </si>
  <si>
    <t>Electrical
Schematic</t>
  </si>
  <si>
    <t>Pneumatic
Schematic</t>
  </si>
  <si>
    <t>163-03482</t>
  </si>
  <si>
    <t>163-03483</t>
  </si>
  <si>
    <t>163-03484</t>
  </si>
  <si>
    <t>163-03485</t>
  </si>
  <si>
    <t>163-03486</t>
  </si>
  <si>
    <t>6oz Cartridge Retainer</t>
  </si>
  <si>
    <t>163-03476</t>
  </si>
  <si>
    <t>163-03477</t>
  </si>
  <si>
    <t>12oz Cartridge Retainer</t>
  </si>
  <si>
    <t>163-03478</t>
  </si>
  <si>
    <t>163-03479</t>
  </si>
  <si>
    <t>20oz Cartridge Retainer</t>
  </si>
  <si>
    <t>32oz Cartridge Retainer</t>
  </si>
  <si>
    <t>163-03475</t>
  </si>
  <si>
    <t>163-03474</t>
  </si>
  <si>
    <t>163-03469</t>
  </si>
  <si>
    <t>163-03473</t>
  </si>
  <si>
    <t>163-03472</t>
  </si>
  <si>
    <t>2 Gallon Flip Top Pressure Tank</t>
  </si>
  <si>
    <t>2 Gallon Flip Top Pressure Tank with Float</t>
  </si>
  <si>
    <t>2 Gallon Flip Top Pressure Tank with Scale</t>
  </si>
  <si>
    <t>10 Gallon Pressure Tank</t>
  </si>
  <si>
    <t>10 Gallon Pressure Tank with Float</t>
  </si>
  <si>
    <t>10 Gallon Pressure Tank with Scale</t>
  </si>
  <si>
    <t>163-03471</t>
  </si>
  <si>
    <t>163-03470</t>
  </si>
  <si>
    <t>163-03468</t>
  </si>
  <si>
    <t>N/A</t>
  </si>
  <si>
    <t>Black Light</t>
  </si>
  <si>
    <t>612-1867-1</t>
  </si>
  <si>
    <t>612-1869-1</t>
  </si>
  <si>
    <t>612-1870-1</t>
  </si>
  <si>
    <t>612-1871-1</t>
  </si>
  <si>
    <t>612-1872-1</t>
  </si>
  <si>
    <t>612-1873-1</t>
  </si>
  <si>
    <t>612-1874-1</t>
  </si>
  <si>
    <t>612-1887-1</t>
  </si>
  <si>
    <t>612-1888-1</t>
  </si>
  <si>
    <t>612-1889-1</t>
  </si>
  <si>
    <t>612-1890-1</t>
  </si>
  <si>
    <t>612-1891-1</t>
  </si>
  <si>
    <t>612-1892-1</t>
  </si>
  <si>
    <t>612-1893-1</t>
  </si>
  <si>
    <t>612-1894-1</t>
  </si>
  <si>
    <t>612-1895-1</t>
  </si>
  <si>
    <t>612-1896-1</t>
  </si>
  <si>
    <t>612-1897-1</t>
  </si>
  <si>
    <t>612-1898-1</t>
  </si>
  <si>
    <t>612-1899-1</t>
  </si>
  <si>
    <t>163-03501</t>
  </si>
  <si>
    <t>163-03502</t>
  </si>
  <si>
    <t>Company Name:</t>
  </si>
  <si>
    <t>Signature:</t>
  </si>
  <si>
    <t>Print Name:</t>
  </si>
  <si>
    <t>Title:</t>
  </si>
  <si>
    <t>Date:</t>
  </si>
  <si>
    <t>133-02397</t>
  </si>
  <si>
    <t>BOM
Type</t>
  </si>
  <si>
    <t>SW</t>
  </si>
  <si>
    <t>WORD</t>
  </si>
  <si>
    <t>Work Area Options</t>
  </si>
  <si>
    <t>SolventFlush</t>
  </si>
  <si>
    <t>12oz Cartridge Retainer - Solvent</t>
  </si>
  <si>
    <t>612-1955-1</t>
  </si>
  <si>
    <t>612-1956-1</t>
  </si>
  <si>
    <t>Solvent Flush - 1</t>
  </si>
  <si>
    <t>Solvent Flush - 2</t>
  </si>
  <si>
    <t>Spare Parts Kit</t>
  </si>
  <si>
    <t>612-1957-1</t>
  </si>
  <si>
    <t>Unit
Price</t>
  </si>
  <si>
    <t>Extended
Price</t>
  </si>
  <si>
    <t>Price</t>
  </si>
  <si>
    <t>SO Number:</t>
  </si>
  <si>
    <t>Customer:</t>
  </si>
  <si>
    <t>Part #</t>
  </si>
  <si>
    <t>Spare Parts Kit #</t>
  </si>
  <si>
    <t>612-1961-1</t>
  </si>
  <si>
    <t>612-1962-1</t>
  </si>
  <si>
    <t>612-1963-1</t>
  </si>
  <si>
    <t>612-1964-1</t>
  </si>
  <si>
    <t>612-1965-1</t>
  </si>
  <si>
    <t>612-1966-1</t>
  </si>
  <si>
    <t>612-1969-1</t>
  </si>
  <si>
    <t>612-1970-1</t>
  </si>
  <si>
    <t>612-1971-1</t>
  </si>
  <si>
    <t>612-1972-1</t>
  </si>
  <si>
    <t>612-1973-1</t>
  </si>
  <si>
    <t>612-1974-1</t>
  </si>
  <si>
    <t>612-1975-1</t>
  </si>
  <si>
    <t>612-1976-1</t>
  </si>
  <si>
    <t>612-1980-1</t>
  </si>
  <si>
    <t>Project:</t>
  </si>
  <si>
    <t>Serial #:</t>
  </si>
  <si>
    <t>TFA-BC</t>
  </si>
  <si>
    <t>Material Reservoir</t>
  </si>
  <si>
    <t>Material Reservoir - 1</t>
  </si>
  <si>
    <t>Material Reservoir - 2</t>
  </si>
  <si>
    <t>QUALITY CONTROL CHECKLIST</t>
  </si>
  <si>
    <t>MACHINE VISION CHECKLIST</t>
  </si>
  <si>
    <t>Model</t>
  </si>
  <si>
    <t>Project #</t>
  </si>
  <si>
    <t xml:space="preserve">Customer </t>
  </si>
  <si>
    <t>Serial #</t>
  </si>
  <si>
    <t>Page 1 of 1</t>
  </si>
  <si>
    <t>Req By</t>
  </si>
  <si>
    <t>Date</t>
  </si>
  <si>
    <t>Cmp By</t>
  </si>
  <si>
    <t>PUNCH LIST</t>
  </si>
  <si>
    <t>FLUID DELIVERY CHECKLIST</t>
  </si>
  <si>
    <t>q</t>
  </si>
  <si>
    <t>Machine matches specifications</t>
  </si>
  <si>
    <t>Power Check</t>
  </si>
  <si>
    <t>All I/O points verified</t>
  </si>
  <si>
    <t>Amps and encoders are operational</t>
  </si>
  <si>
    <t>System homed</t>
  </si>
  <si>
    <t>All pneumatic components operational</t>
  </si>
  <si>
    <t>Conveyors are parallel</t>
  </si>
  <si>
    <t>Serial tag installed and correct</t>
  </si>
  <si>
    <t>Performed by:</t>
  </si>
  <si>
    <t>X Delta:</t>
  </si>
  <si>
    <t>Y Delta:</t>
  </si>
  <si>
    <t>Counts</t>
  </si>
  <si>
    <t>Z Delta:</t>
  </si>
  <si>
    <t>W Delta:</t>
  </si>
  <si>
    <t>Compression fittings checked</t>
  </si>
  <si>
    <t>Internal material line connections secure</t>
  </si>
  <si>
    <t>Material lines routed to avoid kinks</t>
  </si>
  <si>
    <t>Material line labels present</t>
  </si>
  <si>
    <t>Fittings secured</t>
  </si>
  <si>
    <t>Labels all face same direction</t>
  </si>
  <si>
    <t>PROGRAMMING CHECKLIST - HARDWARE</t>
  </si>
  <si>
    <t>PROGRAMMING CHECKLIST - SOFTWARE</t>
  </si>
  <si>
    <t>Flowmeter Operational</t>
  </si>
  <si>
    <t>Outputs Verified</t>
  </si>
  <si>
    <t>Material Lines Secure and Well Routed</t>
  </si>
  <si>
    <t>All Dispensing Valves Operational</t>
  </si>
  <si>
    <t>Flow Controls Set</t>
  </si>
  <si>
    <t>System Run on Field Voltage</t>
  </si>
  <si>
    <t>Material Scales Operational</t>
  </si>
  <si>
    <t>Calibration Plate Present</t>
  </si>
  <si>
    <t>Inputs Verified</t>
  </si>
  <si>
    <t>All Motors Tuned</t>
  </si>
  <si>
    <t>Axis Limits Verified</t>
  </si>
  <si>
    <t>No System Faults Present</t>
  </si>
  <si>
    <t>Auto Mode Operational</t>
  </si>
  <si>
    <t>Tank Floats Verified</t>
  </si>
  <si>
    <t>Final Program Uploaded to Server</t>
  </si>
  <si>
    <t>Burn In Hours:</t>
  </si>
  <si>
    <t>By:</t>
  </si>
  <si>
    <t>Primary Prog:</t>
  </si>
  <si>
    <t>Head #</t>
  </si>
  <si>
    <t>Part#</t>
  </si>
  <si>
    <t>Mounted Valves</t>
  </si>
  <si>
    <t>Un-Mounted Valves</t>
  </si>
  <si>
    <t>Controller</t>
  </si>
  <si>
    <t>Motors / Flow Monitors</t>
  </si>
  <si>
    <t>Axis</t>
  </si>
  <si>
    <t>X</t>
  </si>
  <si>
    <t>Y</t>
  </si>
  <si>
    <t>Z</t>
  </si>
  <si>
    <t>W</t>
  </si>
  <si>
    <t>Motor Serial #</t>
  </si>
  <si>
    <t>Pressure Transducers Operational</t>
  </si>
  <si>
    <t>Manual Mode Operational</t>
  </si>
  <si>
    <t>Setup Mode Operational</t>
  </si>
  <si>
    <t>Exhaust Switch Verified</t>
  </si>
  <si>
    <t>Flow Monitor
Serial #</t>
  </si>
  <si>
    <t>QA Final Signoff</t>
  </si>
  <si>
    <t>QC Final Signoff</t>
  </si>
  <si>
    <t>Camera in Correct Location</t>
  </si>
  <si>
    <t>Light is Correct Color</t>
  </si>
  <si>
    <t>6mm Spacer Installed</t>
  </si>
  <si>
    <t>Lens Aperture Set to 4</t>
  </si>
  <si>
    <t>Focus and Aperture Rings are Locked</t>
  </si>
  <si>
    <t>Calibration Test Complete</t>
  </si>
  <si>
    <t>Light is in Correct Location</t>
  </si>
  <si>
    <t>35mm Lens Installed</t>
  </si>
  <si>
    <t>NI IMAQ dx
Version</t>
  </si>
  <si>
    <t>NI Vision Builder AI
Version</t>
  </si>
  <si>
    <t>NI Vision Development Runtime</t>
  </si>
  <si>
    <t>XML Viewer Installed</t>
  </si>
  <si>
    <t>Camera Make</t>
  </si>
  <si>
    <t>Camera Model #</t>
  </si>
  <si>
    <t>License Sticker Fillout and Applied</t>
  </si>
  <si>
    <t>Cable Routing is Acceptable</t>
  </si>
  <si>
    <t>FINAL ACCPETANCE</t>
  </si>
  <si>
    <t>CUSTOMER ACCEPTANCE</t>
  </si>
  <si>
    <t>Signature</t>
  </si>
  <si>
    <t>Print</t>
  </si>
  <si>
    <t>Title</t>
  </si>
  <si>
    <t>Customer Service Signoff</t>
  </si>
  <si>
    <t>Camera and Calibration Files Backed up to PC and Server</t>
  </si>
  <si>
    <t>Thank you once again for your valued order of PVA products.  The system has met all of the specifications agreed to by Precision Valve &amp; Automation, Inc. and has successfully completed its runoff.  Approval for shipment per arrangements set forth in the purchase order is also granted.  This approval also indicates that any deposits per a payment schedule on the purchase order are to be executed.</t>
  </si>
  <si>
    <t>QC - CALIBRATION</t>
  </si>
  <si>
    <t>QC - INITIAL</t>
  </si>
  <si>
    <t>PROGRAMMING - VISION CHECKLIST</t>
  </si>
  <si>
    <t>PRODUCTION</t>
  </si>
  <si>
    <t>COMPONENT SERIAL NUMBERS</t>
  </si>
  <si>
    <t>SYSTEM ASSEMBLY</t>
  </si>
  <si>
    <t>Programming Camera</t>
  </si>
  <si>
    <t>ü</t>
  </si>
  <si>
    <t>Mechanical Assembler</t>
  </si>
  <si>
    <t>Electrical Integrator</t>
  </si>
  <si>
    <t>Computer</t>
  </si>
  <si>
    <t>SERIAL TAG</t>
  </si>
  <si>
    <t>Current</t>
  </si>
  <si>
    <t>Frequency</t>
  </si>
  <si>
    <t>Phases</t>
  </si>
  <si>
    <t>Pressure</t>
  </si>
  <si>
    <t>Delta 6</t>
  </si>
  <si>
    <t>Interrupting
Capacity</t>
  </si>
  <si>
    <t>12A</t>
  </si>
  <si>
    <t>200kA</t>
  </si>
  <si>
    <t>50/60 Hz</t>
  </si>
  <si>
    <t>1Ø</t>
  </si>
  <si>
    <t>80-100 PSI</t>
  </si>
  <si>
    <t>163-03509</t>
  </si>
  <si>
    <t>163-03510</t>
  </si>
  <si>
    <t>Job</t>
  </si>
  <si>
    <t>Returned to Production</t>
  </si>
  <si>
    <t>Received by Production</t>
  </si>
  <si>
    <t>Received by Fluids</t>
  </si>
  <si>
    <t>Scale Only - Customer Vessel</t>
  </si>
  <si>
    <t>B22-02244</t>
  </si>
  <si>
    <t>10CC Syringe</t>
  </si>
  <si>
    <t>612-2048-1</t>
  </si>
  <si>
    <t>163-03545</t>
  </si>
  <si>
    <t>PO Date</t>
  </si>
  <si>
    <t>Programming</t>
  </si>
  <si>
    <t>Completion</t>
  </si>
  <si>
    <t>Acceptance at PVA by Customer</t>
  </si>
  <si>
    <t>Lead Time</t>
  </si>
  <si>
    <t>Project Number</t>
  </si>
  <si>
    <t>Serial Number</t>
  </si>
  <si>
    <t>Sales Order Number</t>
  </si>
  <si>
    <t>This specification accurately represents the required system for the intended application and process.  PVA offers free process development during acceptance.  PVA is not responsible for any changes needed to accommodate additional process requirements.</t>
  </si>
  <si>
    <t>2 Gallon Flip Top Pressure Tank - Solvent</t>
  </si>
  <si>
    <t>A</t>
  </si>
  <si>
    <t>B</t>
  </si>
  <si>
    <t>612-2092-1</t>
  </si>
  <si>
    <t>Bi-Directional with 2nd Stop</t>
  </si>
  <si>
    <t>VISION - FINAL QA</t>
  </si>
  <si>
    <t>Certification</t>
  </si>
  <si>
    <t>CE</t>
  </si>
  <si>
    <t>CSA</t>
  </si>
  <si>
    <t>2 Liter Bottle Pressure Reservoir</t>
  </si>
  <si>
    <t>2 Liter Bottle Pressure Reservoir with Scale</t>
  </si>
  <si>
    <t>5 Liter Bottle Pressure Reservoir</t>
  </si>
  <si>
    <t>5 Liter Bottle Pressure Reservoir with Scale</t>
  </si>
  <si>
    <t>612-2093-1</t>
  </si>
  <si>
    <t>612-2094-1</t>
  </si>
  <si>
    <t>612-2104-1</t>
  </si>
  <si>
    <t>612-2105-1</t>
  </si>
  <si>
    <t>163-03554</t>
  </si>
  <si>
    <t>163-03555</t>
  </si>
  <si>
    <t>10 G Tank with Scale and Dow Corning Bag Adapter</t>
  </si>
  <si>
    <t>612-2132-1</t>
  </si>
  <si>
    <t>612-2133-1</t>
  </si>
  <si>
    <t>Rev</t>
  </si>
  <si>
    <t>In
Epi</t>
  </si>
  <si>
    <t>X
Usage</t>
  </si>
  <si>
    <t>Y
Usage</t>
  </si>
  <si>
    <t>622-0252-1</t>
  </si>
  <si>
    <t>C</t>
  </si>
  <si>
    <t>Item #</t>
  </si>
  <si>
    <t>Complete</t>
  </si>
  <si>
    <t>163-03562</t>
  </si>
  <si>
    <t>123-04622, B</t>
  </si>
  <si>
    <t>FC100-C4, 23g</t>
  </si>
  <si>
    <t>Future</t>
  </si>
  <si>
    <t>Single Drawer</t>
  </si>
  <si>
    <t>Dual Drawer</t>
  </si>
  <si>
    <t>612-2160-1</t>
  </si>
  <si>
    <t>612-2161-1</t>
  </si>
  <si>
    <t>163-03564</t>
  </si>
  <si>
    <t>User Configurable MES</t>
  </si>
  <si>
    <t>FCS300-ES-ND</t>
  </si>
  <si>
    <t>612-2199-1</t>
  </si>
  <si>
    <t>612-2200-1</t>
  </si>
  <si>
    <t>163-03570</t>
  </si>
  <si>
    <t>Auto Adjustable Valve Head, 2 Valve, 8" Max</t>
  </si>
  <si>
    <t>2 Gallon Top Ported Tank</t>
  </si>
  <si>
    <t>2 Gallon Top Ported Tank with Float</t>
  </si>
  <si>
    <t>2 Gallon Top Ported Tank with Scale</t>
  </si>
  <si>
    <t>612-2203-1</t>
  </si>
  <si>
    <t>612-2204-1</t>
  </si>
  <si>
    <t>612-2205-1</t>
  </si>
  <si>
    <t>612-2206-1</t>
  </si>
  <si>
    <t>612-2207-1</t>
  </si>
  <si>
    <t>612-2208-1</t>
  </si>
  <si>
    <t>163-03571</t>
  </si>
  <si>
    <t>163-03572</t>
  </si>
  <si>
    <t>163-03573</t>
  </si>
  <si>
    <t>N</t>
  </si>
  <si>
    <t>Priority</t>
  </si>
  <si>
    <t>Rail
Usage</t>
  </si>
  <si>
    <t>Work Cell</t>
  </si>
  <si>
    <t>Delta 8</t>
  </si>
  <si>
    <t>Dispense Head</t>
  </si>
  <si>
    <t>Accessories</t>
  </si>
  <si>
    <t>Point of Dispense</t>
  </si>
  <si>
    <t>Head Options</t>
  </si>
  <si>
    <t>Part Handling</t>
  </si>
  <si>
    <t>Fluid Path Options</t>
  </si>
  <si>
    <t>Atom Air</t>
  </si>
  <si>
    <t>Valves</t>
  </si>
  <si>
    <t>Direct Series Work Cell Configurator</t>
  </si>
  <si>
    <t>Original</t>
  </si>
  <si>
    <t>612-1879-1</t>
  </si>
  <si>
    <t>Flow Meter</t>
  </si>
  <si>
    <t>1 - Work Cell</t>
  </si>
  <si>
    <t>2 - Fluid Delivery</t>
  </si>
  <si>
    <t>3 - Dispense Head</t>
  </si>
  <si>
    <t>4 - Point of Dispense</t>
  </si>
  <si>
    <t>5 - Part Handling</t>
  </si>
  <si>
    <t>6 - Head Options</t>
  </si>
  <si>
    <t>7 - Work Area Options</t>
  </si>
  <si>
    <t>Rail Usage</t>
  </si>
  <si>
    <t>WORK_CELL</t>
  </si>
  <si>
    <t>FLUID_DELIVERY</t>
  </si>
  <si>
    <t>POD</t>
  </si>
  <si>
    <t>POD_NOSPRAY</t>
  </si>
  <si>
    <t>Camera</t>
  </si>
  <si>
    <t>CONVEYOR</t>
  </si>
  <si>
    <t>DISPENSE_HEAD</t>
  </si>
  <si>
    <t>Not Syringe</t>
  </si>
  <si>
    <t>AVAIL_DELIV</t>
  </si>
  <si>
    <t>10 - Accessories</t>
  </si>
  <si>
    <t>Spare Parts</t>
  </si>
  <si>
    <t>Solvent Flush</t>
  </si>
  <si>
    <t>Unmounted 1</t>
  </si>
  <si>
    <t>Unmounted 2</t>
  </si>
  <si>
    <t>Unmounted 3</t>
  </si>
  <si>
    <t>Unmounted 4</t>
  </si>
  <si>
    <t>CAMERA</t>
  </si>
  <si>
    <t>weeks</t>
  </si>
  <si>
    <t>Axis of Motion</t>
  </si>
  <si>
    <t>Flow Meter - 1</t>
  </si>
  <si>
    <t>Material Manufacturer - 1</t>
  </si>
  <si>
    <t>Material - 1</t>
  </si>
  <si>
    <t>Flow Meter - 2</t>
  </si>
  <si>
    <t>Material Manufacturer - 2</t>
  </si>
  <si>
    <t>Material - 2</t>
  </si>
  <si>
    <t>Galil</t>
  </si>
  <si>
    <t>B92-00004</t>
  </si>
  <si>
    <t>B92-00003</t>
  </si>
  <si>
    <t>B92-00008</t>
  </si>
  <si>
    <t>612-1953-1</t>
  </si>
  <si>
    <t>DMC-4040-NO AMP</t>
  </si>
  <si>
    <t>DMC-4080-NO AMP</t>
  </si>
  <si>
    <t>Part # Look Up Column</t>
  </si>
  <si>
    <t>Galil # Look Up Column</t>
  </si>
  <si>
    <t>WORKCELL BOM</t>
  </si>
  <si>
    <t>612-1879-2</t>
  </si>
  <si>
    <t>612-1879-3</t>
  </si>
  <si>
    <t>612-1879-4</t>
  </si>
  <si>
    <t>Lead
Time</t>
  </si>
  <si>
    <t>S</t>
  </si>
  <si>
    <t>O</t>
  </si>
  <si>
    <t>Fiducial Camera</t>
  </si>
  <si>
    <t>Catch All BOM</t>
  </si>
  <si>
    <t>612-2254-3</t>
  </si>
  <si>
    <t>612-2254-4</t>
  </si>
  <si>
    <t>612-2254-5</t>
  </si>
  <si>
    <t>612-2254-6</t>
  </si>
  <si>
    <t>Galil and Accessories</t>
  </si>
  <si>
    <t>612-1957-2</t>
  </si>
  <si>
    <t>Revision 1.0</t>
  </si>
  <si>
    <t>612-1867-2</t>
  </si>
  <si>
    <t>PVA Customer Service Representative</t>
  </si>
  <si>
    <t>Revision 8/26/2015</t>
  </si>
  <si>
    <t>2 Station Dispense Head</t>
  </si>
  <si>
    <t>2 Station Dispense Head with Two Position Tilt on Station 2</t>
  </si>
  <si>
    <t>3 Station Dispense Head with Two Position Tilt on Stations 2 and 3</t>
  </si>
  <si>
    <t>2 Station Dispense Head with Two Position Twist on Station 2</t>
  </si>
  <si>
    <t>Servo 4th Axis with 3 Dispense Stations and (2) Two Position Tilts</t>
  </si>
  <si>
    <t>Workcell</t>
  </si>
  <si>
    <t>Edge Chain Conveyor with Hand Crank</t>
  </si>
  <si>
    <t>PVA Sales Person</t>
  </si>
  <si>
    <t>PVASALES</t>
  </si>
  <si>
    <t>Frank Hart</t>
  </si>
  <si>
    <t>Chris Donham</t>
  </si>
  <si>
    <t>Gavin Matupang</t>
  </si>
  <si>
    <t>David Gomez</t>
  </si>
  <si>
    <t>Frank Peng</t>
  </si>
  <si>
    <t>Paul Kim</t>
  </si>
  <si>
    <t>Jeremy Prusky</t>
  </si>
  <si>
    <t>Pieter van der Vorst</t>
  </si>
  <si>
    <t>Station 1</t>
  </si>
  <si>
    <t>Station 1 Fluid Delivery</t>
  </si>
  <si>
    <t>Station 2</t>
  </si>
  <si>
    <t>Station 2 Fluid Delivery</t>
  </si>
  <si>
    <t>Station 3 Fluid Delivery</t>
  </si>
  <si>
    <t>Station 4</t>
  </si>
  <si>
    <t>Station 4 Fluid Delivery</t>
  </si>
  <si>
    <t>SCHEMATICS</t>
  </si>
  <si>
    <t>Price (USD)</t>
  </si>
  <si>
    <t>612-1879-5</t>
  </si>
  <si>
    <t>Auto Schematics</t>
  </si>
  <si>
    <t>Revision 1.03</t>
  </si>
  <si>
    <t>Delta 8 Lead Time Reduced to 5 Weeks from 6</t>
  </si>
  <si>
    <t>Added 3 valve head with twist</t>
  </si>
  <si>
    <t>612-2271-1</t>
  </si>
  <si>
    <t>2/10 gallon Tanks with Agitators</t>
  </si>
  <si>
    <t>Individual Solvent Feeds</t>
  </si>
  <si>
    <t>3 Station Dispense Head with Twist on Station 2 and Tilt on Station 3</t>
  </si>
  <si>
    <t>612-2347-1</t>
  </si>
  <si>
    <t>Adjustable Printed Circuit Board Fixture</t>
  </si>
  <si>
    <t>612-2354-1</t>
  </si>
  <si>
    <t>Fume Extractor</t>
  </si>
  <si>
    <t>ACCESSORIES</t>
  </si>
  <si>
    <t>612-2358-1</t>
  </si>
  <si>
    <t>Revision 1.04</t>
  </si>
  <si>
    <t>Added Flex Fixture</t>
  </si>
  <si>
    <t>Added Fume Extractor</t>
  </si>
  <si>
    <t>Station 3</t>
  </si>
  <si>
    <t>Edge Chain Conveyor with Auto Adjust</t>
  </si>
  <si>
    <t>UNMOUNTED</t>
  </si>
  <si>
    <t>GPCC Package Including - 10 Gallon Tank, Scale, 2 Gallon Solvent Flush</t>
  </si>
  <si>
    <t>Reduced lead time on Delta 8 to 4 weeks</t>
  </si>
  <si>
    <t>Changed the way Unmounted Valves are Handled</t>
  </si>
  <si>
    <t>Notes:</t>
  </si>
  <si>
    <t>Revision 2.0</t>
  </si>
  <si>
    <t>Katie Duma</t>
  </si>
  <si>
    <t>612-2482-1</t>
  </si>
  <si>
    <t>612-2483-1</t>
  </si>
  <si>
    <t>612-2484-1</t>
  </si>
  <si>
    <t>DEPT</t>
  </si>
  <si>
    <t>Control</t>
  </si>
  <si>
    <t>Build</t>
  </si>
  <si>
    <t>Fluids</t>
  </si>
  <si>
    <t>Service</t>
  </si>
  <si>
    <t>Prog.</t>
  </si>
  <si>
    <t>Mech.</t>
  </si>
  <si>
    <t>Dept</t>
  </si>
  <si>
    <t>612-2389-1</t>
  </si>
  <si>
    <t>612-2482-30</t>
  </si>
  <si>
    <t>612-2482-10</t>
  </si>
  <si>
    <t>612-2482-20</t>
  </si>
  <si>
    <t>612-2483-10</t>
  </si>
  <si>
    <t>612-2484-10</t>
  </si>
  <si>
    <t>Add Pricing to IR Configurator</t>
  </si>
  <si>
    <t>Reduce Lead time on Delta 3 to 6 weeks</t>
  </si>
  <si>
    <t>Add / Updated Pricing</t>
  </si>
  <si>
    <t>Add GPCC</t>
  </si>
  <si>
    <t>Add 4 Station Dispense Head Dual Tooled Manually Adjustable</t>
  </si>
  <si>
    <t>Add IR Oven - Initial Lead Time is 7 Weeks</t>
  </si>
  <si>
    <t>Add Conveyor Auto Adjust</t>
  </si>
  <si>
    <t>612-2354-2</t>
  </si>
  <si>
    <t>QC  - INITIAL</t>
  </si>
  <si>
    <t>Barcode - Mounted on Conveyor Inlet with P Select</t>
  </si>
  <si>
    <t>No</t>
  </si>
  <si>
    <t>Add Barcode Reader / P Select</t>
  </si>
  <si>
    <t>Revision 2.11</t>
  </si>
  <si>
    <t>Correction - Barcode removed as an option on the Delta3</t>
  </si>
  <si>
    <t>In Queue</t>
  </si>
  <si>
    <t>Revision 2.10</t>
  </si>
  <si>
    <t>Y Usage</t>
  </si>
  <si>
    <t>Correction - Fixed work area estimate</t>
  </si>
  <si>
    <t>Revision 2.12</t>
  </si>
  <si>
    <t>Updated base build part numbers</t>
  </si>
  <si>
    <t>Revision 2.13</t>
  </si>
  <si>
    <t>Changed IR BOM to output hand crank assembly</t>
  </si>
  <si>
    <t>Bulb</t>
  </si>
  <si>
    <t>Removed IR</t>
  </si>
  <si>
    <t>Changed 4 valve picture</t>
  </si>
  <si>
    <t>612-1001-7</t>
  </si>
  <si>
    <t>Fan Width Sensor</t>
  </si>
  <si>
    <t>Fan Width Sensor with Continuous Film Calibration</t>
  </si>
  <si>
    <t>Removed Delta 3</t>
  </si>
  <si>
    <t>E</t>
  </si>
  <si>
    <t>F</t>
  </si>
  <si>
    <t>Revision 3/30/2016</t>
  </si>
  <si>
    <t>Removed GPCC valve limitations</t>
  </si>
  <si>
    <t>112-4922</t>
  </si>
  <si>
    <t>PROE</t>
  </si>
  <si>
    <t>Schematic</t>
  </si>
  <si>
    <t>Add Locating Pins</t>
  </si>
  <si>
    <t>4 Station Dispense Head Dual Tooled Manually Adjustable, 32-200mm</t>
  </si>
  <si>
    <t>FIXED RAIL POSITION</t>
  </si>
  <si>
    <t>DELTA 6</t>
  </si>
  <si>
    <t>DELTA 8</t>
  </si>
  <si>
    <t>Pin Locators</t>
  </si>
  <si>
    <t>180mm</t>
  </si>
  <si>
    <t>Belt Conveyor with Auto Adjust</t>
  </si>
  <si>
    <t>Belt Conveyor with Hand Crank</t>
  </si>
  <si>
    <t>Edge Chain Conveyor - Manual Adjust</t>
  </si>
  <si>
    <t>Belt Conveyor - Manual Adjust</t>
  </si>
  <si>
    <t>612-2996-11</t>
  </si>
  <si>
    <t>612-2996-21</t>
  </si>
  <si>
    <t>612-2996-31</t>
  </si>
  <si>
    <t>612-2996-12</t>
  </si>
  <si>
    <t>612-2996-22</t>
  </si>
  <si>
    <t>612-2996-32</t>
  </si>
  <si>
    <t>612-3144-1</t>
  </si>
  <si>
    <t>612-3144-2</t>
  </si>
  <si>
    <t>CONOP</t>
  </si>
  <si>
    <t>Conveyor Options</t>
  </si>
  <si>
    <t>GALIL</t>
  </si>
  <si>
    <t>Added Belt Conveyor</t>
  </si>
  <si>
    <t>Added Bellows to All Conveyors</t>
  </si>
  <si>
    <t>Updated Crank and Auto Adjust Design</t>
  </si>
  <si>
    <t>130mm</t>
  </si>
  <si>
    <t>157mm</t>
  </si>
  <si>
    <t>Added Fixed Rail Position Output</t>
  </si>
  <si>
    <t>612-3327-11</t>
  </si>
  <si>
    <t>612-3327-21</t>
  </si>
  <si>
    <t>612-3327-31</t>
  </si>
  <si>
    <t>612-3327-12</t>
  </si>
  <si>
    <t>612-3327-22</t>
  </si>
  <si>
    <t>612-3327-32</t>
  </si>
  <si>
    <t>612-1878-2</t>
  </si>
  <si>
    <t>Updated Programming Camera Assembly</t>
  </si>
  <si>
    <t>Add Jetter Heads</t>
  </si>
  <si>
    <t>Item Name</t>
  </si>
  <si>
    <t>Item Image</t>
  </si>
  <si>
    <t/>
  </si>
  <si>
    <t>Do not delete this cell</t>
  </si>
  <si>
    <t>&lt;-These cells are intentionally left blank</t>
  </si>
  <si>
    <t>Head picture changes with selection</t>
  </si>
  <si>
    <t>612-3336-1</t>
  </si>
  <si>
    <t>612-3338-1</t>
  </si>
  <si>
    <t>Jetter Dispense Head with Twist on Station 2 - Includes Jetter</t>
  </si>
  <si>
    <t>612-3172-1</t>
  </si>
  <si>
    <t>612-3172-2</t>
  </si>
  <si>
    <t>Jetter Dispense Head with Second Station - Includes Jetter</t>
  </si>
  <si>
    <t>100-120v 50/60Hz</t>
  </si>
  <si>
    <t>200-240v 50/60Hz</t>
  </si>
  <si>
    <t>Revision 2.17</t>
  </si>
  <si>
    <t>Delta 6 Pin Locator Drawing</t>
  </si>
  <si>
    <t>Delta 8 Pin Locator Drawing</t>
  </si>
  <si>
    <t>Low Level Cartridge Sensors</t>
  </si>
  <si>
    <t>612-2389-2</t>
  </si>
  <si>
    <t>Added left and right version of 4 valve head</t>
  </si>
  <si>
    <t>Changed schematic reference on tag</t>
  </si>
  <si>
    <t>Added CFC - Continuous Fan width Control</t>
  </si>
  <si>
    <t>642-0221</t>
  </si>
  <si>
    <t>642-0223</t>
  </si>
  <si>
    <t>Lead Time Shown</t>
  </si>
  <si>
    <t>Added Dynamic Head Picture</t>
  </si>
  <si>
    <t>Additional tank combinations</t>
  </si>
  <si>
    <t>Proflow</t>
  </si>
  <si>
    <t>Meter mix</t>
  </si>
  <si>
    <t>Dispensing</t>
  </si>
  <si>
    <t>Sunburst EMS</t>
  </si>
  <si>
    <t>SUNB4723</t>
  </si>
  <si>
    <t>S1088</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</si>
</sst>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409]mmm\-yy;@"/>
    <numFmt numFmtId="165" formatCode="m/d/yy;@"/>
  </numFmts>
  <fonts count="32" x14ac:knownFonts="1">
    <font>
      <sz val="11"/>
      <color theme="1"/>
      <name val="Calibri"/>
      <family val="2"/>
      <scheme val="minor"/>
    </font>
    <font>
      <b/>
      <sz val="15"/>
      <color theme="3"/>
      <name val="Calibri"/>
      <family val="2"/>
      <scheme val="minor"/>
    </font>
    <font>
      <b/>
      <sz val="13"/>
      <color theme="3"/>
      <name val="Calibri"/>
      <family val="2"/>
      <scheme val="minor"/>
    </font>
    <font>
      <sz val="11"/>
      <color rgb="FF3F3F76"/>
      <name val="Calibri"/>
      <family val="2"/>
      <scheme val="minor"/>
    </font>
    <font>
      <b/>
      <sz val="18"/>
      <color theme="3"/>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sz val="11"/>
      <name val="Calibri"/>
      <family val="2"/>
      <scheme val="minor"/>
    </font>
    <font>
      <sz val="11"/>
      <color rgb="FF000000"/>
      <name val="Calibri"/>
      <family val="2"/>
    </font>
    <font>
      <sz val="9"/>
      <color theme="1"/>
      <name val="Calibri"/>
      <family val="2"/>
      <scheme val="minor"/>
    </font>
    <font>
      <b/>
      <sz val="11"/>
      <color theme="3"/>
      <name val="Calibri"/>
      <family val="2"/>
      <scheme val="minor"/>
    </font>
    <font>
      <sz val="12"/>
      <color theme="1"/>
      <name val="Calibri"/>
      <family val="2"/>
      <scheme val="minor"/>
    </font>
    <font>
      <b/>
      <sz val="12"/>
      <color theme="1"/>
      <name val="Calibri"/>
      <family val="2"/>
      <scheme val="minor"/>
    </font>
    <font>
      <b/>
      <sz val="10"/>
      <color theme="1"/>
      <name val="Calibri"/>
      <family val="2"/>
      <scheme val="minor"/>
    </font>
    <font>
      <sz val="14"/>
      <name val="Calibri"/>
      <family val="2"/>
      <scheme val="minor"/>
    </font>
    <font>
      <sz val="14"/>
      <color theme="1"/>
      <name val="Calibri"/>
      <family val="2"/>
      <scheme val="minor"/>
    </font>
    <font>
      <sz val="10"/>
      <color theme="1"/>
      <name val="Calibri"/>
      <family val="2"/>
      <scheme val="minor"/>
    </font>
    <font>
      <b/>
      <i/>
      <sz val="10"/>
      <color theme="1"/>
      <name val="Calibri"/>
      <family val="2"/>
      <scheme val="minor"/>
    </font>
    <font>
      <sz val="11"/>
      <color theme="1"/>
      <name val="Wingdings"/>
      <charset val="2"/>
    </font>
    <font>
      <sz val="8"/>
      <color theme="1"/>
      <name val="Calibri"/>
      <family val="2"/>
      <scheme val="minor"/>
    </font>
    <font>
      <i/>
      <sz val="9"/>
      <color theme="1"/>
      <name val="Calibri"/>
      <family val="2"/>
      <scheme val="minor"/>
    </font>
    <font>
      <b/>
      <sz val="16"/>
      <color theme="1"/>
      <name val="Calibri"/>
      <family val="2"/>
      <scheme val="minor"/>
    </font>
    <font>
      <b/>
      <sz val="14"/>
      <color theme="3"/>
      <name val="Calibri"/>
      <family val="2"/>
      <scheme val="minor"/>
    </font>
    <font>
      <b/>
      <sz val="13"/>
      <name val="Calibri"/>
      <family val="2"/>
      <scheme val="minor"/>
    </font>
    <font>
      <b/>
      <sz val="9"/>
      <color indexed="81"/>
      <name val="Tahoma"/>
      <family val="2"/>
    </font>
    <font>
      <sz val="9"/>
      <color indexed="81"/>
      <name val="Tahoma"/>
      <family val="2"/>
    </font>
    <font>
      <b/>
      <sz val="16"/>
      <name val="Calibri"/>
      <family val="2"/>
      <scheme val="minor"/>
    </font>
    <font>
      <b/>
      <sz val="18"/>
      <name val="Calibri"/>
      <family val="2"/>
      <scheme val="minor"/>
    </font>
    <font>
      <sz val="11"/>
      <color theme="3"/>
      <name val="Calibri"/>
      <family val="2"/>
      <scheme val="minor"/>
    </font>
    <font>
      <b/>
      <sz val="12"/>
      <color rgb="FF3F3F3F"/>
      <name val="Calibri"/>
      <family val="2"/>
      <scheme val="minor"/>
    </font>
    <font>
      <sz val="11"/>
      <color rgb="FFFF0000"/>
      <name val="Calibri"/>
      <family val="2"/>
      <scheme val="minor"/>
    </font>
  </fonts>
  <fills count="13">
    <fill>
      <patternFill patternType="none"/>
    </fill>
    <fill>
      <patternFill patternType="gray125"/>
    </fill>
    <fill>
      <patternFill patternType="solid">
        <fgColor rgb="FFFFCC99"/>
      </patternFill>
    </fill>
    <fill>
      <patternFill patternType="solid">
        <fgColor rgb="FFF2F2F2"/>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theme="0" tint="-0.14999847407452621"/>
        <bgColor indexed="64"/>
      </patternFill>
    </fill>
    <fill>
      <patternFill patternType="solid">
        <fgColor theme="9"/>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9" tint="0.59999389629810485"/>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ck">
        <color theme="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ck">
        <color theme="4"/>
      </bottom>
      <diagonal/>
    </border>
    <border>
      <left/>
      <right style="thin">
        <color indexed="64"/>
      </right>
      <top style="thin">
        <color indexed="64"/>
      </top>
      <bottom style="thick">
        <color theme="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ck">
        <color theme="4"/>
      </right>
      <top/>
      <bottom/>
      <diagonal/>
    </border>
    <border>
      <left/>
      <right/>
      <top/>
      <bottom style="medium">
        <color theme="4" tint="0.39997558519241921"/>
      </bottom>
      <diagonal/>
    </border>
    <border>
      <left/>
      <right/>
      <top style="thick">
        <color theme="4"/>
      </top>
      <bottom/>
      <diagonal/>
    </border>
    <border>
      <left/>
      <right/>
      <top style="thick">
        <color theme="4"/>
      </top>
      <bottom style="thick">
        <color theme="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theme="4"/>
      </left>
      <right/>
      <top/>
      <bottom/>
      <diagonal/>
    </border>
    <border>
      <left style="thin">
        <color indexed="64"/>
      </left>
      <right style="thin">
        <color indexed="64"/>
      </right>
      <top/>
      <bottom/>
      <diagonal/>
    </border>
  </borders>
  <cellStyleXfs count="8">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6" applyNumberFormat="0" applyAlignment="0" applyProtection="0"/>
    <xf numFmtId="44" fontId="5" fillId="0" borderId="0" applyFont="0" applyFill="0" applyBorder="0" applyAlignment="0" applyProtection="0"/>
    <xf numFmtId="0" fontId="6" fillId="3" borderId="7" applyNumberFormat="0" applyAlignment="0" applyProtection="0"/>
    <xf numFmtId="0" fontId="11" fillId="0" borderId="22" applyNumberFormat="0" applyFill="0" applyAlignment="0" applyProtection="0"/>
    <xf numFmtId="43" fontId="5" fillId="0" borderId="0" applyFont="0" applyFill="0" applyBorder="0" applyAlignment="0" applyProtection="0"/>
  </cellStyleXfs>
  <cellXfs count="378">
    <xf numFmtId="0" fontId="0" fillId="0" borderId="0" xfId="0"/>
    <xf numFmtId="0" fontId="2" fillId="0" borderId="2" xfId="2"/>
    <xf numFmtId="0" fontId="2" fillId="0" borderId="2" xfId="2"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wrapText="1"/>
    </xf>
    <xf numFmtId="0" fontId="0" fillId="0" borderId="0" xfId="0" applyFont="1"/>
    <xf numFmtId="0" fontId="0" fillId="0" borderId="0" xfId="0" applyAlignment="1">
      <alignment horizontal="left" indent="2"/>
    </xf>
    <xf numFmtId="0" fontId="0" fillId="0" borderId="0" xfId="0" applyBorder="1"/>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horizontal="left" indent="1"/>
    </xf>
    <xf numFmtId="0" fontId="0" fillId="0" borderId="0" xfId="0" applyAlignment="1">
      <alignment horizontal="left"/>
    </xf>
    <xf numFmtId="0" fontId="0" fillId="0" borderId="0" xfId="0" applyBorder="1" applyAlignment="1"/>
    <xf numFmtId="49" fontId="0" fillId="0" borderId="0" xfId="0" applyNumberFormat="1" applyFont="1"/>
    <xf numFmtId="0" fontId="0" fillId="0" borderId="0" xfId="0" applyFont="1" applyAlignment="1">
      <alignment horizontal="left"/>
    </xf>
    <xf numFmtId="49" fontId="0" fillId="0" borderId="0" xfId="0" applyNumberFormat="1" applyFill="1"/>
    <xf numFmtId="49" fontId="0" fillId="0" borderId="0" xfId="0" applyNumberFormat="1"/>
    <xf numFmtId="0" fontId="1" fillId="0" borderId="1" xfId="1" applyAlignment="1">
      <alignment horizontal="center" vertical="center"/>
    </xf>
    <xf numFmtId="0" fontId="1" fillId="0" borderId="1" xfId="1" applyAlignment="1">
      <alignment horizontal="center" vertical="center" wrapText="1"/>
    </xf>
    <xf numFmtId="49" fontId="1" fillId="0" borderId="1" xfId="1" applyNumberFormat="1" applyAlignment="1">
      <alignment horizontal="center" vertical="center"/>
    </xf>
    <xf numFmtId="0" fontId="0" fillId="0" borderId="0" xfId="0" applyAlignment="1">
      <alignment horizontal="center"/>
    </xf>
    <xf numFmtId="44" fontId="0" fillId="0" borderId="0" xfId="4" applyFont="1"/>
    <xf numFmtId="44" fontId="6" fillId="3" borderId="7" xfId="5" applyNumberFormat="1"/>
    <xf numFmtId="44" fontId="8" fillId="0" borderId="0" xfId="4" applyFont="1" applyFill="1" applyAlignment="1">
      <alignment horizontal="center" vertical="center"/>
    </xf>
    <xf numFmtId="0" fontId="0" fillId="0" borderId="0" xfId="0" applyAlignment="1">
      <alignment horizontal="left" vertical="center" indent="1"/>
    </xf>
    <xf numFmtId="0" fontId="0" fillId="0" borderId="0" xfId="0" applyBorder="1" applyAlignment="1">
      <alignment horizontal="left" indent="2"/>
    </xf>
    <xf numFmtId="0" fontId="0" fillId="0" borderId="9" xfId="0" applyBorder="1" applyAlignment="1">
      <alignment horizontal="left" indent="2"/>
    </xf>
    <xf numFmtId="0" fontId="1" fillId="0" borderId="12" xfId="1" applyBorder="1" applyAlignment="1">
      <alignment vertical="center"/>
    </xf>
    <xf numFmtId="0" fontId="0" fillId="0" borderId="13" xfId="0" applyBorder="1"/>
    <xf numFmtId="0" fontId="0" fillId="0" borderId="14" xfId="0" applyBorder="1"/>
    <xf numFmtId="0" fontId="0" fillId="0" borderId="0" xfId="0" applyBorder="1" applyAlignment="1">
      <alignment horizontal="left" indent="1"/>
    </xf>
    <xf numFmtId="0" fontId="0" fillId="0" borderId="15" xfId="0" applyBorder="1"/>
    <xf numFmtId="0" fontId="0" fillId="0" borderId="16" xfId="0" applyBorder="1"/>
    <xf numFmtId="0" fontId="0" fillId="0" borderId="0" xfId="0" applyBorder="1" applyAlignment="1">
      <alignment horizontal="right" vertical="center" indent="2"/>
    </xf>
    <xf numFmtId="0" fontId="0" fillId="0" borderId="9" xfId="0" applyBorder="1"/>
    <xf numFmtId="0" fontId="8" fillId="2" borderId="10" xfId="3" applyFont="1" applyBorder="1" applyAlignment="1">
      <alignment horizontal="left" indent="1"/>
    </xf>
    <xf numFmtId="0" fontId="8" fillId="0" borderId="0" xfId="0" applyFont="1" applyBorder="1" applyAlignment="1">
      <alignment horizontal="left"/>
    </xf>
    <xf numFmtId="0" fontId="0" fillId="0" borderId="0" xfId="0" applyBorder="1" applyAlignment="1">
      <alignment horizontal="center" vertical="center"/>
    </xf>
    <xf numFmtId="1" fontId="0" fillId="0" borderId="0" xfId="0" applyNumberFormat="1" applyAlignment="1">
      <alignment horizontal="center" vertical="center"/>
    </xf>
    <xf numFmtId="1" fontId="0" fillId="0" borderId="0" xfId="0" applyNumberFormat="1" applyAlignment="1">
      <alignment horizontal="center"/>
    </xf>
    <xf numFmtId="0" fontId="1" fillId="0" borderId="0" xfId="1" applyBorder="1" applyAlignment="1">
      <alignment horizontal="left" vertical="center"/>
    </xf>
    <xf numFmtId="0" fontId="1" fillId="0" borderId="1" xfId="1" applyBorder="1" applyAlignment="1">
      <alignment horizontal="left" vertical="center"/>
    </xf>
    <xf numFmtId="0" fontId="7" fillId="0" borderId="1" xfId="6" applyFont="1" applyBorder="1" applyAlignment="1">
      <alignment horizontal="left" vertical="center" indent="1"/>
    </xf>
    <xf numFmtId="0" fontId="7" fillId="0" borderId="23" xfId="6" applyFont="1" applyBorder="1" applyAlignment="1">
      <alignment vertical="center"/>
    </xf>
    <xf numFmtId="0" fontId="7" fillId="0" borderId="1" xfId="6" applyFont="1" applyBorder="1" applyAlignment="1">
      <alignment vertical="center"/>
    </xf>
    <xf numFmtId="0" fontId="7" fillId="0" borderId="23" xfId="6" applyFont="1" applyBorder="1" applyAlignment="1">
      <alignment horizontal="left" vertical="center" indent="1"/>
    </xf>
    <xf numFmtId="0" fontId="14" fillId="0" borderId="23" xfId="6" applyFont="1" applyBorder="1" applyAlignment="1">
      <alignment horizontal="right" vertical="center" indent="1"/>
    </xf>
    <xf numFmtId="0" fontId="14" fillId="0" borderId="1" xfId="6" applyFont="1" applyBorder="1" applyAlignment="1">
      <alignment horizontal="right" vertical="center" indent="1"/>
    </xf>
    <xf numFmtId="0" fontId="0" fillId="0" borderId="10" xfId="0" applyBorder="1"/>
    <xf numFmtId="0" fontId="0" fillId="7" borderId="10" xfId="0" applyFill="1" applyBorder="1" applyAlignment="1">
      <alignment horizontal="center"/>
    </xf>
    <xf numFmtId="0" fontId="17" fillId="0" borderId="10" xfId="0" applyFont="1" applyBorder="1" applyAlignment="1">
      <alignment horizontal="left" indent="1"/>
    </xf>
    <xf numFmtId="0" fontId="17" fillId="0" borderId="10" xfId="0" applyFont="1" applyBorder="1"/>
    <xf numFmtId="0" fontId="0" fillId="0" borderId="4" xfId="0" applyBorder="1"/>
    <xf numFmtId="0" fontId="18" fillId="0" borderId="5" xfId="0" applyFont="1" applyBorder="1" applyAlignment="1">
      <alignment horizontal="right" indent="1"/>
    </xf>
    <xf numFmtId="0" fontId="18" fillId="0" borderId="3" xfId="0" applyFont="1" applyBorder="1" applyAlignment="1">
      <alignment horizontal="left" indent="1"/>
    </xf>
    <xf numFmtId="0" fontId="19" fillId="0" borderId="13" xfId="0" applyFont="1" applyBorder="1" applyAlignment="1">
      <alignment horizontal="right" vertical="center"/>
    </xf>
    <xf numFmtId="0" fontId="0" fillId="0" borderId="0" xfId="0" applyBorder="1" applyAlignment="1">
      <alignment horizontal="left" vertical="center"/>
    </xf>
    <xf numFmtId="0" fontId="19" fillId="0" borderId="0" xfId="0" applyFont="1" applyBorder="1" applyAlignment="1">
      <alignment horizontal="right" vertical="center"/>
    </xf>
    <xf numFmtId="0" fontId="0" fillId="5" borderId="3" xfId="0" applyFill="1" applyBorder="1" applyAlignment="1">
      <alignment horizontal="left" indent="1"/>
    </xf>
    <xf numFmtId="0" fontId="0" fillId="5" borderId="4" xfId="0" applyFill="1" applyBorder="1"/>
    <xf numFmtId="0" fontId="0" fillId="5" borderId="5" xfId="0" applyFill="1" applyBorder="1"/>
    <xf numFmtId="0" fontId="0" fillId="5" borderId="18" xfId="0" applyFill="1" applyBorder="1" applyAlignment="1">
      <alignment horizontal="left" indent="1"/>
    </xf>
    <xf numFmtId="0" fontId="0" fillId="5" borderId="19" xfId="0" applyFill="1" applyBorder="1"/>
    <xf numFmtId="0" fontId="0" fillId="9" borderId="3" xfId="0" applyFill="1" applyBorder="1" applyAlignment="1">
      <alignment horizontal="left" indent="1"/>
    </xf>
    <xf numFmtId="0" fontId="0" fillId="9" borderId="4" xfId="0" applyFill="1" applyBorder="1"/>
    <xf numFmtId="0" fontId="0" fillId="9" borderId="5" xfId="0" applyFill="1" applyBorder="1"/>
    <xf numFmtId="0" fontId="0" fillId="0" borderId="0" xfId="0" applyBorder="1" applyAlignment="1">
      <alignment horizontal="left" vertical="center" indent="1"/>
    </xf>
    <xf numFmtId="0" fontId="0" fillId="6" borderId="3" xfId="0" applyFill="1" applyBorder="1" applyAlignment="1">
      <alignment horizontal="left" indent="1"/>
    </xf>
    <xf numFmtId="0" fontId="0" fillId="6" borderId="4" xfId="0" applyFill="1" applyBorder="1"/>
    <xf numFmtId="0" fontId="0" fillId="6" borderId="5" xfId="0" applyFill="1" applyBorder="1"/>
    <xf numFmtId="0" fontId="0" fillId="0" borderId="0" xfId="0" applyFill="1" applyBorder="1" applyAlignment="1">
      <alignment horizontal="left" vertical="center"/>
    </xf>
    <xf numFmtId="0" fontId="0" fillId="0" borderId="0" xfId="0" applyBorder="1" applyAlignment="1">
      <alignment vertical="center"/>
    </xf>
    <xf numFmtId="0" fontId="0" fillId="7" borderId="3" xfId="0" applyFill="1" applyBorder="1" applyAlignment="1">
      <alignment horizontal="left" indent="1"/>
    </xf>
    <xf numFmtId="0" fontId="0" fillId="7" borderId="4" xfId="0" applyFill="1" applyBorder="1"/>
    <xf numFmtId="0" fontId="0" fillId="7" borderId="5" xfId="0" applyFill="1" applyBorder="1"/>
    <xf numFmtId="0" fontId="0" fillId="10" borderId="3" xfId="0" applyFill="1" applyBorder="1" applyAlignment="1">
      <alignment horizontal="left" indent="1"/>
    </xf>
    <xf numFmtId="0" fontId="0" fillId="10" borderId="4" xfId="0" applyFill="1" applyBorder="1"/>
    <xf numFmtId="0" fontId="19" fillId="0" borderId="15" xfId="0" applyFont="1" applyBorder="1" applyAlignment="1">
      <alignment horizontal="right" vertical="center"/>
    </xf>
    <xf numFmtId="0" fontId="19" fillId="0" borderId="9" xfId="0" applyFont="1" applyBorder="1" applyAlignment="1">
      <alignment horizontal="right" vertical="center"/>
    </xf>
    <xf numFmtId="0" fontId="0" fillId="10" borderId="5" xfId="0" applyFill="1" applyBorder="1"/>
    <xf numFmtId="0" fontId="0" fillId="0" borderId="14" xfId="0" applyBorder="1" applyAlignment="1">
      <alignment vertical="center"/>
    </xf>
    <xf numFmtId="0" fontId="0" fillId="7" borderId="4" xfId="0" applyFill="1" applyBorder="1" applyAlignment="1"/>
    <xf numFmtId="0" fontId="0" fillId="0" borderId="10" xfId="0" applyBorder="1" applyAlignment="1">
      <alignment horizontal="center" vertical="center"/>
    </xf>
    <xf numFmtId="0" fontId="0" fillId="0" borderId="26" xfId="0" applyBorder="1" applyAlignment="1">
      <alignment horizontal="center" vertical="center"/>
    </xf>
    <xf numFmtId="0" fontId="0" fillId="7" borderId="3" xfId="0" applyFill="1" applyBorder="1" applyAlignment="1">
      <alignment horizontal="left" indent="1"/>
    </xf>
    <xf numFmtId="0" fontId="0" fillId="8" borderId="3" xfId="0" applyFill="1" applyBorder="1" applyAlignment="1">
      <alignment horizontal="left" indent="1"/>
    </xf>
    <xf numFmtId="0" fontId="0" fillId="8" borderId="19" xfId="0" applyFill="1" applyBorder="1"/>
    <xf numFmtId="0" fontId="0" fillId="8" borderId="4" xfId="0" applyFill="1" applyBorder="1"/>
    <xf numFmtId="0" fontId="0" fillId="8" borderId="5" xfId="0" applyFill="1" applyBorder="1"/>
    <xf numFmtId="0" fontId="0" fillId="0" borderId="14" xfId="0" applyBorder="1" applyAlignment="1"/>
    <xf numFmtId="0" fontId="19" fillId="0" borderId="0" xfId="0" applyFont="1" applyAlignment="1">
      <alignment horizontal="center"/>
    </xf>
    <xf numFmtId="0" fontId="1" fillId="0" borderId="1" xfId="1"/>
    <xf numFmtId="0" fontId="1" fillId="0" borderId="1" xfId="1" applyAlignment="1">
      <alignment horizontal="right"/>
    </xf>
    <xf numFmtId="164" fontId="0" fillId="0" borderId="0" xfId="0" applyNumberFormat="1" applyAlignment="1">
      <alignment horizontal="center" vertical="center"/>
    </xf>
    <xf numFmtId="14" fontId="0" fillId="0" borderId="0" xfId="0" applyNumberFormat="1" applyAlignment="1">
      <alignment horizontal="left" vertical="center" indent="1"/>
    </xf>
    <xf numFmtId="0" fontId="0" fillId="0" borderId="10" xfId="0" applyBorder="1" applyAlignment="1">
      <alignment horizontal="right" vertical="center" indent="1"/>
    </xf>
    <xf numFmtId="0" fontId="0" fillId="0" borderId="10" xfId="0" applyBorder="1" applyAlignment="1">
      <alignment horizontal="right" indent="1"/>
    </xf>
    <xf numFmtId="0" fontId="0" fillId="0" borderId="10" xfId="0" applyBorder="1" applyAlignment="1">
      <alignment horizontal="right" vertical="center"/>
    </xf>
    <xf numFmtId="14" fontId="8" fillId="2" borderId="10" xfId="3" applyNumberFormat="1" applyFont="1" applyBorder="1" applyAlignment="1">
      <alignment horizontal="left" vertical="center" indent="1"/>
    </xf>
    <xf numFmtId="0" fontId="0" fillId="0" borderId="0" xfId="0" applyAlignment="1">
      <alignment horizontal="center"/>
    </xf>
    <xf numFmtId="0" fontId="11" fillId="0" borderId="22" xfId="6"/>
    <xf numFmtId="0" fontId="11" fillId="0" borderId="22" xfId="6" applyAlignment="1">
      <alignment horizontal="left" indent="1"/>
    </xf>
    <xf numFmtId="0" fontId="0" fillId="0" borderId="0" xfId="0" applyAlignment="1">
      <alignment horizontal="center"/>
    </xf>
    <xf numFmtId="0" fontId="11" fillId="0" borderId="22" xfId="6" applyAlignment="1">
      <alignment horizontal="center" vertical="center"/>
    </xf>
    <xf numFmtId="0" fontId="11" fillId="0" borderId="22" xfId="6" applyAlignment="1">
      <alignment horizontal="left" vertical="center" indent="1"/>
    </xf>
    <xf numFmtId="0" fontId="23" fillId="0" borderId="22" xfId="6" applyFont="1" applyAlignment="1">
      <alignment horizontal="left" indent="1"/>
    </xf>
    <xf numFmtId="0" fontId="0" fillId="0" borderId="0" xfId="0" applyAlignment="1">
      <alignment horizontal="center"/>
    </xf>
    <xf numFmtId="0" fontId="0" fillId="0" borderId="0" xfId="0" applyAlignment="1">
      <alignment horizontal="center"/>
    </xf>
    <xf numFmtId="0" fontId="0" fillId="0" borderId="0" xfId="0" applyNumberFormat="1" applyBorder="1" applyAlignment="1">
      <alignment horizontal="left" vertical="center" indent="1"/>
    </xf>
    <xf numFmtId="14" fontId="13" fillId="0" borderId="0" xfId="0" applyNumberFormat="1" applyFont="1" applyBorder="1" applyAlignment="1">
      <alignment horizontal="left" vertical="center" indent="1"/>
    </xf>
    <xf numFmtId="0" fontId="24" fillId="0" borderId="24" xfId="2" applyFont="1" applyBorder="1" applyAlignment="1">
      <alignment horizontal="center" vertical="center"/>
    </xf>
    <xf numFmtId="0" fontId="24" fillId="0" borderId="1" xfId="2" applyFont="1" applyBorder="1" applyAlignment="1">
      <alignment horizontal="center" vertical="center" wrapText="1"/>
    </xf>
    <xf numFmtId="0" fontId="24" fillId="0" borderId="24" xfId="2" applyFont="1" applyBorder="1" applyAlignment="1">
      <alignment horizontal="center" vertical="center" wrapText="1"/>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center"/>
    </xf>
    <xf numFmtId="0" fontId="0" fillId="0" borderId="27" xfId="0" applyNumberFormat="1" applyBorder="1" applyAlignment="1">
      <alignment horizontal="left" vertical="center" indent="1"/>
    </xf>
    <xf numFmtId="0" fontId="0" fillId="0" borderId="0" xfId="0" applyAlignment="1">
      <alignment horizontal="center" vertical="center"/>
    </xf>
    <xf numFmtId="2" fontId="0" fillId="0" borderId="0" xfId="0" applyNumberFormat="1" applyBorder="1" applyAlignment="1">
      <alignment horizontal="center"/>
    </xf>
    <xf numFmtId="0" fontId="4" fillId="0" borderId="0" xfId="2" applyFont="1" applyBorder="1" applyAlignment="1">
      <alignment horizontal="left" vertical="center" indent="1"/>
    </xf>
    <xf numFmtId="0" fontId="2" fillId="0" borderId="0" xfId="2" applyBorder="1"/>
    <xf numFmtId="0" fontId="0" fillId="0" borderId="0" xfId="0" applyBorder="1" applyAlignment="1">
      <alignment wrapText="1"/>
    </xf>
    <xf numFmtId="0" fontId="0" fillId="0" borderId="0" xfId="0" applyAlignment="1">
      <alignment horizontal="center" vertical="center"/>
    </xf>
    <xf numFmtId="0" fontId="0" fillId="0" borderId="0" xfId="0" applyAlignment="1">
      <alignment horizontal="center"/>
    </xf>
    <xf numFmtId="0" fontId="0" fillId="0" borderId="13" xfId="0" applyBorder="1" applyAlignment="1">
      <alignment horizontal="left" indent="1"/>
    </xf>
    <xf numFmtId="0" fontId="0" fillId="0" borderId="21" xfId="0" applyBorder="1" applyAlignment="1">
      <alignment horizontal="left" vertical="center" wrapText="1" indent="1"/>
    </xf>
    <xf numFmtId="1" fontId="24" fillId="0" borderId="24" xfId="2" applyNumberFormat="1" applyFont="1" applyBorder="1" applyAlignment="1">
      <alignment horizontal="center" vertical="center"/>
    </xf>
    <xf numFmtId="1" fontId="24" fillId="0" borderId="24" xfId="2" applyNumberFormat="1" applyFont="1" applyBorder="1" applyAlignment="1">
      <alignment horizontal="center" vertical="center" wrapText="1"/>
    </xf>
    <xf numFmtId="0" fontId="8" fillId="0" borderId="0" xfId="2" applyFont="1" applyBorder="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2" fillId="0" borderId="0" xfId="2" applyBorder="1" applyAlignment="1">
      <alignment horizontal="center"/>
    </xf>
    <xf numFmtId="0" fontId="0" fillId="0" borderId="0" xfId="0" applyAlignment="1">
      <alignment horizontal="center" vertical="center"/>
    </xf>
    <xf numFmtId="0" fontId="0" fillId="0" borderId="0" xfId="0" applyAlignment="1">
      <alignment horizontal="right"/>
    </xf>
    <xf numFmtId="0" fontId="6" fillId="3" borderId="7" xfId="5"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13" fillId="0" borderId="23" xfId="6" applyFont="1" applyFill="1" applyBorder="1" applyAlignment="1">
      <alignment horizontal="left" vertical="center" indent="1"/>
    </xf>
    <xf numFmtId="0" fontId="13" fillId="0" borderId="1" xfId="6" applyFont="1" applyFill="1" applyBorder="1" applyAlignment="1">
      <alignment horizontal="left" vertical="center" indent="1"/>
    </xf>
    <xf numFmtId="0" fontId="8" fillId="2" borderId="6" xfId="3" applyFont="1" applyAlignment="1">
      <alignment horizontal="left" vertical="center" indent="2"/>
    </xf>
    <xf numFmtId="0" fontId="0" fillId="0" borderId="17" xfId="0" applyBorder="1" applyAlignment="1">
      <alignment horizontal="left" vertical="center" indent="2"/>
    </xf>
    <xf numFmtId="14" fontId="0" fillId="0" borderId="17" xfId="0" applyNumberFormat="1" applyBorder="1" applyAlignment="1">
      <alignment horizontal="left" vertical="center" indent="2"/>
    </xf>
    <xf numFmtId="44" fontId="0" fillId="0" borderId="0" xfId="4" applyFont="1" applyAlignment="1">
      <alignment horizontal="left" indent="1"/>
    </xf>
    <xf numFmtId="0" fontId="0" fillId="0" borderId="0" xfId="4" applyNumberFormat="1" applyFont="1" applyAlignment="1">
      <alignment horizontal="left" indent="1"/>
    </xf>
    <xf numFmtId="0" fontId="2" fillId="0" borderId="1" xfId="2" applyBorder="1" applyAlignment="1">
      <alignment horizontal="center" vertical="center"/>
    </xf>
    <xf numFmtId="0" fontId="2" fillId="0" borderId="1" xfId="2" applyBorder="1" applyAlignment="1">
      <alignment horizontal="left" indent="1"/>
    </xf>
    <xf numFmtId="0" fontId="0" fillId="0" borderId="1" xfId="0" applyBorder="1" applyAlignment="1">
      <alignment horizontal="center" vertical="center"/>
    </xf>
    <xf numFmtId="0" fontId="0" fillId="0" borderId="1" xfId="0" applyBorder="1" applyAlignment="1">
      <alignment horizontal="left" indent="1"/>
    </xf>
    <xf numFmtId="0" fontId="0" fillId="0" borderId="1" xfId="0" applyBorder="1" applyAlignment="1">
      <alignment horizontal="center"/>
    </xf>
    <xf numFmtId="0" fontId="0" fillId="0" borderId="1" xfId="0" applyBorder="1" applyAlignment="1">
      <alignment horizontal="left"/>
    </xf>
    <xf numFmtId="0" fontId="2" fillId="0" borderId="1" xfId="2" applyBorder="1" applyAlignment="1">
      <alignment horizontal="left"/>
    </xf>
    <xf numFmtId="0" fontId="0" fillId="0" borderId="0" xfId="0" applyBorder="1" applyAlignment="1">
      <alignment horizontal="left"/>
    </xf>
    <xf numFmtId="0" fontId="0" fillId="0" borderId="10" xfId="0" applyBorder="1" applyAlignment="1">
      <alignment horizontal="center" vertical="center"/>
    </xf>
    <xf numFmtId="0" fontId="27" fillId="0" borderId="1" xfId="2" applyFont="1" applyBorder="1" applyAlignment="1">
      <alignment horizontal="left" indent="2"/>
    </xf>
    <xf numFmtId="0" fontId="22" fillId="0" borderId="0" xfId="0" applyFont="1" applyAlignment="1">
      <alignment vertical="center"/>
    </xf>
    <xf numFmtId="0" fontId="0" fillId="0" borderId="0" xfId="0" applyAlignment="1">
      <alignment horizontal="center" vertical="center"/>
    </xf>
    <xf numFmtId="0" fontId="0" fillId="0" borderId="0" xfId="0" applyFill="1" applyBorder="1"/>
    <xf numFmtId="0" fontId="0" fillId="0" borderId="0" xfId="0" applyAlignment="1"/>
    <xf numFmtId="0" fontId="0" fillId="0" borderId="0" xfId="0" applyAlignment="1">
      <alignment horizontal="center" vertical="center"/>
    </xf>
    <xf numFmtId="0" fontId="0" fillId="0" borderId="0" xfId="0" applyAlignment="1">
      <alignment horizontal="center" vertical="center"/>
    </xf>
    <xf numFmtId="0" fontId="1" fillId="0" borderId="0" xfId="1" applyBorder="1" applyAlignment="1">
      <alignment horizontal="center" vertical="center"/>
    </xf>
    <xf numFmtId="0" fontId="1" fillId="0" borderId="1" xfId="1" applyBorder="1" applyAlignment="1">
      <alignment horizontal="center" vertical="center"/>
    </xf>
    <xf numFmtId="0" fontId="29" fillId="0" borderId="2" xfId="2" applyFont="1" applyAlignment="1">
      <alignment horizontal="center" vertical="center" textRotation="90"/>
    </xf>
    <xf numFmtId="0" fontId="0" fillId="0" borderId="0" xfId="0" applyAlignment="1">
      <alignment horizontal="center" vertical="center"/>
    </xf>
    <xf numFmtId="0" fontId="0" fillId="9" borderId="0" xfId="0" applyFill="1" applyAlignment="1">
      <alignment horizontal="center" vertical="center"/>
    </xf>
    <xf numFmtId="44" fontId="0" fillId="0" borderId="0" xfId="4" applyFont="1" applyAlignment="1">
      <alignment horizontal="center" vertical="center"/>
    </xf>
    <xf numFmtId="165" fontId="11" fillId="0" borderId="22" xfId="6" applyNumberFormat="1"/>
    <xf numFmtId="0" fontId="0" fillId="0" borderId="0" xfId="0" applyFill="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xf>
    <xf numFmtId="165" fontId="11" fillId="0" borderId="22" xfId="6" applyNumberFormat="1" applyAlignment="1">
      <alignment horizontal="right"/>
    </xf>
    <xf numFmtId="0" fontId="7" fillId="0" borderId="0" xfId="0" applyFont="1" applyAlignment="1">
      <alignment vertical="center" wrapText="1"/>
    </xf>
    <xf numFmtId="0" fontId="0" fillId="0" borderId="0" xfId="0" applyAlignment="1">
      <alignment horizontal="center" vertical="center"/>
    </xf>
    <xf numFmtId="0" fontId="0" fillId="0" borderId="0" xfId="0" applyAlignment="1">
      <alignment horizontal="center"/>
    </xf>
    <xf numFmtId="14" fontId="0" fillId="12" borderId="17" xfId="0" applyNumberFormat="1" applyFill="1" applyBorder="1" applyAlignment="1">
      <alignment horizontal="left" vertical="center" indent="2"/>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6" fillId="3" borderId="3" xfId="5" applyFont="1" applyBorder="1" applyAlignment="1">
      <alignment horizontal="left" vertical="center" indent="1"/>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10" xfId="0" applyFont="1" applyBorder="1" applyAlignment="1">
      <alignment horizontal="left"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Border="1" applyAlignment="1">
      <alignment horizontal="right"/>
    </xf>
    <xf numFmtId="14" fontId="0" fillId="0" borderId="10" xfId="0" applyNumberFormat="1" applyBorder="1" applyAlignment="1">
      <alignment horizontal="left" vertical="center" indent="1"/>
    </xf>
    <xf numFmtId="14" fontId="0" fillId="0" borderId="10" xfId="0" applyNumberFormat="1" applyBorder="1" applyAlignment="1">
      <alignment horizontal="left" indent="1"/>
    </xf>
    <xf numFmtId="0" fontId="0" fillId="0" borderId="0" xfId="0" applyAlignment="1">
      <alignment horizontal="center" vertical="center"/>
    </xf>
    <xf numFmtId="0" fontId="0" fillId="0" borderId="9" xfId="0"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Border="1" applyAlignment="1">
      <alignment horizontal="center"/>
    </xf>
    <xf numFmtId="0" fontId="0" fillId="0" borderId="10" xfId="0" applyBorder="1" applyAlignment="1">
      <alignment horizontal="center" vertical="center"/>
    </xf>
    <xf numFmtId="0" fontId="0" fillId="0" borderId="13" xfId="0" applyBorder="1" applyAlignment="1"/>
    <xf numFmtId="0" fontId="0" fillId="0" borderId="13" xfId="0" applyBorder="1" applyAlignment="1">
      <alignment vertical="center" wrapText="1"/>
    </xf>
    <xf numFmtId="0" fontId="0" fillId="0" borderId="0" xfId="0" applyBorder="1" applyAlignment="1">
      <alignment vertical="center" wrapText="1"/>
    </xf>
    <xf numFmtId="0" fontId="0" fillId="0" borderId="14" xfId="0" applyBorder="1" applyAlignment="1">
      <alignment vertical="center" wrapText="1"/>
    </xf>
    <xf numFmtId="0" fontId="0" fillId="0" borderId="13" xfId="0" applyBorder="1" applyAlignment="1">
      <alignment vertical="center"/>
    </xf>
    <xf numFmtId="0" fontId="0" fillId="0" borderId="15" xfId="0" applyBorder="1" applyAlignment="1">
      <alignment vertical="center"/>
    </xf>
    <xf numFmtId="0" fontId="0" fillId="0" borderId="9" xfId="0" applyBorder="1" applyAlignment="1">
      <alignmen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 fontId="6" fillId="3" borderId="7" xfId="5" applyNumberFormat="1" applyAlignment="1">
      <alignment horizontal="center" vertical="center"/>
    </xf>
    <xf numFmtId="1" fontId="0" fillId="0" borderId="3" xfId="0" applyNumberFormat="1" applyBorder="1" applyAlignment="1">
      <alignment horizontal="center"/>
    </xf>
    <xf numFmtId="1" fontId="0" fillId="0" borderId="5" xfId="0" applyNumberFormat="1" applyBorder="1" applyAlignment="1">
      <alignment horizontal="center"/>
    </xf>
    <xf numFmtId="0" fontId="0" fillId="0" borderId="0" xfId="7" applyNumberFormat="1"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31" fillId="0" borderId="0" xfId="0" applyFont="1"/>
    <xf numFmtId="0" fontId="0" fillId="0" borderId="0" xfId="0" applyAlignment="1">
      <alignment horizontal="center" vertical="center"/>
    </xf>
    <xf numFmtId="0" fontId="0" fillId="0" borderId="0" xfId="0" applyBorder="1" applyAlignment="1">
      <alignment horizontal="center" vertical="center"/>
    </xf>
    <xf numFmtId="0" fontId="0" fillId="0" borderId="0" xfId="0" quotePrefix="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6" fillId="3" borderId="4" xfId="5" applyBorder="1" applyAlignment="1">
      <alignment vertical="center"/>
    </xf>
    <xf numFmtId="0" fontId="6" fillId="3" borderId="3" xfId="5" applyBorder="1" applyAlignment="1">
      <alignment horizontal="right" vertical="center"/>
    </xf>
    <xf numFmtId="0" fontId="6" fillId="3" borderId="16" xfId="5" applyFont="1" applyBorder="1" applyAlignment="1">
      <alignment horizontal="right" vertical="center"/>
    </xf>
    <xf numFmtId="0" fontId="6" fillId="3" borderId="3" xfId="5" applyBorder="1" applyAlignment="1">
      <alignment horizontal="left" vertical="center" indent="1"/>
    </xf>
    <xf numFmtId="0" fontId="6" fillId="3" borderId="5" xfId="5" applyFont="1" applyBorder="1" applyAlignment="1">
      <alignment vertical="center"/>
    </xf>
    <xf numFmtId="0" fontId="6" fillId="3" borderId="28" xfId="5" applyFont="1" applyBorder="1" applyAlignment="1">
      <alignment horizontal="right" vertical="center" indent="1"/>
    </xf>
    <xf numFmtId="7" fontId="30" fillId="3" borderId="5" xfId="5" applyNumberFormat="1" applyFont="1" applyBorder="1" applyAlignment="1">
      <alignment horizontal="right" vertical="center" indent="1"/>
    </xf>
    <xf numFmtId="0" fontId="0" fillId="0" borderId="0" xfId="0" quotePrefix="1" applyAlignment="1">
      <alignment horizontal="left"/>
    </xf>
    <xf numFmtId="0" fontId="0" fillId="0" borderId="0" xfId="0" applyBorder="1" applyAlignment="1">
      <alignment horizontal="center" vertical="center"/>
    </xf>
    <xf numFmtId="0" fontId="8" fillId="0" borderId="0" xfId="2" applyFont="1" applyBorder="1" applyAlignment="1">
      <alignment horizontal="center" vertical="center"/>
    </xf>
    <xf numFmtId="0" fontId="4" fillId="0" borderId="2" xfId="2" applyFont="1" applyAlignment="1">
      <alignment horizontal="left" vertical="center" indent="1"/>
    </xf>
    <xf numFmtId="0" fontId="0" fillId="0" borderId="0" xfId="0"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0" xfId="0" applyAlignment="1">
      <alignment horizontal="center" vertical="center" wrapText="1"/>
    </xf>
    <xf numFmtId="0" fontId="8" fillId="2" borderId="10" xfId="3" applyFont="1" applyBorder="1" applyAlignment="1">
      <alignment horizontal="left" vertical="center" indent="1"/>
    </xf>
    <xf numFmtId="0" fontId="0" fillId="0" borderId="21" xfId="0" applyBorder="1" applyAlignment="1">
      <alignment horizontal="left" vertical="center" wrapText="1" indent="1"/>
    </xf>
    <xf numFmtId="0" fontId="0" fillId="0" borderId="21" xfId="0" applyBorder="1" applyAlignment="1">
      <alignment horizontal="left" vertical="center" indent="1"/>
    </xf>
    <xf numFmtId="0" fontId="1" fillId="0" borderId="11" xfId="1" applyBorder="1" applyAlignment="1">
      <alignment horizontal="left" vertical="center" indent="1"/>
    </xf>
    <xf numFmtId="0" fontId="1" fillId="0" borderId="8" xfId="1" applyBorder="1" applyAlignment="1">
      <alignment horizontal="left" vertical="center" indent="1"/>
    </xf>
    <xf numFmtId="0" fontId="0" fillId="0" borderId="18" xfId="0" applyFont="1" applyBorder="1" applyAlignment="1">
      <alignment horizontal="left" vertical="top" indent="1"/>
    </xf>
    <xf numFmtId="0" fontId="0" fillId="0" borderId="19" xfId="0" applyFont="1" applyBorder="1" applyAlignment="1">
      <alignment horizontal="left" vertical="top" indent="1"/>
    </xf>
    <xf numFmtId="0" fontId="0" fillId="0" borderId="20" xfId="0" applyFont="1" applyBorder="1" applyAlignment="1">
      <alignment horizontal="left" vertical="top" indent="1"/>
    </xf>
    <xf numFmtId="0" fontId="0" fillId="0" borderId="13" xfId="0" applyFont="1" applyBorder="1" applyAlignment="1">
      <alignment horizontal="left" vertical="top" indent="1"/>
    </xf>
    <xf numFmtId="0" fontId="0" fillId="0" borderId="0" xfId="0" applyFont="1" applyBorder="1" applyAlignment="1">
      <alignment horizontal="left" vertical="top" indent="1"/>
    </xf>
    <xf numFmtId="0" fontId="0" fillId="0" borderId="14" xfId="0" applyFont="1" applyBorder="1" applyAlignment="1">
      <alignment horizontal="left" vertical="top" indent="1"/>
    </xf>
    <xf numFmtId="0" fontId="0" fillId="0" borderId="15" xfId="0" applyFont="1" applyBorder="1" applyAlignment="1">
      <alignment horizontal="left" vertical="top" indent="1"/>
    </xf>
    <xf numFmtId="0" fontId="0" fillId="0" borderId="9" xfId="0" applyFont="1" applyBorder="1" applyAlignment="1">
      <alignment horizontal="left" vertical="top" indent="1"/>
    </xf>
    <xf numFmtId="0" fontId="0" fillId="0" borderId="16" xfId="0" applyFont="1" applyBorder="1" applyAlignment="1">
      <alignment horizontal="left" vertical="top" indent="1"/>
    </xf>
    <xf numFmtId="0" fontId="10" fillId="11" borderId="3" xfId="0" applyFont="1" applyFill="1" applyBorder="1" applyAlignment="1">
      <alignment horizontal="left" vertical="center" wrapText="1" indent="1"/>
    </xf>
    <xf numFmtId="0" fontId="10" fillId="11" borderId="4" xfId="0" applyFont="1" applyFill="1" applyBorder="1" applyAlignment="1">
      <alignment horizontal="left" vertical="center" wrapText="1" indent="1"/>
    </xf>
    <xf numFmtId="0" fontId="10" fillId="11" borderId="5" xfId="0" applyFont="1" applyFill="1" applyBorder="1" applyAlignment="1">
      <alignment horizontal="left" vertical="center" wrapText="1" indent="1"/>
    </xf>
    <xf numFmtId="0" fontId="8" fillId="2" borderId="10" xfId="3" quotePrefix="1" applyFont="1" applyBorder="1" applyAlignment="1">
      <alignment horizontal="left" vertical="center" indent="1"/>
    </xf>
    <xf numFmtId="0" fontId="7" fillId="0" borderId="0" xfId="0" applyNumberFormat="1" applyFont="1" applyAlignment="1">
      <alignment horizontal="center"/>
    </xf>
    <xf numFmtId="0" fontId="7" fillId="0" borderId="0" xfId="0" applyFont="1" applyAlignment="1">
      <alignment horizontal="left" vertical="center" wrapText="1" indent="1"/>
    </xf>
    <xf numFmtId="0" fontId="0" fillId="0" borderId="0" xfId="0" applyAlignment="1">
      <alignment horizontal="left" indent="2"/>
    </xf>
    <xf numFmtId="0" fontId="0" fillId="0" borderId="0" xfId="0" applyBorder="1" applyAlignment="1">
      <alignment horizontal="left" indent="2"/>
    </xf>
    <xf numFmtId="0" fontId="0" fillId="0" borderId="23" xfId="0" applyBorder="1" applyAlignment="1">
      <alignment horizontal="right" vertical="center" indent="1"/>
    </xf>
    <xf numFmtId="0" fontId="0" fillId="0" borderId="0" xfId="0" applyBorder="1" applyAlignment="1">
      <alignment horizontal="right" vertical="center" indent="1"/>
    </xf>
    <xf numFmtId="0" fontId="0" fillId="0" borderId="0" xfId="0" applyAlignment="1">
      <alignment horizontal="right" vertical="center"/>
    </xf>
    <xf numFmtId="0" fontId="0" fillId="0" borderId="0" xfId="0" applyBorder="1" applyAlignment="1">
      <alignment horizontal="right" indent="1"/>
    </xf>
    <xf numFmtId="0" fontId="0" fillId="0" borderId="0" xfId="0" applyAlignment="1">
      <alignment horizontal="right" indent="1"/>
    </xf>
    <xf numFmtId="0" fontId="0" fillId="0" borderId="1" xfId="0" applyBorder="1" applyAlignment="1">
      <alignment horizontal="right" indent="1"/>
    </xf>
    <xf numFmtId="0" fontId="12" fillId="0" borderId="23" xfId="1" applyFont="1" applyBorder="1" applyAlignment="1">
      <alignment horizontal="left" vertical="center" indent="1"/>
    </xf>
    <xf numFmtId="0" fontId="12" fillId="0" borderId="1" xfId="1" applyFont="1" applyFill="1" applyBorder="1" applyAlignment="1">
      <alignment horizontal="left" vertical="center" indent="1"/>
    </xf>
    <xf numFmtId="0" fontId="28" fillId="0" borderId="1" xfId="1" applyFont="1" applyBorder="1" applyAlignment="1">
      <alignment horizontal="left" vertical="center" indent="2"/>
    </xf>
    <xf numFmtId="0" fontId="14" fillId="0" borderId="0" xfId="6" applyFont="1" applyBorder="1" applyAlignment="1">
      <alignment horizontal="right" vertical="center" indent="1"/>
    </xf>
    <xf numFmtId="0" fontId="14" fillId="0" borderId="1" xfId="6" applyFont="1" applyBorder="1" applyAlignment="1">
      <alignment horizontal="right" vertical="center" indent="1"/>
    </xf>
    <xf numFmtId="0" fontId="21" fillId="0" borderId="10" xfId="0" applyFont="1" applyBorder="1" applyAlignment="1">
      <alignment horizontal="right"/>
    </xf>
    <xf numFmtId="0" fontId="0" fillId="0" borderId="1" xfId="0" applyBorder="1" applyAlignment="1">
      <alignment horizontal="left" indent="2"/>
    </xf>
    <xf numFmtId="0" fontId="2" fillId="0" borderId="1" xfId="2" applyBorder="1" applyAlignment="1">
      <alignment horizontal="left" indent="2"/>
    </xf>
    <xf numFmtId="0" fontId="24" fillId="0" borderId="24" xfId="2" applyFont="1" applyBorder="1" applyAlignment="1">
      <alignment horizontal="center" vertical="center"/>
    </xf>
    <xf numFmtId="0" fontId="7" fillId="0" borderId="23" xfId="0" applyFont="1" applyBorder="1" applyAlignment="1">
      <alignment horizontal="left" indent="2"/>
    </xf>
    <xf numFmtId="0" fontId="0" fillId="0" borderId="0" xfId="0" applyBorder="1" applyAlignment="1">
      <alignment horizontal="left" vertical="center"/>
    </xf>
    <xf numFmtId="0" fontId="0" fillId="0" borderId="18" xfId="0"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15" xfId="0" applyBorder="1" applyAlignment="1">
      <alignment horizontal="left" vertical="center" indent="1"/>
    </xf>
    <xf numFmtId="0" fontId="0" fillId="0" borderId="9" xfId="0" applyBorder="1" applyAlignment="1">
      <alignment horizontal="left" vertical="center" indent="1"/>
    </xf>
    <xf numFmtId="0" fontId="0" fillId="0" borderId="16" xfId="0" applyBorder="1" applyAlignment="1">
      <alignment horizontal="left" vertical="center" indent="1"/>
    </xf>
    <xf numFmtId="0" fontId="17" fillId="0" borderId="10" xfId="0" applyFont="1" applyBorder="1" applyAlignment="1">
      <alignment horizontal="right" vertical="center"/>
    </xf>
    <xf numFmtId="0" fontId="17" fillId="0" borderId="10" xfId="0" applyFont="1" applyBorder="1" applyAlignment="1">
      <alignment horizontal="right" vertical="center" indent="2"/>
    </xf>
    <xf numFmtId="0" fontId="0" fillId="0" borderId="19" xfId="0" applyBorder="1" applyAlignment="1">
      <alignment horizontal="left" vertical="center"/>
    </xf>
    <xf numFmtId="0" fontId="16" fillId="4" borderId="10" xfId="0" applyFont="1" applyFill="1" applyBorder="1" applyAlignment="1">
      <alignment horizontal="left" vertical="center" indent="1"/>
    </xf>
    <xf numFmtId="0" fontId="0" fillId="0" borderId="10" xfId="0" applyBorder="1" applyAlignment="1">
      <alignment horizontal="left" indent="1"/>
    </xf>
    <xf numFmtId="0" fontId="15" fillId="5" borderId="18" xfId="0" applyFont="1" applyFill="1" applyBorder="1" applyAlignment="1">
      <alignment horizontal="left" vertical="center" indent="1"/>
    </xf>
    <xf numFmtId="0" fontId="15" fillId="5" borderId="19" xfId="0" applyFont="1" applyFill="1" applyBorder="1" applyAlignment="1">
      <alignment horizontal="left" vertical="center" indent="1"/>
    </xf>
    <xf numFmtId="0" fontId="15" fillId="5" borderId="20" xfId="0" applyFont="1" applyFill="1" applyBorder="1" applyAlignment="1">
      <alignment horizontal="left" vertical="center" indent="1"/>
    </xf>
    <xf numFmtId="0" fontId="15" fillId="5" borderId="15" xfId="0" applyFont="1" applyFill="1" applyBorder="1" applyAlignment="1">
      <alignment horizontal="left" vertical="center" indent="1"/>
    </xf>
    <xf numFmtId="0" fontId="15" fillId="5" borderId="9" xfId="0" applyFont="1" applyFill="1" applyBorder="1" applyAlignment="1">
      <alignment horizontal="left" vertical="center" indent="1"/>
    </xf>
    <xf numFmtId="0" fontId="15" fillId="5" borderId="16" xfId="0" applyFont="1" applyFill="1" applyBorder="1" applyAlignment="1">
      <alignment horizontal="left" vertical="center" indent="1"/>
    </xf>
    <xf numFmtId="0" fontId="0" fillId="7" borderId="3" xfId="0" applyFill="1" applyBorder="1" applyAlignment="1">
      <alignment horizontal="left" indent="1"/>
    </xf>
    <xf numFmtId="0" fontId="0" fillId="7" borderId="4" xfId="0" applyFill="1" applyBorder="1" applyAlignment="1">
      <alignment horizontal="left" indent="1"/>
    </xf>
    <xf numFmtId="0" fontId="0" fillId="7" borderId="5" xfId="0" applyFill="1" applyBorder="1" applyAlignment="1">
      <alignment horizontal="left" indent="1"/>
    </xf>
    <xf numFmtId="0" fontId="10" fillId="0" borderId="10" xfId="0" applyFont="1" applyBorder="1" applyAlignment="1">
      <alignment horizontal="right" indent="1"/>
    </xf>
    <xf numFmtId="0" fontId="0" fillId="0" borderId="10" xfId="0" applyBorder="1" applyAlignment="1">
      <alignment horizontal="center"/>
    </xf>
    <xf numFmtId="0" fontId="17" fillId="0" borderId="10" xfId="0" applyFont="1" applyBorder="1" applyAlignment="1">
      <alignment horizontal="center" vertical="center" wrapText="1"/>
    </xf>
    <xf numFmtId="0" fontId="17" fillId="0" borderId="10" xfId="0" applyFont="1" applyBorder="1" applyAlignment="1">
      <alignment horizontal="center" vertical="center"/>
    </xf>
    <xf numFmtId="0" fontId="0" fillId="0" borderId="10" xfId="0" applyBorder="1" applyAlignment="1">
      <alignment horizontal="left" vertical="center" indent="1"/>
    </xf>
    <xf numFmtId="0" fontId="16" fillId="10" borderId="10" xfId="0" applyFont="1" applyFill="1" applyBorder="1" applyAlignment="1">
      <alignment horizontal="left" vertical="center" indent="1"/>
    </xf>
    <xf numFmtId="0" fontId="16" fillId="8" borderId="10" xfId="0" applyFont="1" applyFill="1" applyBorder="1" applyAlignment="1">
      <alignment horizontal="left" vertical="center" indent="1"/>
    </xf>
    <xf numFmtId="0" fontId="0" fillId="0" borderId="10" xfId="0"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left" vertical="center"/>
    </xf>
    <xf numFmtId="0" fontId="0" fillId="0" borderId="26" xfId="0" applyBorder="1" applyAlignment="1">
      <alignment horizontal="center" vertical="center"/>
    </xf>
    <xf numFmtId="0" fontId="0" fillId="0" borderId="9" xfId="0" applyBorder="1" applyAlignment="1">
      <alignment horizontal="left" vertical="center"/>
    </xf>
    <xf numFmtId="0" fontId="0" fillId="0" borderId="10" xfId="0" applyFill="1" applyBorder="1" applyAlignment="1">
      <alignment horizontal="left" vertical="center" inden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5" xfId="0" applyBorder="1" applyAlignment="1">
      <alignment horizontal="center"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0" borderId="26" xfId="0" applyBorder="1" applyAlignment="1">
      <alignment horizontal="left" vertical="center" indent="1"/>
    </xf>
    <xf numFmtId="0" fontId="0" fillId="0" borderId="3" xfId="0" applyBorder="1" applyAlignment="1">
      <alignment horizontal="center" vertical="center"/>
    </xf>
    <xf numFmtId="0" fontId="0" fillId="0" borderId="5" xfId="0" applyBorder="1" applyAlignment="1">
      <alignment horizontal="center" vertical="center"/>
    </xf>
    <xf numFmtId="0" fontId="0" fillId="0" borderId="26" xfId="0" applyBorder="1" applyAlignment="1">
      <alignment horizontal="center" vertical="center" wrapText="1"/>
    </xf>
    <xf numFmtId="0" fontId="17" fillId="0" borderId="18" xfId="0" applyFont="1" applyBorder="1" applyAlignment="1">
      <alignment horizontal="left" vertical="center" wrapText="1" indent="1"/>
    </xf>
    <xf numFmtId="0" fontId="17" fillId="0" borderId="19" xfId="0" applyFont="1" applyBorder="1" applyAlignment="1">
      <alignment horizontal="left" vertical="center" wrapText="1" indent="1"/>
    </xf>
    <xf numFmtId="0" fontId="17" fillId="0" borderId="20" xfId="0" applyFont="1" applyBorder="1" applyAlignment="1">
      <alignment horizontal="left" vertical="center" wrapText="1" indent="1"/>
    </xf>
    <xf numFmtId="0" fontId="17" fillId="0" borderId="13" xfId="0" applyFont="1" applyBorder="1" applyAlignment="1">
      <alignment horizontal="left" vertical="center" wrapText="1" indent="1"/>
    </xf>
    <xf numFmtId="0" fontId="17" fillId="0" borderId="0" xfId="0" applyFont="1" applyBorder="1" applyAlignment="1">
      <alignment horizontal="left" vertical="center" wrapText="1" indent="1"/>
    </xf>
    <xf numFmtId="0" fontId="17" fillId="0" borderId="14" xfId="0" applyFont="1" applyBorder="1" applyAlignment="1">
      <alignment horizontal="left" vertical="center" wrapText="1" indent="1"/>
    </xf>
    <xf numFmtId="0" fontId="17" fillId="0" borderId="15" xfId="0" applyFont="1" applyBorder="1" applyAlignment="1">
      <alignment horizontal="left" vertical="center" wrapText="1" indent="1"/>
    </xf>
    <xf numFmtId="0" fontId="17" fillId="0" borderId="9" xfId="0" applyFont="1" applyBorder="1" applyAlignment="1">
      <alignment horizontal="left" vertical="center" wrapText="1" indent="1"/>
    </xf>
    <xf numFmtId="0" fontId="17" fillId="0" borderId="16" xfId="0" applyFont="1" applyBorder="1" applyAlignment="1">
      <alignment horizontal="left" vertical="center" wrapText="1" indent="1"/>
    </xf>
    <xf numFmtId="0" fontId="20" fillId="0" borderId="25" xfId="0" applyFont="1" applyBorder="1" applyAlignment="1">
      <alignment horizontal="left" vertical="center" indent="1"/>
    </xf>
    <xf numFmtId="0" fontId="20" fillId="0" borderId="26" xfId="0" applyFont="1" applyBorder="1" applyAlignment="1">
      <alignment horizontal="left" vertical="center" indent="1"/>
    </xf>
    <xf numFmtId="0" fontId="17" fillId="0" borderId="18" xfId="0" applyFont="1" applyBorder="1" applyAlignment="1">
      <alignment horizontal="right" indent="1"/>
    </xf>
    <xf numFmtId="0" fontId="17" fillId="0" borderId="19" xfId="0" applyFont="1" applyBorder="1" applyAlignment="1">
      <alignment horizontal="right" indent="1"/>
    </xf>
    <xf numFmtId="0" fontId="17" fillId="0" borderId="20" xfId="0" applyFont="1" applyBorder="1" applyAlignment="1">
      <alignment horizontal="right" indent="1"/>
    </xf>
    <xf numFmtId="0" fontId="17" fillId="0" borderId="15" xfId="0" applyFont="1" applyBorder="1" applyAlignment="1">
      <alignment horizontal="right" indent="1"/>
    </xf>
    <xf numFmtId="0" fontId="17" fillId="0" borderId="9" xfId="0" applyFont="1" applyBorder="1" applyAlignment="1">
      <alignment horizontal="right" indent="1"/>
    </xf>
    <xf numFmtId="0" fontId="17" fillId="0" borderId="16" xfId="0" applyFont="1" applyBorder="1" applyAlignment="1">
      <alignment horizontal="right" indent="1"/>
    </xf>
    <xf numFmtId="0" fontId="10" fillId="0" borderId="10" xfId="0" applyFont="1" applyBorder="1" applyAlignment="1">
      <alignment horizontal="right"/>
    </xf>
    <xf numFmtId="0" fontId="10" fillId="0" borderId="18" xfId="0" applyFont="1" applyBorder="1" applyAlignment="1">
      <alignment horizontal="right" indent="1"/>
    </xf>
    <xf numFmtId="0" fontId="10" fillId="0" borderId="19" xfId="0" applyFont="1" applyBorder="1" applyAlignment="1">
      <alignment horizontal="right" indent="1"/>
    </xf>
    <xf numFmtId="0" fontId="10" fillId="0" borderId="20" xfId="0" applyFont="1" applyBorder="1" applyAlignment="1">
      <alignment horizontal="right" indent="1"/>
    </xf>
    <xf numFmtId="0" fontId="10" fillId="0" borderId="15" xfId="0" applyFont="1" applyBorder="1" applyAlignment="1">
      <alignment horizontal="right" indent="1"/>
    </xf>
    <xf numFmtId="0" fontId="10" fillId="0" borderId="9" xfId="0" applyFont="1" applyBorder="1" applyAlignment="1">
      <alignment horizontal="right" indent="1"/>
    </xf>
    <xf numFmtId="0" fontId="10" fillId="0" borderId="16" xfId="0" applyFont="1" applyBorder="1" applyAlignment="1">
      <alignment horizontal="right" indent="1"/>
    </xf>
  </cellXfs>
  <cellStyles count="8">
    <cellStyle name="Comma" xfId="7" builtinId="3"/>
    <cellStyle name="Currency" xfId="4" builtinId="4"/>
    <cellStyle name="Heading 1" xfId="1" builtinId="16"/>
    <cellStyle name="Heading 2" xfId="2" builtinId="17"/>
    <cellStyle name="Heading 3" xfId="6" builtinId="18"/>
    <cellStyle name="Input" xfId="3" builtinId="20"/>
    <cellStyle name="Normal" xfId="0" builtinId="0"/>
    <cellStyle name="Output" xfId="5" builtinId="21"/>
  </cellStyles>
  <dxfs count="234">
    <dxf>
      <font>
        <b/>
        <i val="0"/>
      </font>
      <fill>
        <patternFill>
          <bgColor rgb="FFFF0000"/>
        </patternFill>
      </fill>
      <border>
        <left style="thin">
          <color auto="1"/>
        </left>
        <right style="thin">
          <color auto="1"/>
        </right>
        <top style="thin">
          <color auto="1"/>
        </top>
        <bottom style="thin">
          <color auto="1"/>
        </bottom>
      </border>
    </dxf>
    <dxf>
      <fill>
        <patternFill>
          <bgColor rgb="FFFFC000"/>
        </patternFill>
      </fill>
    </dxf>
    <dxf>
      <fill>
        <patternFill>
          <bgColor rgb="FF92D05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s>
  <tableStyles count="0" defaultTableStyle="TableStyleMedium2" defaultPivotStyle="PivotStyleLight16"/>
  <colors>
    <mruColors>
      <color rgb="FFD89E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16" fmlaLink="$H$4:$I$44" fmlaRange="$H$4:$I$44" noThreeD="1" sel="0" val="0"/>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2.jpe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10" Type="http://schemas.openxmlformats.org/officeDocument/2006/relationships/image" Target="../media/image17.png"/><Relationship Id="rId4" Type="http://schemas.openxmlformats.org/officeDocument/2006/relationships/image" Target="../media/image11.png"/><Relationship Id="rId9" Type="http://schemas.openxmlformats.org/officeDocument/2006/relationships/image" Target="../media/image16.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2692998</xdr:colOff>
      <xdr:row>0</xdr:row>
      <xdr:rowOff>769620</xdr:rowOff>
    </xdr:to>
    <xdr:pic>
      <xdr:nvPicPr>
        <xdr:cNvPr id="2" name="Picture 1">
          <a:extLst>
            <a:ext uri="{FF2B5EF4-FFF2-40B4-BE49-F238E27FC236}">
              <a16:creationId xmlns:a16="http://schemas.microsoft.com/office/drawing/2014/main" xmlns=""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38100"/>
          <a:ext cx="3416898" cy="731520"/>
        </a:xfrm>
        <a:prstGeom prst="rect">
          <a:avLst/>
        </a:prstGeom>
      </xdr:spPr>
    </xdr:pic>
    <xdr:clientData/>
  </xdr:twoCellAnchor>
  <xdr:twoCellAnchor editAs="oneCell">
    <xdr:from>
      <xdr:col>1</xdr:col>
      <xdr:colOff>3831721</xdr:colOff>
      <xdr:row>0</xdr:row>
      <xdr:rowOff>133781</xdr:rowOff>
    </xdr:from>
    <xdr:to>
      <xdr:col>3</xdr:col>
      <xdr:colOff>199623</xdr:colOff>
      <xdr:row>0</xdr:row>
      <xdr:rowOff>682421</xdr:rowOff>
    </xdr:to>
    <xdr:pic>
      <xdr:nvPicPr>
        <xdr:cNvPr id="3" name="Picture 2" descr="PVA Logo - NewSmall">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2"/>
        <a:srcRect/>
        <a:stretch>
          <a:fillRect/>
        </a:stretch>
      </xdr:blipFill>
      <xdr:spPr bwMode="auto">
        <a:xfrm>
          <a:off x="4634407" y="133781"/>
          <a:ext cx="1341245" cy="54864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xdr:colOff>
      <xdr:row>0</xdr:row>
      <xdr:rowOff>28575</xdr:rowOff>
    </xdr:from>
    <xdr:to>
      <xdr:col>6</xdr:col>
      <xdr:colOff>1973580</xdr:colOff>
      <xdr:row>0</xdr:row>
      <xdr:rowOff>760095</xdr:rowOff>
    </xdr:to>
    <xdr:pic>
      <xdr:nvPicPr>
        <xdr:cNvPr id="2" name="Picture 1">
          <a:extLst>
            <a:ext uri="{FF2B5EF4-FFF2-40B4-BE49-F238E27FC236}">
              <a16:creationId xmlns:a16="http://schemas.microsoft.com/office/drawing/2014/main" xmlns=""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1380"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3" name="Picture 2"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553402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372793</xdr:colOff>
          <xdr:row>36</xdr:row>
          <xdr:rowOff>91087</xdr:rowOff>
        </xdr:to>
        <xdr:pic>
          <xdr:nvPicPr>
            <xdr:cNvPr id="13" name="Picture 12">
              <a:extLst>
                <a:ext uri="{FF2B5EF4-FFF2-40B4-BE49-F238E27FC236}">
                  <a16:creationId xmlns:a16="http://schemas.microsoft.com/office/drawing/2014/main" xmlns="" id="{00000000-0008-0000-0100-00000D000000}"/>
                </a:ext>
              </a:extLst>
            </xdr:cNvPr>
            <xdr:cNvPicPr>
              <a:picLocks noChangeAspect="1" noChangeArrowheads="1"/>
              <a:extLst>
                <a:ext uri="{84589F7E-364E-4C9E-8A38-B11213B215E9}">
                  <a14:cameraTool cellRange="DispenseHead_Lookup" spid="_x0000_s2679"/>
                </a:ext>
              </a:extLst>
            </xdr:cNvPicPr>
          </xdr:nvPicPr>
          <xdr:blipFill>
            <a:blip xmlns:r="http://schemas.openxmlformats.org/officeDocument/2006/relationships" r:embed="rId3"/>
            <a:srcRect/>
            <a:stretch>
              <a:fillRect/>
            </a:stretch>
          </xdr:blipFill>
          <xdr:spPr bwMode="auto">
            <a:xfrm>
              <a:off x="10384448" y="4239357"/>
              <a:ext cx="3859090" cy="3074318"/>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257175</xdr:colOff>
          <xdr:row>59</xdr:row>
          <xdr:rowOff>200025</xdr:rowOff>
        </xdr:to>
        <xdr:sp macro="" textlink="">
          <xdr:nvSpPr>
            <xdr:cNvPr id="2532" name="Object 484" hidden="1">
              <a:extLst>
                <a:ext uri="{63B3BB69-23CF-44E3-9099-C40C66FF867C}">
                  <a14:compatExt spid="_x0000_s253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537" name="Object 489" hidden="1">
              <a:extLst>
                <a:ext uri="{63B3BB69-23CF-44E3-9099-C40C66FF867C}">
                  <a14:compatExt spid="_x0000_s253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7</xdr:row>
          <xdr:rowOff>114300</xdr:rowOff>
        </xdr:from>
        <xdr:to>
          <xdr:col>5</xdr:col>
          <xdr:colOff>600075</xdr:colOff>
          <xdr:row>11</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Send to Engraving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18</xdr:row>
          <xdr:rowOff>9525</xdr:rowOff>
        </xdr:from>
        <xdr:to>
          <xdr:col>6</xdr:col>
          <xdr:colOff>333375</xdr:colOff>
          <xdr:row>22</xdr:row>
          <xdr:rowOff>142875</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112540</xdr:colOff>
      <xdr:row>3</xdr:row>
      <xdr:rowOff>126608</xdr:rowOff>
    </xdr:from>
    <xdr:to>
      <xdr:col>1</xdr:col>
      <xdr:colOff>3495820</xdr:colOff>
      <xdr:row>3</xdr:row>
      <xdr:rowOff>2942488</xdr:rowOff>
    </xdr:to>
    <xdr:pic>
      <xdr:nvPicPr>
        <xdr:cNvPr id="9" name="Picture 8">
          <a:extLst>
            <a:ext uri="{FF2B5EF4-FFF2-40B4-BE49-F238E27FC236}">
              <a16:creationId xmlns:a16="http://schemas.microsoft.com/office/drawing/2014/main" xmlns="" id="{00000000-0008-0000-08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66491" y="5387925"/>
          <a:ext cx="3383280" cy="2815880"/>
        </a:xfrm>
        <a:prstGeom prst="rect">
          <a:avLst/>
        </a:prstGeom>
      </xdr:spPr>
    </xdr:pic>
    <xdr:clientData/>
  </xdr:twoCellAnchor>
  <xdr:twoCellAnchor editAs="oneCell">
    <xdr:from>
      <xdr:col>1</xdr:col>
      <xdr:colOff>140675</xdr:colOff>
      <xdr:row>4</xdr:row>
      <xdr:rowOff>126607</xdr:rowOff>
    </xdr:from>
    <xdr:to>
      <xdr:col>1</xdr:col>
      <xdr:colOff>3523955</xdr:colOff>
      <xdr:row>4</xdr:row>
      <xdr:rowOff>2942566</xdr:rowOff>
    </xdr:to>
    <xdr:pic>
      <xdr:nvPicPr>
        <xdr:cNvPr id="10" name="Picture 9">
          <a:extLst>
            <a:ext uri="{FF2B5EF4-FFF2-40B4-BE49-F238E27FC236}">
              <a16:creationId xmlns:a16="http://schemas.microsoft.com/office/drawing/2014/main" xmlns="" id="{00000000-0008-0000-08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94626" y="9446453"/>
          <a:ext cx="3383280" cy="2815959"/>
        </a:xfrm>
        <a:prstGeom prst="rect">
          <a:avLst/>
        </a:prstGeom>
      </xdr:spPr>
    </xdr:pic>
    <xdr:clientData/>
  </xdr:twoCellAnchor>
  <xdr:twoCellAnchor editAs="oneCell">
    <xdr:from>
      <xdr:col>1</xdr:col>
      <xdr:colOff>133642</xdr:colOff>
      <xdr:row>5</xdr:row>
      <xdr:rowOff>105508</xdr:rowOff>
    </xdr:from>
    <xdr:to>
      <xdr:col>1</xdr:col>
      <xdr:colOff>3516922</xdr:colOff>
      <xdr:row>5</xdr:row>
      <xdr:rowOff>2921467</xdr:rowOff>
    </xdr:to>
    <xdr:pic>
      <xdr:nvPicPr>
        <xdr:cNvPr id="11" name="Picture 10">
          <a:extLst>
            <a:ext uri="{FF2B5EF4-FFF2-40B4-BE49-F238E27FC236}">
              <a16:creationId xmlns:a16="http://schemas.microsoft.com/office/drawing/2014/main" xmlns=""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487593" y="12471010"/>
          <a:ext cx="3383280" cy="2815959"/>
        </a:xfrm>
        <a:prstGeom prst="rect">
          <a:avLst/>
        </a:prstGeom>
      </xdr:spPr>
    </xdr:pic>
    <xdr:clientData/>
  </xdr:twoCellAnchor>
  <xdr:twoCellAnchor editAs="oneCell">
    <xdr:from>
      <xdr:col>1</xdr:col>
      <xdr:colOff>161782</xdr:colOff>
      <xdr:row>6</xdr:row>
      <xdr:rowOff>154746</xdr:rowOff>
    </xdr:from>
    <xdr:to>
      <xdr:col>1</xdr:col>
      <xdr:colOff>3457646</xdr:colOff>
      <xdr:row>6</xdr:row>
      <xdr:rowOff>2897946</xdr:rowOff>
    </xdr:to>
    <xdr:pic>
      <xdr:nvPicPr>
        <xdr:cNvPr id="12" name="Picture 11">
          <a:extLst>
            <a:ext uri="{FF2B5EF4-FFF2-40B4-BE49-F238E27FC236}">
              <a16:creationId xmlns:a16="http://schemas.microsoft.com/office/drawing/2014/main" xmlns="" id="{00000000-0008-0000-08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15733" y="15565903"/>
          <a:ext cx="3295864" cy="2743200"/>
        </a:xfrm>
        <a:prstGeom prst="rect">
          <a:avLst/>
        </a:prstGeom>
      </xdr:spPr>
    </xdr:pic>
    <xdr:clientData/>
  </xdr:twoCellAnchor>
  <xdr:oneCellAnchor>
    <xdr:from>
      <xdr:col>1</xdr:col>
      <xdr:colOff>168812</xdr:colOff>
      <xdr:row>7</xdr:row>
      <xdr:rowOff>140677</xdr:rowOff>
    </xdr:from>
    <xdr:ext cx="3259246" cy="2743200"/>
    <xdr:pic>
      <xdr:nvPicPr>
        <xdr:cNvPr id="13" name="Picture 12">
          <a:extLst>
            <a:ext uri="{FF2B5EF4-FFF2-40B4-BE49-F238E27FC236}">
              <a16:creationId xmlns:a16="http://schemas.microsoft.com/office/drawing/2014/main" xmlns="" id="{00000000-0008-0000-08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22763" y="18597489"/>
          <a:ext cx="3259246" cy="2743200"/>
        </a:xfrm>
        <a:prstGeom prst="rect">
          <a:avLst/>
        </a:prstGeom>
      </xdr:spPr>
    </xdr:pic>
    <xdr:clientData/>
  </xdr:oneCellAnchor>
  <xdr:oneCellAnchor>
    <xdr:from>
      <xdr:col>1</xdr:col>
      <xdr:colOff>105510</xdr:colOff>
      <xdr:row>8</xdr:row>
      <xdr:rowOff>243307</xdr:rowOff>
    </xdr:from>
    <xdr:ext cx="3437649" cy="2580150"/>
    <xdr:pic>
      <xdr:nvPicPr>
        <xdr:cNvPr id="14" name="Picture 13">
          <a:extLst>
            <a:ext uri="{FF2B5EF4-FFF2-40B4-BE49-F238E27FC236}">
              <a16:creationId xmlns:a16="http://schemas.microsoft.com/office/drawing/2014/main" xmlns="" id="{00000000-0008-0000-08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459461" y="21745775"/>
          <a:ext cx="3437649" cy="2580150"/>
        </a:xfrm>
        <a:prstGeom prst="rect">
          <a:avLst/>
        </a:prstGeom>
      </xdr:spPr>
    </xdr:pic>
    <xdr:clientData/>
  </xdr:oneCellAnchor>
  <xdr:oneCellAnchor>
    <xdr:from>
      <xdr:col>1</xdr:col>
      <xdr:colOff>147713</xdr:colOff>
      <xdr:row>9</xdr:row>
      <xdr:rowOff>154742</xdr:rowOff>
    </xdr:from>
    <xdr:ext cx="3262580" cy="2743200"/>
    <xdr:pic>
      <xdr:nvPicPr>
        <xdr:cNvPr id="15" name="Picture 14">
          <a:extLst>
            <a:ext uri="{FF2B5EF4-FFF2-40B4-BE49-F238E27FC236}">
              <a16:creationId xmlns:a16="http://schemas.microsoft.com/office/drawing/2014/main" xmlns="" id="{00000000-0008-0000-08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01664" y="24702865"/>
          <a:ext cx="3262580" cy="2743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1466850</xdr:colOff>
          <xdr:row>0</xdr:row>
          <xdr:rowOff>28575</xdr:rowOff>
        </xdr:from>
        <xdr:to>
          <xdr:col>2</xdr:col>
          <xdr:colOff>1743075</xdr:colOff>
          <xdr:row>0</xdr:row>
          <xdr:rowOff>142875</xdr:rowOff>
        </xdr:to>
        <xdr:sp macro="" textlink="">
          <xdr:nvSpPr>
            <xdr:cNvPr id="6147" name="Drop Down 3"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210370</xdr:colOff>
      <xdr:row>10</xdr:row>
      <xdr:rowOff>163591</xdr:rowOff>
    </xdr:from>
    <xdr:ext cx="3182113" cy="2743200"/>
    <xdr:pic>
      <xdr:nvPicPr>
        <xdr:cNvPr id="16" name="Picture 15">
          <a:extLst>
            <a:ext uri="{FF2B5EF4-FFF2-40B4-BE49-F238E27FC236}">
              <a16:creationId xmlns:a16="http://schemas.microsoft.com/office/drawing/2014/main" xmlns="" id="{00000000-0008-0000-08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64321" y="27757369"/>
          <a:ext cx="3182113" cy="2743200"/>
        </a:xfrm>
        <a:prstGeom prst="rect">
          <a:avLst/>
        </a:prstGeom>
      </xdr:spPr>
    </xdr:pic>
    <xdr:clientData/>
  </xdr:oneCellAnchor>
  <xdr:oneCellAnchor>
    <xdr:from>
      <xdr:col>1</xdr:col>
      <xdr:colOff>295752</xdr:colOff>
      <xdr:row>11</xdr:row>
      <xdr:rowOff>164967</xdr:rowOff>
    </xdr:from>
    <xdr:ext cx="3050083" cy="2743200"/>
    <xdr:pic>
      <xdr:nvPicPr>
        <xdr:cNvPr id="17" name="Picture 16">
          <a:extLst>
            <a:ext uri="{FF2B5EF4-FFF2-40B4-BE49-F238E27FC236}">
              <a16:creationId xmlns:a16="http://schemas.microsoft.com/office/drawing/2014/main" xmlns="" id="{00000000-0008-0000-0800-00001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649703" y="30804401"/>
          <a:ext cx="3050083" cy="2743200"/>
        </a:xfrm>
        <a:prstGeom prst="rect">
          <a:avLst/>
        </a:prstGeom>
      </xdr:spPr>
    </xdr:pic>
    <xdr:clientData/>
  </xdr:oneCellAnchor>
  <xdr:oneCellAnchor>
    <xdr:from>
      <xdr:col>1</xdr:col>
      <xdr:colOff>266794</xdr:colOff>
      <xdr:row>12</xdr:row>
      <xdr:rowOff>159977</xdr:rowOff>
    </xdr:from>
    <xdr:ext cx="3102427" cy="2743200"/>
    <xdr:pic>
      <xdr:nvPicPr>
        <xdr:cNvPr id="18" name="Picture 17">
          <a:extLst>
            <a:ext uri="{FF2B5EF4-FFF2-40B4-BE49-F238E27FC236}">
              <a16:creationId xmlns:a16="http://schemas.microsoft.com/office/drawing/2014/main" xmlns="" id="{00000000-0008-0000-08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620745" y="33845066"/>
          <a:ext cx="3102427" cy="2743200"/>
        </a:xfrm>
        <a:prstGeom prst="rect">
          <a:avLst/>
        </a:prstGeom>
      </xdr:spPr>
    </xdr:pic>
    <xdr:clientData/>
  </xdr:oneCellAnchor>
  <xdr:oneCellAnchor>
    <xdr:from>
      <xdr:col>1</xdr:col>
      <xdr:colOff>182884</xdr:colOff>
      <xdr:row>13</xdr:row>
      <xdr:rowOff>154748</xdr:rowOff>
    </xdr:from>
    <xdr:ext cx="3262580" cy="2743200"/>
    <xdr:pic>
      <xdr:nvPicPr>
        <xdr:cNvPr id="19" name="Picture 18">
          <a:extLst>
            <a:ext uri="{FF2B5EF4-FFF2-40B4-BE49-F238E27FC236}">
              <a16:creationId xmlns:a16="http://schemas.microsoft.com/office/drawing/2014/main" xmlns="" id="{1BAEDA8D-02A7-406E-8990-EF47A707B4C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36835" y="36885493"/>
          <a:ext cx="3262580" cy="2743200"/>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3.emf"/><Relationship Id="rId4" Type="http://schemas.openxmlformats.org/officeDocument/2006/relationships/oleObject" Target="../embeddings/oleObject1.bin"/><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7.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Z100"/>
  <sheetViews>
    <sheetView topLeftCell="A27" zoomScale="85" zoomScaleNormal="85" workbookViewId="0">
      <pane xSplit="4" topLeftCell="E1" activePane="topRight" state="frozen"/>
      <selection pane="topRight" activeCell="I22" sqref="I22"/>
    </sheetView>
  </sheetViews>
  <sheetFormatPr defaultRowHeight="15" outlineLevelCol="1" x14ac:dyDescent="0.25"/>
  <cols>
    <col min="1" max="1" width="11.42578125" customWidth="1"/>
    <col min="2" max="2" width="66.28515625" customWidth="1"/>
    <col min="3" max="4" width="4.28515625" bestFit="1" customWidth="1"/>
    <col min="5" max="6" width="16.7109375" style="8" customWidth="1" outlineLevel="1"/>
    <col min="7" max="7" width="12.28515625" style="3" customWidth="1" outlineLevel="1"/>
    <col min="8" max="8" width="4.28515625" customWidth="1" outlineLevel="1"/>
    <col min="9" max="9" width="12.28515625" style="3" customWidth="1" outlineLevel="1"/>
    <col min="10" max="10" width="4.28515625" customWidth="1" outlineLevel="1"/>
    <col min="11" max="11" width="12.85546875" style="3" customWidth="1" outlineLevel="1"/>
    <col min="12" max="12" width="11.42578125" customWidth="1" outlineLevel="1"/>
    <col min="13" max="13" width="12.7109375" customWidth="1" outlineLevel="1"/>
    <col min="14" max="14" width="12" customWidth="1" outlineLevel="1"/>
    <col min="15" max="17" width="6.85546875" style="3" customWidth="1" outlineLevel="1"/>
    <col min="18" max="18" width="7.85546875" style="3" customWidth="1" outlineLevel="1"/>
    <col min="19" max="19" width="9.140625" style="141" customWidth="1" outlineLevel="1"/>
    <col min="20" max="21" width="8.85546875" customWidth="1" outlineLevel="1"/>
    <col min="22" max="22" width="11.85546875" customWidth="1" outlineLevel="1"/>
    <col min="23" max="23" width="7.140625" style="3" customWidth="1" outlineLevel="1"/>
    <col min="24" max="24" width="4" customWidth="1" outlineLevel="1"/>
    <col min="25" max="25" width="11.42578125" style="116" customWidth="1" outlineLevel="1"/>
    <col min="26" max="26" width="8.85546875" customWidth="1" outlineLevel="1"/>
    <col min="27" max="27" width="8.85546875"/>
  </cols>
  <sheetData>
    <row r="1" spans="1:25" ht="61.5" customHeight="1" x14ac:dyDescent="0.3">
      <c r="A1" s="268"/>
      <c r="B1" s="269"/>
      <c r="C1" s="269"/>
      <c r="D1" s="270"/>
      <c r="E1" s="13"/>
      <c r="F1" s="115"/>
      <c r="G1" s="267" t="str">
        <f>+B4</f>
        <v>Delta 6</v>
      </c>
      <c r="H1" s="267"/>
      <c r="I1" s="267" t="str">
        <f>+B5</f>
        <v>Delta 8</v>
      </c>
      <c r="J1" s="267"/>
      <c r="L1" s="13"/>
      <c r="M1" s="13"/>
      <c r="N1" s="13"/>
      <c r="O1" s="38"/>
      <c r="P1" s="38"/>
      <c r="Q1" s="38"/>
      <c r="R1" s="38"/>
      <c r="T1" s="271" t="s">
        <v>590</v>
      </c>
      <c r="U1" s="271"/>
      <c r="V1" s="13"/>
    </row>
    <row r="2" spans="1:25" ht="41.25" customHeight="1" thickBot="1" x14ac:dyDescent="0.35">
      <c r="A2" s="266" t="s">
        <v>417</v>
      </c>
      <c r="B2" s="266"/>
      <c r="C2" s="167" t="s">
        <v>320</v>
      </c>
      <c r="D2" s="167" t="s">
        <v>408</v>
      </c>
      <c r="E2" s="120"/>
      <c r="F2" s="120"/>
      <c r="G2" s="3" t="s">
        <v>185</v>
      </c>
      <c r="H2" s="9" t="s">
        <v>369</v>
      </c>
      <c r="I2" s="3" t="s">
        <v>185</v>
      </c>
      <c r="J2" s="9" t="s">
        <v>369</v>
      </c>
      <c r="K2" s="9" t="s">
        <v>186</v>
      </c>
      <c r="L2" s="9" t="s">
        <v>108</v>
      </c>
      <c r="M2" s="9" t="s">
        <v>109</v>
      </c>
      <c r="N2" s="9" t="s">
        <v>110</v>
      </c>
      <c r="O2" s="9" t="s">
        <v>371</v>
      </c>
      <c r="P2" s="9" t="s">
        <v>372</v>
      </c>
      <c r="Q2" s="9" t="s">
        <v>406</v>
      </c>
      <c r="R2" s="9" t="s">
        <v>447</v>
      </c>
      <c r="S2" s="9" t="s">
        <v>467</v>
      </c>
      <c r="T2" s="9" t="s">
        <v>591</v>
      </c>
      <c r="U2" s="9" t="s">
        <v>592</v>
      </c>
      <c r="V2" s="9" t="s">
        <v>182</v>
      </c>
      <c r="W2" s="9" t="s">
        <v>168</v>
      </c>
      <c r="X2" s="9" t="s">
        <v>370</v>
      </c>
    </row>
    <row r="3" spans="1:25" ht="18.600000000000001" thickTop="1" thickBot="1" x14ac:dyDescent="0.4">
      <c r="A3" s="2">
        <v>1</v>
      </c>
      <c r="B3" s="1" t="s">
        <v>407</v>
      </c>
      <c r="C3" s="1"/>
      <c r="D3" s="1"/>
      <c r="F3" s="129"/>
      <c r="V3" s="22"/>
    </row>
    <row r="4" spans="1:25" ht="15.75" thickTop="1" x14ac:dyDescent="0.25">
      <c r="A4" s="115">
        <f>+A3+0.1</f>
        <v>1.1000000000000001</v>
      </c>
      <c r="B4" s="8" t="s">
        <v>320</v>
      </c>
      <c r="C4" s="8"/>
      <c r="D4" s="8"/>
      <c r="E4" s="265"/>
      <c r="G4" s="3" t="s">
        <v>647</v>
      </c>
      <c r="H4" s="3" t="s">
        <v>348</v>
      </c>
      <c r="J4" s="3"/>
      <c r="K4" s="3" t="s">
        <v>179</v>
      </c>
      <c r="L4" s="4" t="s">
        <v>138</v>
      </c>
      <c r="M4" s="4" t="s">
        <v>378</v>
      </c>
      <c r="N4" s="4" t="s">
        <v>167</v>
      </c>
      <c r="O4" s="3">
        <f>521-10</f>
        <v>511</v>
      </c>
      <c r="P4" s="3">
        <f>485-10</f>
        <v>475</v>
      </c>
      <c r="Q4" s="3">
        <v>400</v>
      </c>
      <c r="R4" s="3">
        <v>3</v>
      </c>
      <c r="S4" s="164">
        <v>4</v>
      </c>
      <c r="T4" t="s">
        <v>613</v>
      </c>
      <c r="V4" s="22">
        <v>35540</v>
      </c>
      <c r="W4" s="3" t="s">
        <v>169</v>
      </c>
    </row>
    <row r="5" spans="1:25" x14ac:dyDescent="0.25">
      <c r="A5" s="115">
        <f>+A4+0.1</f>
        <v>1.2000000000000002</v>
      </c>
      <c r="B5" t="s">
        <v>408</v>
      </c>
      <c r="E5" s="265"/>
      <c r="H5" s="3"/>
      <c r="I5" s="3" t="s">
        <v>648</v>
      </c>
      <c r="J5" s="3" t="s">
        <v>348</v>
      </c>
      <c r="K5" s="168" t="s">
        <v>477</v>
      </c>
      <c r="L5" s="4"/>
      <c r="M5" s="4"/>
      <c r="N5" s="4" t="s">
        <v>167</v>
      </c>
      <c r="O5" s="3">
        <f>621-10</f>
        <v>611</v>
      </c>
      <c r="P5" s="3">
        <f>595-10</f>
        <v>585</v>
      </c>
      <c r="Q5" s="3">
        <v>500</v>
      </c>
      <c r="R5" s="3">
        <v>3</v>
      </c>
      <c r="S5" s="141">
        <v>4</v>
      </c>
      <c r="U5" t="s">
        <v>614</v>
      </c>
      <c r="V5" s="22">
        <v>39650</v>
      </c>
      <c r="W5" s="3" t="s">
        <v>169</v>
      </c>
      <c r="X5" s="91"/>
    </row>
    <row r="6" spans="1:25" ht="14.45" x14ac:dyDescent="0.3">
      <c r="A6" s="114"/>
      <c r="H6" s="3"/>
      <c r="J6" s="3"/>
      <c r="L6" s="4"/>
      <c r="M6" s="4"/>
      <c r="N6" s="4"/>
      <c r="V6" s="22"/>
      <c r="X6" s="91"/>
    </row>
    <row r="7" spans="1:25" ht="18" thickBot="1" x14ac:dyDescent="0.4">
      <c r="A7" s="2">
        <v>2</v>
      </c>
      <c r="B7" s="1" t="s">
        <v>4</v>
      </c>
      <c r="C7" s="1"/>
      <c r="D7" s="1"/>
      <c r="G7" s="130"/>
      <c r="H7" s="130"/>
      <c r="I7" s="130"/>
      <c r="J7" s="130"/>
      <c r="K7" s="130"/>
      <c r="L7" s="4"/>
      <c r="M7" s="4"/>
      <c r="N7" s="4"/>
      <c r="O7" s="130"/>
      <c r="P7" s="130"/>
      <c r="Q7" s="130"/>
      <c r="R7" s="130"/>
      <c r="V7" s="22"/>
      <c r="W7" s="130"/>
      <c r="X7" s="91"/>
      <c r="Y7" s="124" t="s">
        <v>436</v>
      </c>
    </row>
    <row r="8" spans="1:25" hidden="1" thickTop="1" x14ac:dyDescent="0.3">
      <c r="B8" t="s">
        <v>404</v>
      </c>
      <c r="E8" s="264" t="s">
        <v>430</v>
      </c>
      <c r="F8" s="72"/>
      <c r="H8" s="3"/>
      <c r="J8" s="3"/>
      <c r="K8" s="4"/>
      <c r="S8" s="141">
        <v>0</v>
      </c>
      <c r="V8" s="22"/>
      <c r="Y8" s="116">
        <v>0</v>
      </c>
    </row>
    <row r="9" spans="1:25" ht="15.75" thickTop="1" x14ac:dyDescent="0.25">
      <c r="A9" s="115">
        <f>+A$7+0.1</f>
        <v>2.1</v>
      </c>
      <c r="B9" t="s">
        <v>335</v>
      </c>
      <c r="C9" s="4" t="s">
        <v>469</v>
      </c>
      <c r="D9" s="4" t="s">
        <v>469</v>
      </c>
      <c r="E9" s="264"/>
      <c r="F9" s="72"/>
      <c r="G9" s="3" t="s">
        <v>336</v>
      </c>
      <c r="H9" s="3" t="s">
        <v>348</v>
      </c>
      <c r="I9" s="3" t="s">
        <v>336</v>
      </c>
      <c r="J9" s="3" t="s">
        <v>348</v>
      </c>
      <c r="K9" s="4" t="s">
        <v>138</v>
      </c>
      <c r="L9" s="4" t="s">
        <v>337</v>
      </c>
      <c r="M9" s="4" t="s">
        <v>138</v>
      </c>
      <c r="N9" s="4" t="s">
        <v>138</v>
      </c>
      <c r="S9" s="141">
        <v>0</v>
      </c>
      <c r="V9" s="22">
        <v>550</v>
      </c>
      <c r="W9" s="3" t="s">
        <v>170</v>
      </c>
      <c r="X9" s="91" t="s">
        <v>311</v>
      </c>
      <c r="Y9" s="124">
        <v>1</v>
      </c>
    </row>
    <row r="10" spans="1:25" x14ac:dyDescent="0.25">
      <c r="A10" s="115">
        <f>+A9+0.1</f>
        <v>2.2000000000000002</v>
      </c>
      <c r="B10" t="s">
        <v>116</v>
      </c>
      <c r="C10" s="4" t="s">
        <v>469</v>
      </c>
      <c r="D10" s="4" t="s">
        <v>469</v>
      </c>
      <c r="E10" s="264"/>
      <c r="F10" s="72"/>
      <c r="G10" s="3" t="s">
        <v>148</v>
      </c>
      <c r="H10" s="3" t="s">
        <v>348</v>
      </c>
      <c r="I10" s="3" t="s">
        <v>148</v>
      </c>
      <c r="J10" s="3" t="s">
        <v>348</v>
      </c>
      <c r="K10" s="4" t="s">
        <v>138</v>
      </c>
      <c r="L10" s="4" t="s">
        <v>117</v>
      </c>
      <c r="M10" s="4" t="s">
        <v>138</v>
      </c>
      <c r="N10" s="4" t="s">
        <v>138</v>
      </c>
      <c r="S10" s="141">
        <v>0</v>
      </c>
      <c r="V10" s="24">
        <v>300</v>
      </c>
      <c r="W10" s="3" t="s">
        <v>170</v>
      </c>
      <c r="X10" s="91" t="s">
        <v>311</v>
      </c>
      <c r="Y10" s="124">
        <v>0</v>
      </c>
    </row>
    <row r="11" spans="1:25" x14ac:dyDescent="0.25">
      <c r="A11" s="115">
        <f t="shared" ref="A11:A17" si="0">+A10+0.1</f>
        <v>2.3000000000000003</v>
      </c>
      <c r="B11" t="s">
        <v>119</v>
      </c>
      <c r="C11" s="4" t="s">
        <v>469</v>
      </c>
      <c r="D11" s="4" t="s">
        <v>469</v>
      </c>
      <c r="E11" s="264"/>
      <c r="F11" s="72"/>
      <c r="G11" s="3" t="s">
        <v>149</v>
      </c>
      <c r="H11" s="3" t="s">
        <v>348</v>
      </c>
      <c r="I11" s="3" t="s">
        <v>149</v>
      </c>
      <c r="J11" s="3" t="s">
        <v>348</v>
      </c>
      <c r="K11" s="4" t="s">
        <v>138</v>
      </c>
      <c r="L11" s="3" t="s">
        <v>118</v>
      </c>
      <c r="M11" s="4" t="s">
        <v>138</v>
      </c>
      <c r="N11" s="4" t="s">
        <v>138</v>
      </c>
      <c r="S11" s="141">
        <v>0</v>
      </c>
      <c r="V11" s="24">
        <v>330</v>
      </c>
      <c r="W11" s="3" t="s">
        <v>170</v>
      </c>
      <c r="X11" s="91" t="s">
        <v>311</v>
      </c>
      <c r="Y11" s="124">
        <v>0</v>
      </c>
    </row>
    <row r="12" spans="1:25" x14ac:dyDescent="0.25">
      <c r="A12" s="115">
        <f t="shared" si="0"/>
        <v>2.4000000000000004</v>
      </c>
      <c r="B12" t="s">
        <v>122</v>
      </c>
      <c r="C12" s="4" t="s">
        <v>469</v>
      </c>
      <c r="D12" s="4" t="s">
        <v>469</v>
      </c>
      <c r="E12" s="264"/>
      <c r="F12" s="72"/>
      <c r="G12" s="3" t="s">
        <v>150</v>
      </c>
      <c r="H12" s="3" t="s">
        <v>348</v>
      </c>
      <c r="I12" s="3" t="s">
        <v>150</v>
      </c>
      <c r="J12" s="3" t="s">
        <v>348</v>
      </c>
      <c r="K12" s="4" t="s">
        <v>138</v>
      </c>
      <c r="L12" s="3" t="s">
        <v>120</v>
      </c>
      <c r="M12" s="4" t="s">
        <v>138</v>
      </c>
      <c r="N12" s="4" t="s">
        <v>138</v>
      </c>
      <c r="S12" s="141">
        <v>0</v>
      </c>
      <c r="V12" s="24">
        <v>600</v>
      </c>
      <c r="W12" s="3" t="s">
        <v>170</v>
      </c>
      <c r="Y12" s="124">
        <v>0</v>
      </c>
    </row>
    <row r="13" spans="1:25" x14ac:dyDescent="0.25">
      <c r="A13" s="115">
        <f t="shared" si="0"/>
        <v>2.5000000000000004</v>
      </c>
      <c r="B13" t="s">
        <v>123</v>
      </c>
      <c r="C13" s="4" t="s">
        <v>469</v>
      </c>
      <c r="D13" s="4" t="s">
        <v>469</v>
      </c>
      <c r="E13" s="264"/>
      <c r="F13" s="72"/>
      <c r="G13" s="3" t="s">
        <v>151</v>
      </c>
      <c r="H13" s="3" t="s">
        <v>348</v>
      </c>
      <c r="I13" s="3" t="s">
        <v>151</v>
      </c>
      <c r="J13" s="3" t="s">
        <v>348</v>
      </c>
      <c r="K13" s="4" t="s">
        <v>138</v>
      </c>
      <c r="L13" s="3" t="s">
        <v>121</v>
      </c>
      <c r="M13" s="4" t="s">
        <v>138</v>
      </c>
      <c r="N13" s="4" t="s">
        <v>138</v>
      </c>
      <c r="S13" s="141">
        <v>0</v>
      </c>
      <c r="V13" s="24">
        <v>670</v>
      </c>
      <c r="W13" s="3" t="s">
        <v>170</v>
      </c>
      <c r="Y13" s="124">
        <v>0</v>
      </c>
    </row>
    <row r="14" spans="1:25" x14ac:dyDescent="0.25">
      <c r="A14" s="115">
        <f t="shared" si="0"/>
        <v>2.6000000000000005</v>
      </c>
      <c r="B14" t="s">
        <v>356</v>
      </c>
      <c r="C14" s="4" t="s">
        <v>469</v>
      </c>
      <c r="D14" s="4" t="s">
        <v>469</v>
      </c>
      <c r="E14" s="264"/>
      <c r="F14" s="72"/>
      <c r="G14" s="3" t="s">
        <v>152</v>
      </c>
      <c r="H14" s="3" t="s">
        <v>348</v>
      </c>
      <c r="I14" s="3" t="s">
        <v>152</v>
      </c>
      <c r="J14" s="3" t="s">
        <v>348</v>
      </c>
      <c r="K14" s="3" t="s">
        <v>193</v>
      </c>
      <c r="L14" s="3" t="s">
        <v>125</v>
      </c>
      <c r="M14" s="4" t="s">
        <v>138</v>
      </c>
      <c r="N14" s="4" t="s">
        <v>138</v>
      </c>
      <c r="S14" s="141">
        <v>0</v>
      </c>
      <c r="V14" s="24">
        <v>930</v>
      </c>
      <c r="W14" s="3" t="s">
        <v>170</v>
      </c>
      <c r="Y14" s="124">
        <v>0</v>
      </c>
    </row>
    <row r="15" spans="1:25" x14ac:dyDescent="0.25">
      <c r="A15" s="115">
        <f t="shared" si="0"/>
        <v>2.7000000000000006</v>
      </c>
      <c r="B15" t="s">
        <v>357</v>
      </c>
      <c r="C15" s="4" t="s">
        <v>469</v>
      </c>
      <c r="D15" s="4" t="s">
        <v>469</v>
      </c>
      <c r="E15" s="264"/>
      <c r="F15" s="72"/>
      <c r="G15" s="3" t="s">
        <v>153</v>
      </c>
      <c r="H15" s="3" t="s">
        <v>348</v>
      </c>
      <c r="I15" s="3" t="s">
        <v>153</v>
      </c>
      <c r="J15" s="3" t="s">
        <v>348</v>
      </c>
      <c r="K15" s="3" t="s">
        <v>194</v>
      </c>
      <c r="L15" s="3" t="s">
        <v>124</v>
      </c>
      <c r="M15" s="4" t="s">
        <v>138</v>
      </c>
      <c r="N15" s="4" t="s">
        <v>138</v>
      </c>
      <c r="S15" s="141">
        <v>0</v>
      </c>
      <c r="V15" s="24">
        <v>2880</v>
      </c>
      <c r="W15" s="3" t="s">
        <v>170</v>
      </c>
      <c r="Y15" s="124">
        <v>0</v>
      </c>
    </row>
    <row r="16" spans="1:25" x14ac:dyDescent="0.25">
      <c r="A16" s="115">
        <f t="shared" si="0"/>
        <v>2.8000000000000007</v>
      </c>
      <c r="B16" t="s">
        <v>358</v>
      </c>
      <c r="C16" s="4" t="s">
        <v>469</v>
      </c>
      <c r="D16" s="4" t="s">
        <v>469</v>
      </c>
      <c r="E16" s="264"/>
      <c r="F16" s="72"/>
      <c r="G16" s="3" t="s">
        <v>360</v>
      </c>
      <c r="H16" s="3" t="s">
        <v>348</v>
      </c>
      <c r="I16" s="3" t="s">
        <v>360</v>
      </c>
      <c r="J16" s="3" t="s">
        <v>348</v>
      </c>
      <c r="K16" s="3" t="s">
        <v>362</v>
      </c>
      <c r="L16" s="3" t="s">
        <v>364</v>
      </c>
      <c r="M16" s="4" t="s">
        <v>138</v>
      </c>
      <c r="N16" s="4" t="s">
        <v>138</v>
      </c>
      <c r="S16" s="141">
        <v>0</v>
      </c>
      <c r="V16" s="24">
        <v>1340</v>
      </c>
      <c r="W16" s="3" t="s">
        <v>170</v>
      </c>
      <c r="Y16" s="124">
        <v>0</v>
      </c>
    </row>
    <row r="17" spans="1:25" x14ac:dyDescent="0.25">
      <c r="A17" s="115">
        <f t="shared" si="0"/>
        <v>2.9000000000000008</v>
      </c>
      <c r="B17" t="s">
        <v>359</v>
      </c>
      <c r="C17" s="4" t="s">
        <v>469</v>
      </c>
      <c r="D17" s="4" t="s">
        <v>469</v>
      </c>
      <c r="E17" s="264"/>
      <c r="F17" s="72"/>
      <c r="G17" s="3" t="s">
        <v>361</v>
      </c>
      <c r="H17" s="3" t="s">
        <v>348</v>
      </c>
      <c r="I17" s="3" t="s">
        <v>361</v>
      </c>
      <c r="J17" s="3" t="s">
        <v>348</v>
      </c>
      <c r="K17" s="3" t="s">
        <v>363</v>
      </c>
      <c r="L17" s="3" t="s">
        <v>365</v>
      </c>
      <c r="M17" s="4" t="s">
        <v>138</v>
      </c>
      <c r="N17" s="4" t="s">
        <v>138</v>
      </c>
      <c r="S17" s="141">
        <v>0</v>
      </c>
      <c r="V17" s="24">
        <v>3300</v>
      </c>
      <c r="W17" s="3" t="s">
        <v>170</v>
      </c>
      <c r="Y17" s="124">
        <v>0</v>
      </c>
    </row>
    <row r="18" spans="1:25" x14ac:dyDescent="0.25">
      <c r="A18" s="119">
        <v>2.1</v>
      </c>
      <c r="B18" t="s">
        <v>129</v>
      </c>
      <c r="C18" s="4" t="s">
        <v>469</v>
      </c>
      <c r="D18" s="4" t="s">
        <v>469</v>
      </c>
      <c r="E18" s="264"/>
      <c r="F18" s="72"/>
      <c r="G18" s="3" t="s">
        <v>154</v>
      </c>
      <c r="H18" s="3" t="s">
        <v>374</v>
      </c>
      <c r="I18" s="3" t="s">
        <v>154</v>
      </c>
      <c r="J18" s="3" t="s">
        <v>374</v>
      </c>
      <c r="K18" s="3" t="s">
        <v>195</v>
      </c>
      <c r="L18" s="3" t="s">
        <v>126</v>
      </c>
      <c r="M18" s="4" t="s">
        <v>138</v>
      </c>
      <c r="N18" s="4" t="s">
        <v>138</v>
      </c>
      <c r="S18" s="141">
        <v>0</v>
      </c>
      <c r="V18" s="24">
        <v>1020</v>
      </c>
      <c r="W18" s="3" t="s">
        <v>170</v>
      </c>
      <c r="X18" s="91" t="s">
        <v>311</v>
      </c>
      <c r="Y18" s="124">
        <v>0</v>
      </c>
    </row>
    <row r="19" spans="1:25" x14ac:dyDescent="0.25">
      <c r="A19" s="119">
        <f>+A18+0.01</f>
        <v>2.11</v>
      </c>
      <c r="B19" t="s">
        <v>130</v>
      </c>
      <c r="C19" s="4" t="s">
        <v>469</v>
      </c>
      <c r="D19" s="4" t="s">
        <v>469</v>
      </c>
      <c r="E19" s="264"/>
      <c r="F19" s="72"/>
      <c r="G19" s="3" t="s">
        <v>155</v>
      </c>
      <c r="H19" s="3" t="s">
        <v>374</v>
      </c>
      <c r="I19" s="3" t="s">
        <v>155</v>
      </c>
      <c r="J19" s="3" t="s">
        <v>374</v>
      </c>
      <c r="K19" s="3" t="s">
        <v>196</v>
      </c>
      <c r="L19" s="3" t="s">
        <v>128</v>
      </c>
      <c r="M19" s="4" t="s">
        <v>138</v>
      </c>
      <c r="N19" s="4" t="s">
        <v>138</v>
      </c>
      <c r="S19" s="141">
        <v>0</v>
      </c>
      <c r="V19" s="24">
        <v>2150</v>
      </c>
      <c r="W19" s="3" t="s">
        <v>170</v>
      </c>
      <c r="X19" s="91" t="s">
        <v>311</v>
      </c>
      <c r="Y19" s="124">
        <v>0</v>
      </c>
    </row>
    <row r="20" spans="1:25" x14ac:dyDescent="0.25">
      <c r="A20" s="119">
        <f t="shared" ref="A20:A29" si="1">+A19+0.01</f>
        <v>2.1199999999999997</v>
      </c>
      <c r="B20" t="s">
        <v>131</v>
      </c>
      <c r="C20" s="4" t="s">
        <v>469</v>
      </c>
      <c r="D20" s="4" t="s">
        <v>469</v>
      </c>
      <c r="E20" s="264"/>
      <c r="F20" s="72"/>
      <c r="G20" s="3" t="s">
        <v>156</v>
      </c>
      <c r="H20" s="3" t="s">
        <v>374</v>
      </c>
      <c r="I20" s="3" t="s">
        <v>156</v>
      </c>
      <c r="J20" s="3" t="s">
        <v>374</v>
      </c>
      <c r="K20" s="3" t="s">
        <v>197</v>
      </c>
      <c r="L20" s="3" t="s">
        <v>127</v>
      </c>
      <c r="M20" s="4" t="s">
        <v>138</v>
      </c>
      <c r="N20" s="4" t="s">
        <v>138</v>
      </c>
      <c r="S20" s="141">
        <v>0</v>
      </c>
      <c r="V20" s="24">
        <v>2980</v>
      </c>
      <c r="W20" s="3" t="s">
        <v>170</v>
      </c>
      <c r="X20" s="91" t="s">
        <v>311</v>
      </c>
      <c r="Y20" s="124">
        <v>0</v>
      </c>
    </row>
    <row r="21" spans="1:25" x14ac:dyDescent="0.25">
      <c r="A21" s="119">
        <f t="shared" si="1"/>
        <v>2.1299999999999994</v>
      </c>
      <c r="B21" t="s">
        <v>392</v>
      </c>
      <c r="C21" s="4" t="s">
        <v>469</v>
      </c>
      <c r="D21" s="4" t="s">
        <v>469</v>
      </c>
      <c r="E21" s="264"/>
      <c r="F21" s="72"/>
      <c r="G21" s="3" t="s">
        <v>395</v>
      </c>
      <c r="H21" s="3" t="s">
        <v>348</v>
      </c>
      <c r="I21" s="3" t="s">
        <v>395</v>
      </c>
      <c r="J21" s="3" t="s">
        <v>348</v>
      </c>
      <c r="K21" s="3" t="s">
        <v>398</v>
      </c>
      <c r="L21" s="3" t="s">
        <v>401</v>
      </c>
      <c r="M21" s="4" t="s">
        <v>138</v>
      </c>
      <c r="N21" s="4" t="s">
        <v>138</v>
      </c>
      <c r="S21" s="141">
        <v>0</v>
      </c>
      <c r="V21" s="24">
        <v>2060</v>
      </c>
      <c r="W21" s="3" t="s">
        <v>170</v>
      </c>
      <c r="X21" s="91"/>
      <c r="Y21" s="124">
        <v>0</v>
      </c>
    </row>
    <row r="22" spans="1:25" x14ac:dyDescent="0.25">
      <c r="A22" s="119">
        <f t="shared" si="1"/>
        <v>2.1399999999999992</v>
      </c>
      <c r="B22" t="s">
        <v>393</v>
      </c>
      <c r="C22" s="4" t="s">
        <v>469</v>
      </c>
      <c r="D22" s="4" t="s">
        <v>469</v>
      </c>
      <c r="E22" s="264"/>
      <c r="F22" s="72"/>
      <c r="G22" s="3" t="s">
        <v>396</v>
      </c>
      <c r="H22" s="3" t="s">
        <v>348</v>
      </c>
      <c r="I22" s="3" t="s">
        <v>396</v>
      </c>
      <c r="J22" s="3" t="s">
        <v>348</v>
      </c>
      <c r="K22" s="3" t="s">
        <v>399</v>
      </c>
      <c r="L22" s="3" t="s">
        <v>402</v>
      </c>
      <c r="M22" s="4" t="s">
        <v>138</v>
      </c>
      <c r="N22" s="4" t="s">
        <v>138</v>
      </c>
      <c r="S22" s="141">
        <v>0</v>
      </c>
      <c r="V22" s="24">
        <v>3190</v>
      </c>
      <c r="W22" s="3" t="s">
        <v>170</v>
      </c>
      <c r="X22" s="91"/>
      <c r="Y22" s="124">
        <v>0</v>
      </c>
    </row>
    <row r="23" spans="1:25" x14ac:dyDescent="0.25">
      <c r="A23" s="119">
        <f t="shared" si="1"/>
        <v>2.149999999999999</v>
      </c>
      <c r="B23" t="s">
        <v>394</v>
      </c>
      <c r="C23" s="4" t="s">
        <v>469</v>
      </c>
      <c r="D23" s="4" t="s">
        <v>469</v>
      </c>
      <c r="E23" s="264"/>
      <c r="F23" s="72"/>
      <c r="G23" s="3" t="s">
        <v>397</v>
      </c>
      <c r="H23" s="3" t="s">
        <v>348</v>
      </c>
      <c r="I23" s="3" t="s">
        <v>397</v>
      </c>
      <c r="J23" s="3" t="s">
        <v>348</v>
      </c>
      <c r="K23" s="3" t="s">
        <v>400</v>
      </c>
      <c r="L23" s="3" t="s">
        <v>403</v>
      </c>
      <c r="M23" s="4" t="s">
        <v>138</v>
      </c>
      <c r="N23" s="4" t="s">
        <v>138</v>
      </c>
      <c r="S23" s="141">
        <v>0</v>
      </c>
      <c r="V23" s="24">
        <v>4020</v>
      </c>
      <c r="W23" s="3" t="s">
        <v>170</v>
      </c>
      <c r="X23" s="91"/>
      <c r="Y23" s="124">
        <v>0</v>
      </c>
    </row>
    <row r="24" spans="1:25" x14ac:dyDescent="0.25">
      <c r="A24" s="119">
        <f t="shared" si="1"/>
        <v>2.1599999999999988</v>
      </c>
      <c r="B24" t="s">
        <v>132</v>
      </c>
      <c r="C24" s="4" t="s">
        <v>469</v>
      </c>
      <c r="D24" s="4" t="s">
        <v>469</v>
      </c>
      <c r="E24" s="264"/>
      <c r="F24" s="72"/>
      <c r="G24" s="3" t="s">
        <v>157</v>
      </c>
      <c r="H24" s="3" t="s">
        <v>374</v>
      </c>
      <c r="I24" s="3" t="s">
        <v>157</v>
      </c>
      <c r="J24" s="3" t="s">
        <v>374</v>
      </c>
      <c r="K24" s="3" t="s">
        <v>198</v>
      </c>
      <c r="L24" s="3" t="s">
        <v>137</v>
      </c>
      <c r="M24" s="4" t="s">
        <v>138</v>
      </c>
      <c r="N24" s="4" t="s">
        <v>138</v>
      </c>
      <c r="S24" s="141">
        <v>0</v>
      </c>
      <c r="V24" s="24">
        <v>2420</v>
      </c>
      <c r="W24" s="3" t="s">
        <v>170</v>
      </c>
      <c r="X24" s="91" t="s">
        <v>311</v>
      </c>
      <c r="Y24" s="124">
        <v>0</v>
      </c>
    </row>
    <row r="25" spans="1:25" x14ac:dyDescent="0.25">
      <c r="A25" s="119">
        <f t="shared" si="1"/>
        <v>2.1699999999999986</v>
      </c>
      <c r="B25" t="s">
        <v>133</v>
      </c>
      <c r="C25" s="4" t="s">
        <v>469</v>
      </c>
      <c r="D25" s="4" t="s">
        <v>469</v>
      </c>
      <c r="E25" s="264"/>
      <c r="F25" s="72"/>
      <c r="G25" s="3" t="s">
        <v>158</v>
      </c>
      <c r="H25" s="3" t="s">
        <v>374</v>
      </c>
      <c r="I25" s="3" t="s">
        <v>158</v>
      </c>
      <c r="J25" s="3" t="s">
        <v>374</v>
      </c>
      <c r="K25" s="3" t="s">
        <v>199</v>
      </c>
      <c r="L25" s="3" t="s">
        <v>136</v>
      </c>
      <c r="M25" s="4" t="s">
        <v>138</v>
      </c>
      <c r="N25" s="4" t="s">
        <v>138</v>
      </c>
      <c r="S25" s="141">
        <v>0</v>
      </c>
      <c r="V25" s="24">
        <v>3550</v>
      </c>
      <c r="W25" s="3" t="s">
        <v>170</v>
      </c>
      <c r="X25" s="91" t="s">
        <v>311</v>
      </c>
      <c r="Y25" s="124">
        <v>0</v>
      </c>
    </row>
    <row r="26" spans="1:25" x14ac:dyDescent="0.25">
      <c r="A26" s="119">
        <f t="shared" si="1"/>
        <v>2.1799999999999984</v>
      </c>
      <c r="B26" t="s">
        <v>134</v>
      </c>
      <c r="C26" s="4" t="s">
        <v>469</v>
      </c>
      <c r="D26" s="4" t="s">
        <v>469</v>
      </c>
      <c r="E26" s="264"/>
      <c r="F26" s="72"/>
      <c r="G26" s="3" t="s">
        <v>159</v>
      </c>
      <c r="H26" s="3" t="s">
        <v>374</v>
      </c>
      <c r="I26" s="3" t="s">
        <v>159</v>
      </c>
      <c r="J26" s="3" t="s">
        <v>374</v>
      </c>
      <c r="K26" s="3" t="s">
        <v>200</v>
      </c>
      <c r="L26" s="3" t="s">
        <v>135</v>
      </c>
      <c r="M26" s="4" t="s">
        <v>138</v>
      </c>
      <c r="N26" s="4" t="s">
        <v>138</v>
      </c>
      <c r="S26" s="141">
        <v>0</v>
      </c>
      <c r="V26" s="24">
        <v>4380</v>
      </c>
      <c r="W26" s="3" t="s">
        <v>170</v>
      </c>
      <c r="X26" s="91" t="s">
        <v>311</v>
      </c>
      <c r="Y26" s="124">
        <v>0</v>
      </c>
    </row>
    <row r="27" spans="1:25" x14ac:dyDescent="0.25">
      <c r="A27" s="119">
        <f t="shared" si="1"/>
        <v>2.1899999999999982</v>
      </c>
      <c r="B27" t="s">
        <v>366</v>
      </c>
      <c r="C27" s="4" t="s">
        <v>469</v>
      </c>
      <c r="D27" s="4" t="s">
        <v>469</v>
      </c>
      <c r="E27" s="264"/>
      <c r="F27" s="72"/>
      <c r="G27" s="3" t="s">
        <v>367</v>
      </c>
      <c r="H27" s="3" t="s">
        <v>348</v>
      </c>
      <c r="I27" s="3" t="s">
        <v>367</v>
      </c>
      <c r="J27" s="3" t="s">
        <v>348</v>
      </c>
      <c r="K27" s="3" t="s">
        <v>368</v>
      </c>
      <c r="L27" s="3" t="s">
        <v>377</v>
      </c>
      <c r="M27" s="4" t="s">
        <v>138</v>
      </c>
      <c r="N27" s="4" t="s">
        <v>138</v>
      </c>
      <c r="S27" s="141">
        <v>0</v>
      </c>
      <c r="V27" s="24">
        <v>4790</v>
      </c>
      <c r="W27" s="3" t="s">
        <v>170</v>
      </c>
      <c r="X27" s="91"/>
      <c r="Y27" s="124">
        <v>0</v>
      </c>
    </row>
    <row r="28" spans="1:25" x14ac:dyDescent="0.25">
      <c r="A28" s="119">
        <f t="shared" si="1"/>
        <v>2.199999999999998</v>
      </c>
      <c r="B28" t="s">
        <v>529</v>
      </c>
      <c r="C28" s="4" t="s">
        <v>469</v>
      </c>
      <c r="D28" s="4" t="s">
        <v>469</v>
      </c>
      <c r="E28" s="264"/>
      <c r="F28" s="72"/>
      <c r="G28" s="207" t="str">
        <f>+IF('WORKCELL CONFIGURATOR'!$H$5="","",(IF('WORKCELL CONFIGURATOR'!$H$5=Data!$C$4,"612-2346-1","612-2346-2")))</f>
        <v>612-2346-1</v>
      </c>
      <c r="H28" s="191" t="s">
        <v>348</v>
      </c>
      <c r="I28" s="207" t="str">
        <f>+IF('WORKCELL CONFIGURATOR'!$H$5="","",(IF('WORKCELL CONFIGURATOR'!$H$5=Data!$C$4,"612-2346-3","612-2346-4")))</f>
        <v>612-2346-3</v>
      </c>
      <c r="J28" s="191" t="s">
        <v>348</v>
      </c>
      <c r="K28" s="191" t="s">
        <v>517</v>
      </c>
      <c r="L28" s="191"/>
      <c r="M28" s="4"/>
      <c r="N28" s="4"/>
      <c r="O28" s="191"/>
      <c r="P28" s="191"/>
      <c r="Q28" s="191"/>
      <c r="R28" s="191"/>
      <c r="S28" s="192"/>
      <c r="V28" s="24">
        <v>15100</v>
      </c>
      <c r="W28" s="191" t="s">
        <v>170</v>
      </c>
      <c r="X28" s="91"/>
      <c r="Y28" s="192">
        <v>0</v>
      </c>
    </row>
    <row r="29" spans="1:25" x14ac:dyDescent="0.25">
      <c r="A29" s="119">
        <f t="shared" si="1"/>
        <v>2.2099999999999977</v>
      </c>
      <c r="B29" t="s">
        <v>333</v>
      </c>
      <c r="C29" s="4" t="s">
        <v>469</v>
      </c>
      <c r="D29" s="4" t="s">
        <v>469</v>
      </c>
      <c r="E29" s="264"/>
      <c r="F29" s="72"/>
      <c r="G29" s="3" t="s">
        <v>334</v>
      </c>
      <c r="H29" s="3" t="s">
        <v>348</v>
      </c>
      <c r="I29" s="3" t="s">
        <v>334</v>
      </c>
      <c r="J29" s="3" t="s">
        <v>348</v>
      </c>
      <c r="K29" s="3" t="s">
        <v>138</v>
      </c>
      <c r="L29" s="3" t="s">
        <v>138</v>
      </c>
      <c r="M29" s="4" t="s">
        <v>138</v>
      </c>
      <c r="N29" s="4" t="s">
        <v>138</v>
      </c>
      <c r="S29" s="141">
        <v>0</v>
      </c>
      <c r="V29" s="24">
        <v>1960</v>
      </c>
      <c r="W29" s="3" t="s">
        <v>170</v>
      </c>
      <c r="X29" s="91" t="s">
        <v>311</v>
      </c>
      <c r="Y29" s="124">
        <v>0</v>
      </c>
    </row>
    <row r="30" spans="1:25" x14ac:dyDescent="0.25">
      <c r="A30" s="119"/>
      <c r="E30" s="131"/>
      <c r="G30" s="130"/>
      <c r="H30" s="130"/>
      <c r="I30" s="130"/>
      <c r="J30" s="130"/>
      <c r="K30" s="130"/>
      <c r="L30" s="130"/>
      <c r="M30" s="4"/>
      <c r="N30" s="4"/>
      <c r="O30" s="130"/>
      <c r="P30" s="130"/>
      <c r="Q30" s="130"/>
      <c r="R30" s="130"/>
      <c r="V30" s="24"/>
      <c r="W30" s="130"/>
      <c r="X30" s="91"/>
      <c r="Y30" s="124"/>
    </row>
    <row r="31" spans="1:25" ht="18" thickBot="1" x14ac:dyDescent="0.35">
      <c r="A31" s="2">
        <v>3</v>
      </c>
      <c r="B31" s="1" t="s">
        <v>409</v>
      </c>
      <c r="C31" s="1"/>
      <c r="D31" s="1"/>
      <c r="E31" s="121"/>
      <c r="F31" s="121"/>
      <c r="H31" s="3"/>
      <c r="J31" s="3"/>
      <c r="L31" s="4"/>
      <c r="M31" s="4"/>
      <c r="N31" s="4"/>
      <c r="V31" s="22"/>
      <c r="X31" s="91"/>
      <c r="Y31" s="116" t="s">
        <v>416</v>
      </c>
    </row>
    <row r="32" spans="1:25" ht="18" hidden="1" thickTop="1" x14ac:dyDescent="0.35">
      <c r="A32" s="135"/>
      <c r="B32" s="8" t="s">
        <v>404</v>
      </c>
      <c r="C32" s="8"/>
      <c r="D32" s="8"/>
      <c r="E32" s="264" t="s">
        <v>435</v>
      </c>
      <c r="F32" s="121"/>
      <c r="G32" s="136"/>
      <c r="H32" s="136"/>
      <c r="I32" s="136"/>
      <c r="J32" s="136"/>
      <c r="K32" s="136"/>
      <c r="L32" s="4"/>
      <c r="M32" s="4"/>
      <c r="N32" s="4"/>
      <c r="O32" s="136"/>
      <c r="P32" s="136"/>
      <c r="Q32" s="136"/>
      <c r="R32" s="136"/>
      <c r="S32" s="141">
        <v>0</v>
      </c>
      <c r="V32" s="22"/>
      <c r="W32" s="136"/>
      <c r="X32" s="91"/>
      <c r="Y32" s="124"/>
    </row>
    <row r="33" spans="1:25" ht="15.75" thickTop="1" x14ac:dyDescent="0.25">
      <c r="A33" s="115">
        <f>+A$31+0.1</f>
        <v>3.1</v>
      </c>
      <c r="B33" s="8" t="s">
        <v>482</v>
      </c>
      <c r="C33" s="4" t="s">
        <v>469</v>
      </c>
      <c r="D33" s="4" t="s">
        <v>469</v>
      </c>
      <c r="E33" s="264"/>
      <c r="G33" s="160" t="s">
        <v>419</v>
      </c>
      <c r="H33" s="3" t="s">
        <v>348</v>
      </c>
      <c r="I33" s="160" t="s">
        <v>419</v>
      </c>
      <c r="J33" s="3" t="s">
        <v>348</v>
      </c>
      <c r="K33" s="4" t="s">
        <v>138</v>
      </c>
      <c r="L33" s="4" t="s">
        <v>138</v>
      </c>
      <c r="M33" s="4" t="s">
        <v>138</v>
      </c>
      <c r="N33" s="4" t="s">
        <v>138</v>
      </c>
      <c r="O33" s="3">
        <v>0</v>
      </c>
      <c r="P33" s="3">
        <v>-64</v>
      </c>
      <c r="Q33" s="3">
        <v>-244</v>
      </c>
      <c r="S33" s="141">
        <v>0</v>
      </c>
      <c r="V33" s="170">
        <v>0</v>
      </c>
      <c r="W33" s="3" t="s">
        <v>169</v>
      </c>
      <c r="X33" s="91" t="s">
        <v>311</v>
      </c>
      <c r="Y33" s="116">
        <v>2</v>
      </c>
    </row>
    <row r="34" spans="1:25" x14ac:dyDescent="0.25">
      <c r="A34" s="115">
        <f>+A33+0.1</f>
        <v>3.2</v>
      </c>
      <c r="B34" s="161" t="s">
        <v>483</v>
      </c>
      <c r="C34" s="4" t="s">
        <v>469</v>
      </c>
      <c r="D34" s="4" t="s">
        <v>469</v>
      </c>
      <c r="E34" s="264"/>
      <c r="G34" s="160" t="s">
        <v>464</v>
      </c>
      <c r="H34" s="160" t="s">
        <v>348</v>
      </c>
      <c r="I34" s="160" t="s">
        <v>464</v>
      </c>
      <c r="J34" s="160" t="s">
        <v>348</v>
      </c>
      <c r="K34" s="4" t="s">
        <v>138</v>
      </c>
      <c r="L34" s="4" t="s">
        <v>138</v>
      </c>
      <c r="M34" s="4" t="s">
        <v>138</v>
      </c>
      <c r="N34" s="4" t="s">
        <v>138</v>
      </c>
      <c r="O34" s="160">
        <v>-9</v>
      </c>
      <c r="P34" s="160">
        <v>-59</v>
      </c>
      <c r="Q34" s="160">
        <v>-232</v>
      </c>
      <c r="R34" s="160"/>
      <c r="S34" s="141">
        <v>0</v>
      </c>
      <c r="V34" s="170">
        <v>0</v>
      </c>
      <c r="W34" s="160" t="s">
        <v>169</v>
      </c>
      <c r="X34" s="91" t="s">
        <v>311</v>
      </c>
      <c r="Y34" s="141">
        <v>2</v>
      </c>
    </row>
    <row r="35" spans="1:25" x14ac:dyDescent="0.25">
      <c r="A35" s="115">
        <f t="shared" ref="A35:A41" si="2">+A34+0.1</f>
        <v>3.3000000000000003</v>
      </c>
      <c r="B35" t="s">
        <v>484</v>
      </c>
      <c r="C35" s="4" t="s">
        <v>469</v>
      </c>
      <c r="D35" s="4" t="s">
        <v>469</v>
      </c>
      <c r="E35" s="264"/>
      <c r="G35" s="160" t="s">
        <v>465</v>
      </c>
      <c r="H35" s="118" t="s">
        <v>348</v>
      </c>
      <c r="I35" s="160" t="s">
        <v>465</v>
      </c>
      <c r="J35" s="118" t="s">
        <v>348</v>
      </c>
      <c r="K35" s="4" t="s">
        <v>138</v>
      </c>
      <c r="L35" s="4" t="s">
        <v>138</v>
      </c>
      <c r="M35" s="4" t="s">
        <v>138</v>
      </c>
      <c r="N35" s="4" t="s">
        <v>138</v>
      </c>
      <c r="O35" s="3">
        <v>-89</v>
      </c>
      <c r="P35" s="3">
        <v>-49</v>
      </c>
      <c r="Q35" s="3">
        <v>-228</v>
      </c>
      <c r="S35" s="141">
        <v>0</v>
      </c>
      <c r="V35" s="170">
        <v>0</v>
      </c>
      <c r="W35" s="160" t="s">
        <v>169</v>
      </c>
      <c r="X35" s="91" t="s">
        <v>311</v>
      </c>
      <c r="Y35" s="116">
        <v>3</v>
      </c>
    </row>
    <row r="36" spans="1:25" x14ac:dyDescent="0.25">
      <c r="A36" s="115">
        <f t="shared" si="2"/>
        <v>3.4000000000000004</v>
      </c>
      <c r="B36" t="s">
        <v>485</v>
      </c>
      <c r="C36" s="4" t="s">
        <v>469</v>
      </c>
      <c r="D36" s="4" t="s">
        <v>469</v>
      </c>
      <c r="E36" s="264"/>
      <c r="G36" s="160" t="s">
        <v>466</v>
      </c>
      <c r="H36" s="3" t="s">
        <v>348</v>
      </c>
      <c r="I36" s="160" t="s">
        <v>466</v>
      </c>
      <c r="J36" s="3" t="s">
        <v>348</v>
      </c>
      <c r="K36" s="4" t="s">
        <v>138</v>
      </c>
      <c r="L36" s="4" t="s">
        <v>138</v>
      </c>
      <c r="M36" s="4" t="s">
        <v>138</v>
      </c>
      <c r="N36" s="4" t="s">
        <v>138</v>
      </c>
      <c r="O36" s="3">
        <v>-21</v>
      </c>
      <c r="P36" s="3">
        <v>-84</v>
      </c>
      <c r="Q36" s="3">
        <v>-284</v>
      </c>
      <c r="S36" s="141">
        <v>0</v>
      </c>
      <c r="V36" s="170">
        <v>3300</v>
      </c>
      <c r="W36" s="160" t="s">
        <v>169</v>
      </c>
      <c r="X36" s="91" t="s">
        <v>311</v>
      </c>
      <c r="Y36" s="116">
        <v>2</v>
      </c>
    </row>
    <row r="37" spans="1:25" x14ac:dyDescent="0.25">
      <c r="A37" s="115">
        <f t="shared" si="2"/>
        <v>3.5000000000000004</v>
      </c>
      <c r="B37" t="s">
        <v>516</v>
      </c>
      <c r="C37" s="4" t="s">
        <v>469</v>
      </c>
      <c r="D37" s="4" t="s">
        <v>469</v>
      </c>
      <c r="E37" s="264"/>
      <c r="G37" s="185" t="s">
        <v>508</v>
      </c>
      <c r="H37" s="185" t="s">
        <v>348</v>
      </c>
      <c r="I37" s="185" t="s">
        <v>508</v>
      </c>
      <c r="J37" s="185" t="s">
        <v>348</v>
      </c>
      <c r="K37" s="4" t="s">
        <v>138</v>
      </c>
      <c r="L37" s="4" t="s">
        <v>138</v>
      </c>
      <c r="M37" s="4" t="s">
        <v>138</v>
      </c>
      <c r="N37" s="4" t="s">
        <v>138</v>
      </c>
      <c r="O37" s="185">
        <v>-89</v>
      </c>
      <c r="P37" s="185">
        <v>-84</v>
      </c>
      <c r="Q37" s="185">
        <v>-282</v>
      </c>
      <c r="R37" s="185"/>
      <c r="S37" s="186">
        <v>0</v>
      </c>
      <c r="V37" s="170">
        <v>3300</v>
      </c>
      <c r="W37" s="185" t="s">
        <v>169</v>
      </c>
      <c r="X37" s="91" t="s">
        <v>311</v>
      </c>
      <c r="Y37" s="186">
        <v>3</v>
      </c>
    </row>
    <row r="38" spans="1:25" x14ac:dyDescent="0.25">
      <c r="A38" s="115">
        <f t="shared" si="2"/>
        <v>3.6000000000000005</v>
      </c>
      <c r="B38" t="s">
        <v>589</v>
      </c>
      <c r="C38" s="4" t="s">
        <v>469</v>
      </c>
      <c r="D38" s="4" t="s">
        <v>469</v>
      </c>
      <c r="E38" s="264"/>
      <c r="G38" s="209" t="str">
        <f>+IF('WORKCELL CONFIGURATOR'!$H$31=Data!$B$4,"612-3338-1","612-3336-1")</f>
        <v>612-3338-1</v>
      </c>
      <c r="H38" s="209" t="s">
        <v>348</v>
      </c>
      <c r="I38" s="251" t="str">
        <f>+IF('WORKCELL CONFIGURATOR'!$H$31=Data!$B$4,"612-3338-1","612-3336-1")</f>
        <v>612-3338-1</v>
      </c>
      <c r="J38" s="209" t="s">
        <v>348</v>
      </c>
      <c r="K38" s="4" t="s">
        <v>138</v>
      </c>
      <c r="L38" s="4" t="s">
        <v>138</v>
      </c>
      <c r="M38" s="4" t="s">
        <v>138</v>
      </c>
      <c r="N38" s="4" t="s">
        <v>138</v>
      </c>
      <c r="O38" s="209">
        <v>-64</v>
      </c>
      <c r="P38" s="209">
        <v>-125</v>
      </c>
      <c r="Q38" s="209">
        <v>-289</v>
      </c>
      <c r="R38" s="209"/>
      <c r="S38" s="210">
        <v>0</v>
      </c>
      <c r="V38" s="170">
        <v>2780</v>
      </c>
      <c r="W38" s="209" t="s">
        <v>169</v>
      </c>
      <c r="X38" s="91" t="s">
        <v>311</v>
      </c>
      <c r="Y38" s="210">
        <v>4</v>
      </c>
    </row>
    <row r="39" spans="1:25" x14ac:dyDescent="0.25">
      <c r="A39" s="230">
        <f t="shared" si="2"/>
        <v>3.7000000000000006</v>
      </c>
      <c r="B39" t="s">
        <v>636</v>
      </c>
      <c r="C39" s="4" t="s">
        <v>469</v>
      </c>
      <c r="D39" s="4" t="s">
        <v>469</v>
      </c>
      <c r="E39" s="264"/>
      <c r="G39" s="255" t="s">
        <v>634</v>
      </c>
      <c r="H39" s="255" t="s">
        <v>348</v>
      </c>
      <c r="I39" s="255" t="s">
        <v>634</v>
      </c>
      <c r="J39" s="255" t="s">
        <v>348</v>
      </c>
      <c r="K39" s="4" t="s">
        <v>138</v>
      </c>
      <c r="L39" s="4" t="s">
        <v>138</v>
      </c>
      <c r="M39" s="4" t="s">
        <v>138</v>
      </c>
      <c r="N39" s="4" t="s">
        <v>138</v>
      </c>
      <c r="O39" s="255"/>
      <c r="P39" s="255"/>
      <c r="Q39" s="255"/>
      <c r="R39" s="255"/>
      <c r="S39" s="228">
        <v>0</v>
      </c>
      <c r="V39" s="170">
        <v>16430</v>
      </c>
      <c r="W39" s="255" t="s">
        <v>169</v>
      </c>
      <c r="X39" s="91"/>
      <c r="Y39" s="228">
        <v>2</v>
      </c>
    </row>
    <row r="40" spans="1:25" x14ac:dyDescent="0.25">
      <c r="A40" s="230">
        <f t="shared" si="2"/>
        <v>3.8000000000000007</v>
      </c>
      <c r="B40" t="s">
        <v>633</v>
      </c>
      <c r="C40" s="4" t="s">
        <v>469</v>
      </c>
      <c r="D40" s="4" t="s">
        <v>469</v>
      </c>
      <c r="E40" s="264"/>
      <c r="G40" s="255" t="s">
        <v>635</v>
      </c>
      <c r="H40" s="255" t="s">
        <v>348</v>
      </c>
      <c r="I40" s="255" t="s">
        <v>635</v>
      </c>
      <c r="J40" s="255" t="s">
        <v>348</v>
      </c>
      <c r="K40" s="4" t="s">
        <v>138</v>
      </c>
      <c r="L40" s="4" t="s">
        <v>138</v>
      </c>
      <c r="M40" s="4" t="s">
        <v>138</v>
      </c>
      <c r="N40" s="4" t="s">
        <v>138</v>
      </c>
      <c r="O40" s="255"/>
      <c r="P40" s="255"/>
      <c r="Q40" s="255"/>
      <c r="R40" s="255"/>
      <c r="S40" s="228">
        <v>0</v>
      </c>
      <c r="V40" s="170">
        <v>19620</v>
      </c>
      <c r="W40" s="255" t="s">
        <v>169</v>
      </c>
      <c r="X40" s="91"/>
      <c r="Y40" s="228">
        <v>2</v>
      </c>
    </row>
    <row r="41" spans="1:25" x14ac:dyDescent="0.25">
      <c r="A41" s="230">
        <f t="shared" si="2"/>
        <v>3.9000000000000008</v>
      </c>
      <c r="B41" t="s">
        <v>486</v>
      </c>
      <c r="C41" s="4" t="s">
        <v>469</v>
      </c>
      <c r="D41" s="4" t="s">
        <v>469</v>
      </c>
      <c r="E41" s="264"/>
      <c r="G41" s="3" t="s">
        <v>140</v>
      </c>
      <c r="H41" s="3" t="s">
        <v>349</v>
      </c>
      <c r="I41" s="3" t="s">
        <v>479</v>
      </c>
      <c r="J41" s="3" t="s">
        <v>348</v>
      </c>
      <c r="K41" s="4" t="s">
        <v>138</v>
      </c>
      <c r="L41" s="4" t="s">
        <v>138</v>
      </c>
      <c r="M41" s="4" t="s">
        <v>138</v>
      </c>
      <c r="N41" s="4" t="s">
        <v>138</v>
      </c>
      <c r="O41" s="3">
        <v>-60</v>
      </c>
      <c r="P41" s="3">
        <v>-10</v>
      </c>
      <c r="Q41" s="3">
        <v>-230</v>
      </c>
      <c r="R41" s="3">
        <v>1</v>
      </c>
      <c r="S41" s="141">
        <v>0</v>
      </c>
      <c r="V41" s="22">
        <v>9370</v>
      </c>
      <c r="W41" s="3" t="s">
        <v>169</v>
      </c>
      <c r="X41" s="91" t="s">
        <v>311</v>
      </c>
      <c r="Y41" s="116">
        <v>3</v>
      </c>
    </row>
    <row r="42" spans="1:25" x14ac:dyDescent="0.25">
      <c r="A42" s="114"/>
      <c r="H42" s="3"/>
      <c r="J42" s="3"/>
      <c r="K42" s="4"/>
      <c r="L42" s="4"/>
      <c r="M42" s="4"/>
      <c r="N42" s="4"/>
      <c r="V42" s="22"/>
    </row>
    <row r="43" spans="1:25" ht="18" thickBot="1" x14ac:dyDescent="0.35">
      <c r="A43" s="2">
        <v>4</v>
      </c>
      <c r="B43" s="1" t="s">
        <v>411</v>
      </c>
      <c r="C43" s="1"/>
      <c r="D43" s="1"/>
      <c r="G43" s="130"/>
      <c r="H43" s="130"/>
      <c r="I43" s="130"/>
      <c r="J43" s="130"/>
      <c r="K43" s="4"/>
      <c r="L43" s="4"/>
      <c r="M43" s="4"/>
      <c r="N43" s="4"/>
      <c r="O43" s="130"/>
      <c r="P43" s="130"/>
      <c r="Q43" s="130"/>
      <c r="R43" s="130"/>
      <c r="V43" s="22"/>
      <c r="W43" s="130"/>
      <c r="Y43" s="116" t="s">
        <v>415</v>
      </c>
    </row>
    <row r="44" spans="1:25" hidden="1" thickTop="1" x14ac:dyDescent="0.3">
      <c r="B44" t="s">
        <v>404</v>
      </c>
      <c r="E44" s="264" t="s">
        <v>431</v>
      </c>
      <c r="F44" s="264" t="s">
        <v>432</v>
      </c>
      <c r="H44" s="3"/>
      <c r="J44" s="3"/>
      <c r="K44" s="4"/>
      <c r="L44" s="4"/>
      <c r="M44" s="4"/>
      <c r="N44" s="4"/>
      <c r="S44" s="141">
        <v>0</v>
      </c>
      <c r="V44" s="22"/>
      <c r="Y44" s="116">
        <v>0</v>
      </c>
    </row>
    <row r="45" spans="1:25" ht="15.75" thickTop="1" x14ac:dyDescent="0.25">
      <c r="A45" s="115">
        <f>+A$43+0.1</f>
        <v>4.0999999999999996</v>
      </c>
      <c r="B45" t="s">
        <v>2</v>
      </c>
      <c r="C45" s="4" t="s">
        <v>469</v>
      </c>
      <c r="D45" s="4" t="s">
        <v>469</v>
      </c>
      <c r="E45" s="264"/>
      <c r="F45" s="264"/>
      <c r="G45" s="3" t="s">
        <v>145</v>
      </c>
      <c r="H45" s="3" t="s">
        <v>348</v>
      </c>
      <c r="I45" s="3" t="s">
        <v>145</v>
      </c>
      <c r="J45" s="3" t="s">
        <v>348</v>
      </c>
      <c r="K45" s="3" t="s">
        <v>191</v>
      </c>
      <c r="L45" s="4" t="s">
        <v>112</v>
      </c>
      <c r="M45" s="4" t="s">
        <v>138</v>
      </c>
      <c r="N45" s="4" t="s">
        <v>138</v>
      </c>
      <c r="S45" s="141">
        <v>0</v>
      </c>
      <c r="V45" s="22">
        <v>3860</v>
      </c>
      <c r="W45" s="3" t="s">
        <v>170</v>
      </c>
      <c r="X45" s="91" t="s">
        <v>311</v>
      </c>
      <c r="Y45" s="116">
        <v>0</v>
      </c>
    </row>
    <row r="46" spans="1:25" x14ac:dyDescent="0.25">
      <c r="A46" s="115">
        <f>+A45+0.1</f>
        <v>4.1999999999999993</v>
      </c>
      <c r="B46" t="s">
        <v>1</v>
      </c>
      <c r="C46" s="4" t="s">
        <v>469</v>
      </c>
      <c r="D46" s="4" t="s">
        <v>469</v>
      </c>
      <c r="E46" s="264"/>
      <c r="F46" s="264"/>
      <c r="G46" s="3" t="s">
        <v>146</v>
      </c>
      <c r="H46" s="3" t="s">
        <v>348</v>
      </c>
      <c r="I46" s="3" t="s">
        <v>146</v>
      </c>
      <c r="J46" s="3" t="s">
        <v>348</v>
      </c>
      <c r="K46" s="3" t="s">
        <v>192</v>
      </c>
      <c r="L46" s="4" t="s">
        <v>111</v>
      </c>
      <c r="M46" s="4" t="s">
        <v>138</v>
      </c>
      <c r="N46" s="4" t="s">
        <v>138</v>
      </c>
      <c r="S46" s="141">
        <v>0</v>
      </c>
      <c r="V46" s="22">
        <v>2780</v>
      </c>
      <c r="W46" s="3" t="s">
        <v>170</v>
      </c>
      <c r="X46" s="91" t="s">
        <v>311</v>
      </c>
      <c r="Y46" s="116">
        <v>0</v>
      </c>
    </row>
    <row r="47" spans="1:25" x14ac:dyDescent="0.25">
      <c r="A47" s="115">
        <f t="shared" ref="A47:A52" si="3">+A46+0.1</f>
        <v>4.2999999999999989</v>
      </c>
      <c r="B47" s="5" t="s">
        <v>9</v>
      </c>
      <c r="C47" s="4" t="s">
        <v>469</v>
      </c>
      <c r="D47" s="4" t="s">
        <v>469</v>
      </c>
      <c r="E47" s="264"/>
      <c r="F47" s="264"/>
      <c r="G47" s="3" t="s">
        <v>141</v>
      </c>
      <c r="H47" s="3" t="s">
        <v>348</v>
      </c>
      <c r="I47" s="3" t="s">
        <v>141</v>
      </c>
      <c r="J47" s="3" t="s">
        <v>348</v>
      </c>
      <c r="K47" s="3" t="s">
        <v>187</v>
      </c>
      <c r="L47" s="4" t="s">
        <v>160</v>
      </c>
      <c r="M47" s="4" t="s">
        <v>138</v>
      </c>
      <c r="N47" s="4" t="s">
        <v>138</v>
      </c>
      <c r="S47" s="141">
        <v>0</v>
      </c>
      <c r="V47" s="22">
        <v>3860</v>
      </c>
      <c r="W47" s="3" t="s">
        <v>170</v>
      </c>
      <c r="X47" s="91" t="s">
        <v>311</v>
      </c>
      <c r="Y47" s="116">
        <v>0</v>
      </c>
    </row>
    <row r="48" spans="1:25" x14ac:dyDescent="0.25">
      <c r="A48" s="115">
        <f t="shared" si="3"/>
        <v>4.3999999999999986</v>
      </c>
      <c r="B48" s="5" t="s">
        <v>379</v>
      </c>
      <c r="C48" s="4" t="s">
        <v>469</v>
      </c>
      <c r="D48" s="4" t="s">
        <v>469</v>
      </c>
      <c r="E48" s="264"/>
      <c r="F48" s="264"/>
      <c r="G48" s="3" t="s">
        <v>383</v>
      </c>
      <c r="H48" s="3" t="s">
        <v>348</v>
      </c>
      <c r="I48" s="3" t="s">
        <v>383</v>
      </c>
      <c r="J48" s="3" t="s">
        <v>348</v>
      </c>
      <c r="K48" s="3" t="s">
        <v>384</v>
      </c>
      <c r="L48" s="4" t="s">
        <v>385</v>
      </c>
      <c r="M48" s="4" t="s">
        <v>138</v>
      </c>
      <c r="N48" s="4" t="s">
        <v>138</v>
      </c>
      <c r="S48" s="141">
        <v>0</v>
      </c>
      <c r="V48" s="22">
        <v>3860</v>
      </c>
      <c r="W48" s="3" t="s">
        <v>170</v>
      </c>
      <c r="X48" s="91" t="s">
        <v>311</v>
      </c>
      <c r="Y48" s="116">
        <v>0</v>
      </c>
    </row>
    <row r="49" spans="1:25" x14ac:dyDescent="0.25">
      <c r="A49" s="115">
        <f t="shared" si="3"/>
        <v>4.4999999999999982</v>
      </c>
      <c r="B49" t="s">
        <v>0</v>
      </c>
      <c r="C49" s="4" t="s">
        <v>469</v>
      </c>
      <c r="D49" s="4" t="s">
        <v>469</v>
      </c>
      <c r="E49" s="264"/>
      <c r="G49" s="3" t="s">
        <v>142</v>
      </c>
      <c r="H49" s="3" t="s">
        <v>348</v>
      </c>
      <c r="I49" s="3" t="s">
        <v>142</v>
      </c>
      <c r="J49" s="3" t="s">
        <v>348</v>
      </c>
      <c r="K49" s="3" t="s">
        <v>188</v>
      </c>
      <c r="L49" s="4" t="s">
        <v>113</v>
      </c>
      <c r="M49" s="4" t="s">
        <v>138</v>
      </c>
      <c r="N49" s="4" t="s">
        <v>138</v>
      </c>
      <c r="S49" s="141">
        <v>0</v>
      </c>
      <c r="V49" s="22">
        <v>3860</v>
      </c>
      <c r="W49" s="3" t="s">
        <v>170</v>
      </c>
      <c r="X49" s="91" t="s">
        <v>311</v>
      </c>
      <c r="Y49" s="116">
        <v>1</v>
      </c>
    </row>
    <row r="50" spans="1:25" x14ac:dyDescent="0.25">
      <c r="A50" s="115">
        <f t="shared" si="3"/>
        <v>4.5999999999999979</v>
      </c>
      <c r="B50" t="s">
        <v>387</v>
      </c>
      <c r="C50" s="4" t="s">
        <v>469</v>
      </c>
      <c r="D50" s="4" t="s">
        <v>469</v>
      </c>
      <c r="E50" s="264"/>
      <c r="G50" s="3" t="s">
        <v>388</v>
      </c>
      <c r="H50" s="3" t="s">
        <v>348</v>
      </c>
      <c r="I50" s="3" t="s">
        <v>388</v>
      </c>
      <c r="J50" s="3" t="s">
        <v>348</v>
      </c>
      <c r="K50" s="3" t="s">
        <v>389</v>
      </c>
      <c r="L50" s="4" t="s">
        <v>390</v>
      </c>
      <c r="M50" s="4" t="s">
        <v>138</v>
      </c>
      <c r="N50" s="4" t="s">
        <v>138</v>
      </c>
      <c r="S50" s="141">
        <v>0</v>
      </c>
      <c r="V50" s="22">
        <v>3860</v>
      </c>
      <c r="W50" s="3" t="s">
        <v>170</v>
      </c>
      <c r="X50" s="91" t="s">
        <v>311</v>
      </c>
      <c r="Y50" s="116">
        <v>1</v>
      </c>
    </row>
    <row r="51" spans="1:25" x14ac:dyDescent="0.25">
      <c r="A51" s="115">
        <f t="shared" si="3"/>
        <v>4.6999999999999975</v>
      </c>
      <c r="B51" t="s">
        <v>14</v>
      </c>
      <c r="C51" s="4" t="s">
        <v>469</v>
      </c>
      <c r="D51" s="4" t="s">
        <v>469</v>
      </c>
      <c r="E51" s="264"/>
      <c r="G51" s="3" t="s">
        <v>143</v>
      </c>
      <c r="H51" s="3" t="s">
        <v>348</v>
      </c>
      <c r="I51" s="3" t="s">
        <v>143</v>
      </c>
      <c r="J51" s="3" t="s">
        <v>348</v>
      </c>
      <c r="K51" s="3" t="s">
        <v>189</v>
      </c>
      <c r="L51" s="4" t="s">
        <v>114</v>
      </c>
      <c r="M51" s="4" t="s">
        <v>138</v>
      </c>
      <c r="N51" s="4" t="s">
        <v>138</v>
      </c>
      <c r="S51" s="141">
        <v>0</v>
      </c>
      <c r="V51" s="22">
        <v>3860</v>
      </c>
      <c r="W51" s="3" t="s">
        <v>170</v>
      </c>
      <c r="Y51" s="116">
        <v>1</v>
      </c>
    </row>
    <row r="52" spans="1:25" x14ac:dyDescent="0.25">
      <c r="A52" s="115">
        <f t="shared" si="3"/>
        <v>4.7999999999999972</v>
      </c>
      <c r="B52" t="s">
        <v>15</v>
      </c>
      <c r="C52" s="4" t="s">
        <v>469</v>
      </c>
      <c r="D52" s="4" t="s">
        <v>469</v>
      </c>
      <c r="E52" s="264"/>
      <c r="G52" s="3" t="s">
        <v>144</v>
      </c>
      <c r="H52" s="3" t="s">
        <v>348</v>
      </c>
      <c r="I52" s="3" t="s">
        <v>144</v>
      </c>
      <c r="J52" s="3" t="s">
        <v>348</v>
      </c>
      <c r="K52" s="3" t="s">
        <v>190</v>
      </c>
      <c r="L52" s="4" t="s">
        <v>115</v>
      </c>
      <c r="M52" s="4" t="s">
        <v>138</v>
      </c>
      <c r="N52" s="4" t="s">
        <v>138</v>
      </c>
      <c r="S52" s="141">
        <v>0</v>
      </c>
      <c r="V52" s="22">
        <v>3860</v>
      </c>
      <c r="W52" s="3" t="s">
        <v>170</v>
      </c>
      <c r="Y52" s="116">
        <v>1</v>
      </c>
    </row>
    <row r="53" spans="1:25" x14ac:dyDescent="0.25">
      <c r="A53" s="114"/>
      <c r="E53" s="72"/>
      <c r="H53" s="3"/>
      <c r="J53" s="3"/>
      <c r="L53" s="4"/>
      <c r="M53" s="4"/>
      <c r="N53" s="4"/>
      <c r="V53" s="22"/>
      <c r="X53" s="91"/>
    </row>
    <row r="54" spans="1:25" ht="18" thickBot="1" x14ac:dyDescent="0.35">
      <c r="A54" s="2">
        <v>5</v>
      </c>
      <c r="B54" s="1" t="s">
        <v>413</v>
      </c>
      <c r="C54" s="1"/>
      <c r="D54" s="1"/>
      <c r="E54" s="121"/>
      <c r="F54" s="121"/>
      <c r="H54" s="3"/>
      <c r="J54" s="3"/>
      <c r="V54" s="22"/>
    </row>
    <row r="55" spans="1:25" ht="18" hidden="1" customHeight="1" thickTop="1" x14ac:dyDescent="0.35">
      <c r="A55" s="135"/>
      <c r="B55" s="8" t="s">
        <v>404</v>
      </c>
      <c r="C55" s="8"/>
      <c r="D55" s="8"/>
      <c r="E55" s="264" t="s">
        <v>434</v>
      </c>
      <c r="F55" s="121"/>
      <c r="G55" s="136"/>
      <c r="H55" s="136"/>
      <c r="I55" s="136"/>
      <c r="J55" s="136"/>
      <c r="K55" s="136"/>
      <c r="O55" s="136"/>
      <c r="P55" s="136"/>
      <c r="Q55" s="136"/>
      <c r="R55" s="136"/>
      <c r="S55" s="141">
        <v>0</v>
      </c>
      <c r="V55" s="22"/>
      <c r="W55" s="136"/>
      <c r="Y55" s="124"/>
    </row>
    <row r="56" spans="1:25" ht="18" hidden="1" customHeight="1" thickTop="1" x14ac:dyDescent="0.35">
      <c r="A56" s="135"/>
      <c r="B56" s="161" t="s">
        <v>404</v>
      </c>
      <c r="C56" s="8"/>
      <c r="D56" s="8"/>
      <c r="E56" s="264"/>
      <c r="F56" s="121"/>
      <c r="G56" s="248"/>
      <c r="H56" s="248"/>
      <c r="I56" s="248"/>
      <c r="J56" s="248"/>
      <c r="K56" s="248"/>
      <c r="O56" s="248"/>
      <c r="P56" s="248"/>
      <c r="Q56" s="248"/>
      <c r="R56" s="248"/>
      <c r="S56" s="228"/>
      <c r="V56" s="22"/>
      <c r="W56" s="248"/>
      <c r="Y56" s="228"/>
    </row>
    <row r="57" spans="1:25" ht="18" customHeight="1" thickTop="1" x14ac:dyDescent="0.3">
      <c r="A57" s="115">
        <f>+A$54+0.1</f>
        <v>5.0999999999999996</v>
      </c>
      <c r="B57" s="161" t="s">
        <v>518</v>
      </c>
      <c r="C57" s="4" t="s">
        <v>469</v>
      </c>
      <c r="D57" s="4" t="s">
        <v>469</v>
      </c>
      <c r="E57" s="264"/>
      <c r="F57" s="121"/>
      <c r="G57" s="194" t="s">
        <v>519</v>
      </c>
      <c r="H57" s="194" t="s">
        <v>348</v>
      </c>
      <c r="I57" s="169" t="s">
        <v>559</v>
      </c>
      <c r="J57" s="215" t="s">
        <v>348</v>
      </c>
      <c r="K57" s="4" t="s">
        <v>138</v>
      </c>
      <c r="L57" s="4" t="s">
        <v>138</v>
      </c>
      <c r="M57" s="4" t="s">
        <v>138</v>
      </c>
      <c r="N57" s="4" t="s">
        <v>138</v>
      </c>
      <c r="O57" s="194">
        <v>-75</v>
      </c>
      <c r="P57" s="194"/>
      <c r="Q57" s="194"/>
      <c r="R57" s="194"/>
      <c r="S57" s="195">
        <v>0</v>
      </c>
      <c r="V57" s="22">
        <v>2160</v>
      </c>
      <c r="W57" s="194" t="s">
        <v>169</v>
      </c>
      <c r="X57" s="91" t="s">
        <v>311</v>
      </c>
      <c r="Y57" s="195"/>
    </row>
    <row r="58" spans="1:25" x14ac:dyDescent="0.25">
      <c r="A58" s="115">
        <f>+A57+0.1</f>
        <v>5.1999999999999993</v>
      </c>
      <c r="B58" s="8" t="s">
        <v>597</v>
      </c>
      <c r="C58" s="4" t="s">
        <v>469</v>
      </c>
      <c r="D58" s="4" t="s">
        <v>469</v>
      </c>
      <c r="E58" s="264"/>
      <c r="G58" s="3" t="s">
        <v>599</v>
      </c>
      <c r="H58" s="3" t="s">
        <v>348</v>
      </c>
      <c r="I58" s="249" t="s">
        <v>616</v>
      </c>
      <c r="J58" s="3" t="s">
        <v>348</v>
      </c>
      <c r="K58" s="4" t="s">
        <v>138</v>
      </c>
      <c r="L58" s="4" t="s">
        <v>138</v>
      </c>
      <c r="M58" s="4" t="s">
        <v>138</v>
      </c>
      <c r="N58" s="4" t="s">
        <v>138</v>
      </c>
      <c r="O58" s="3">
        <v>-75</v>
      </c>
      <c r="S58" s="141">
        <v>0</v>
      </c>
      <c r="V58" s="22">
        <v>7725</v>
      </c>
      <c r="W58" s="3" t="s">
        <v>169</v>
      </c>
      <c r="X58" s="91" t="s">
        <v>311</v>
      </c>
    </row>
    <row r="59" spans="1:25" x14ac:dyDescent="0.25">
      <c r="A59" s="115">
        <f t="shared" ref="A59:A64" si="4">+A58+0.1</f>
        <v>5.2999999999999989</v>
      </c>
      <c r="B59" t="s">
        <v>488</v>
      </c>
      <c r="C59" s="4" t="s">
        <v>469</v>
      </c>
      <c r="D59" s="4" t="s">
        <v>469</v>
      </c>
      <c r="E59" s="264"/>
      <c r="G59" s="3" t="s">
        <v>600</v>
      </c>
      <c r="H59" s="3" t="s">
        <v>348</v>
      </c>
      <c r="I59" s="249" t="s">
        <v>617</v>
      </c>
      <c r="J59" s="3" t="s">
        <v>348</v>
      </c>
      <c r="K59" s="4" t="s">
        <v>138</v>
      </c>
      <c r="L59" s="4" t="s">
        <v>138</v>
      </c>
      <c r="M59" s="4" t="s">
        <v>138</v>
      </c>
      <c r="N59" s="4" t="s">
        <v>138</v>
      </c>
      <c r="O59" s="163">
        <v>-75</v>
      </c>
      <c r="S59" s="141">
        <v>0</v>
      </c>
      <c r="V59" s="22">
        <v>9990</v>
      </c>
      <c r="W59" s="3" t="s">
        <v>169</v>
      </c>
      <c r="X59" s="91" t="s">
        <v>311</v>
      </c>
    </row>
    <row r="60" spans="1:25" x14ac:dyDescent="0.25">
      <c r="A60" s="115">
        <f t="shared" si="4"/>
        <v>5.3999999999999986</v>
      </c>
      <c r="B60" t="s">
        <v>527</v>
      </c>
      <c r="C60" s="4" t="s">
        <v>469</v>
      </c>
      <c r="D60" s="4" t="s">
        <v>469</v>
      </c>
      <c r="E60" s="264"/>
      <c r="G60" s="172" t="s">
        <v>601</v>
      </c>
      <c r="H60" s="172" t="s">
        <v>348</v>
      </c>
      <c r="I60" s="172" t="s">
        <v>618</v>
      </c>
      <c r="J60" s="172" t="s">
        <v>348</v>
      </c>
      <c r="K60" s="4" t="s">
        <v>138</v>
      </c>
      <c r="L60" s="4" t="s">
        <v>138</v>
      </c>
      <c r="M60" s="4" t="s">
        <v>138</v>
      </c>
      <c r="N60" s="4" t="s">
        <v>138</v>
      </c>
      <c r="O60" s="3">
        <v>-75</v>
      </c>
      <c r="R60" s="3">
        <v>1</v>
      </c>
      <c r="S60" s="141">
        <v>0</v>
      </c>
      <c r="V60" s="22">
        <v>12050</v>
      </c>
      <c r="W60" s="222" t="s">
        <v>169</v>
      </c>
      <c r="X60" s="91" t="s">
        <v>311</v>
      </c>
    </row>
    <row r="61" spans="1:25" x14ac:dyDescent="0.25">
      <c r="A61" s="230">
        <f t="shared" si="4"/>
        <v>5.4999999999999982</v>
      </c>
      <c r="B61" s="8" t="s">
        <v>598</v>
      </c>
      <c r="C61" s="4" t="s">
        <v>469</v>
      </c>
      <c r="D61" s="4" t="s">
        <v>469</v>
      </c>
      <c r="E61" s="264"/>
      <c r="G61" s="242" t="s">
        <v>602</v>
      </c>
      <c r="H61" s="172" t="s">
        <v>348</v>
      </c>
      <c r="I61" s="249" t="s">
        <v>619</v>
      </c>
      <c r="J61" s="172" t="s">
        <v>348</v>
      </c>
      <c r="K61" s="4" t="s">
        <v>138</v>
      </c>
      <c r="L61" s="4" t="s">
        <v>138</v>
      </c>
      <c r="M61" s="4" t="s">
        <v>138</v>
      </c>
      <c r="N61" s="4" t="s">
        <v>138</v>
      </c>
      <c r="O61" s="242">
        <v>-75</v>
      </c>
      <c r="P61" s="242"/>
      <c r="Q61" s="242"/>
      <c r="R61" s="242"/>
      <c r="S61" s="228">
        <v>0</v>
      </c>
      <c r="V61" s="22">
        <v>7725</v>
      </c>
      <c r="W61" s="242" t="s">
        <v>169</v>
      </c>
      <c r="X61" s="91" t="s">
        <v>311</v>
      </c>
      <c r="Y61" s="228"/>
    </row>
    <row r="62" spans="1:25" x14ac:dyDescent="0.25">
      <c r="A62" s="230">
        <f t="shared" si="4"/>
        <v>5.5999999999999979</v>
      </c>
      <c r="B62" t="s">
        <v>596</v>
      </c>
      <c r="C62" s="4" t="s">
        <v>469</v>
      </c>
      <c r="D62" s="4" t="s">
        <v>469</v>
      </c>
      <c r="E62" s="264"/>
      <c r="G62" s="242" t="s">
        <v>603</v>
      </c>
      <c r="H62" s="172" t="s">
        <v>348</v>
      </c>
      <c r="I62" s="249" t="s">
        <v>620</v>
      </c>
      <c r="J62" s="172" t="s">
        <v>348</v>
      </c>
      <c r="K62" s="4" t="s">
        <v>138</v>
      </c>
      <c r="L62" s="4" t="s">
        <v>138</v>
      </c>
      <c r="M62" s="4" t="s">
        <v>138</v>
      </c>
      <c r="N62" s="4" t="s">
        <v>138</v>
      </c>
      <c r="O62" s="242">
        <v>-75</v>
      </c>
      <c r="P62" s="242"/>
      <c r="Q62" s="242"/>
      <c r="R62" s="242"/>
      <c r="S62" s="228">
        <v>0</v>
      </c>
      <c r="V62" s="22">
        <v>9990</v>
      </c>
      <c r="W62" s="242" t="s">
        <v>169</v>
      </c>
      <c r="X62" s="91" t="s">
        <v>311</v>
      </c>
      <c r="Y62" s="228"/>
    </row>
    <row r="63" spans="1:25" x14ac:dyDescent="0.25">
      <c r="A63" s="230">
        <f t="shared" si="4"/>
        <v>5.6999999999999975</v>
      </c>
      <c r="B63" t="s">
        <v>595</v>
      </c>
      <c r="C63" s="4" t="s">
        <v>469</v>
      </c>
      <c r="D63" s="4" t="s">
        <v>469</v>
      </c>
      <c r="E63" s="264"/>
      <c r="G63" s="172" t="s">
        <v>604</v>
      </c>
      <c r="H63" s="172" t="s">
        <v>348</v>
      </c>
      <c r="I63" s="172" t="s">
        <v>621</v>
      </c>
      <c r="J63" s="172" t="s">
        <v>348</v>
      </c>
      <c r="K63" s="4" t="s">
        <v>138</v>
      </c>
      <c r="L63" s="4" t="s">
        <v>138</v>
      </c>
      <c r="M63" s="4" t="s">
        <v>138</v>
      </c>
      <c r="N63" s="4" t="s">
        <v>138</v>
      </c>
      <c r="O63" s="242">
        <v>-75</v>
      </c>
      <c r="P63" s="242"/>
      <c r="Q63" s="242"/>
      <c r="R63" s="242">
        <v>1</v>
      </c>
      <c r="S63" s="228">
        <v>0</v>
      </c>
      <c r="V63" s="22">
        <v>12050</v>
      </c>
      <c r="W63" s="242" t="s">
        <v>169</v>
      </c>
      <c r="X63" s="91" t="s">
        <v>311</v>
      </c>
      <c r="Y63" s="228"/>
    </row>
    <row r="64" spans="1:25" x14ac:dyDescent="0.25">
      <c r="A64" s="230">
        <f t="shared" si="4"/>
        <v>5.7999999999999972</v>
      </c>
      <c r="B64" t="s">
        <v>561</v>
      </c>
      <c r="C64" s="4" t="s">
        <v>469</v>
      </c>
      <c r="D64" s="4" t="s">
        <v>469</v>
      </c>
      <c r="E64" s="219"/>
      <c r="G64" s="172" t="s">
        <v>577</v>
      </c>
      <c r="H64" s="172" t="s">
        <v>348</v>
      </c>
      <c r="I64" s="172" t="s">
        <v>577</v>
      </c>
      <c r="J64" s="172" t="s">
        <v>348</v>
      </c>
      <c r="K64" s="4" t="s">
        <v>138</v>
      </c>
      <c r="L64" s="4" t="s">
        <v>138</v>
      </c>
      <c r="M64" s="4" t="s">
        <v>138</v>
      </c>
      <c r="N64" s="4" t="s">
        <v>138</v>
      </c>
      <c r="O64" s="220"/>
      <c r="P64" s="220"/>
      <c r="Q64" s="220"/>
      <c r="R64" s="220"/>
      <c r="S64" s="221">
        <v>0</v>
      </c>
      <c r="V64" s="22">
        <v>4330</v>
      </c>
      <c r="W64" s="220" t="s">
        <v>169</v>
      </c>
      <c r="X64" s="91" t="s">
        <v>311</v>
      </c>
      <c r="Y64" s="221"/>
    </row>
    <row r="65" spans="1:25" ht="14.45" hidden="1" x14ac:dyDescent="0.3">
      <c r="A65" s="230"/>
      <c r="B65" t="s">
        <v>404</v>
      </c>
      <c r="C65" s="4"/>
      <c r="D65" s="4"/>
      <c r="E65" s="264" t="s">
        <v>607</v>
      </c>
      <c r="G65" s="172"/>
      <c r="H65" s="172"/>
      <c r="I65" s="172"/>
      <c r="J65" s="172"/>
      <c r="K65" s="4"/>
      <c r="L65" s="4"/>
      <c r="M65" s="4"/>
      <c r="N65" s="4"/>
      <c r="O65" s="242"/>
      <c r="P65" s="242"/>
      <c r="Q65" s="242"/>
      <c r="R65" s="242"/>
      <c r="S65" s="228"/>
      <c r="V65" s="22"/>
      <c r="W65" s="242"/>
      <c r="X65" s="91"/>
      <c r="Y65" s="228"/>
    </row>
    <row r="66" spans="1:25" x14ac:dyDescent="0.25">
      <c r="A66" s="230">
        <f>+A64+0.1</f>
        <v>5.8999999999999968</v>
      </c>
      <c r="B66" t="s">
        <v>593</v>
      </c>
      <c r="C66" s="4" t="s">
        <v>469</v>
      </c>
      <c r="D66" s="4" t="s">
        <v>469</v>
      </c>
      <c r="E66" s="264"/>
      <c r="G66" s="172" t="s">
        <v>605</v>
      </c>
      <c r="H66" s="172" t="s">
        <v>348</v>
      </c>
      <c r="I66" s="172" t="s">
        <v>606</v>
      </c>
      <c r="J66" s="172" t="s">
        <v>348</v>
      </c>
      <c r="K66" s="4" t="s">
        <v>138</v>
      </c>
      <c r="L66" s="4" t="s">
        <v>138</v>
      </c>
      <c r="M66" s="4" t="s">
        <v>138</v>
      </c>
      <c r="N66" s="4" t="s">
        <v>138</v>
      </c>
      <c r="O66" s="241">
        <v>-50</v>
      </c>
      <c r="P66" s="241"/>
      <c r="Q66" s="241"/>
      <c r="R66" s="241"/>
      <c r="S66" s="228"/>
      <c r="T66" t="s">
        <v>594</v>
      </c>
      <c r="U66" t="s">
        <v>594</v>
      </c>
      <c r="V66" s="22">
        <v>2160</v>
      </c>
      <c r="W66" s="241" t="s">
        <v>169</v>
      </c>
      <c r="X66" s="91" t="s">
        <v>311</v>
      </c>
      <c r="Y66" s="228"/>
    </row>
    <row r="67" spans="1:25" x14ac:dyDescent="0.25">
      <c r="A67" s="119">
        <v>5.0999999999999996</v>
      </c>
      <c r="B67" t="s">
        <v>351</v>
      </c>
      <c r="C67" s="4" t="s">
        <v>469</v>
      </c>
      <c r="D67" s="4" t="s">
        <v>469</v>
      </c>
      <c r="E67" s="264"/>
      <c r="G67" s="3" t="s">
        <v>350</v>
      </c>
      <c r="H67" s="3" t="s">
        <v>348</v>
      </c>
      <c r="I67" s="3" t="s">
        <v>350</v>
      </c>
      <c r="J67" s="3" t="s">
        <v>348</v>
      </c>
      <c r="K67" s="4" t="s">
        <v>138</v>
      </c>
      <c r="L67" s="4" t="s">
        <v>138</v>
      </c>
      <c r="M67" s="4" t="s">
        <v>138</v>
      </c>
      <c r="N67" s="4" t="s">
        <v>138</v>
      </c>
      <c r="Q67" s="3">
        <v>-50</v>
      </c>
      <c r="S67" s="141">
        <v>0</v>
      </c>
      <c r="V67" s="22">
        <v>1080</v>
      </c>
      <c r="W67" s="3" t="s">
        <v>169</v>
      </c>
      <c r="X67" s="91" t="s">
        <v>311</v>
      </c>
    </row>
    <row r="68" spans="1:25" x14ac:dyDescent="0.25">
      <c r="A68" s="115"/>
      <c r="G68" s="123"/>
      <c r="H68" s="123"/>
      <c r="I68" s="123"/>
      <c r="J68" s="123"/>
      <c r="K68" s="4"/>
      <c r="L68" s="4"/>
      <c r="M68" s="4"/>
      <c r="N68" s="4"/>
      <c r="O68" s="123"/>
      <c r="P68" s="123"/>
      <c r="Q68" s="123"/>
      <c r="R68" s="123"/>
      <c r="V68" s="22"/>
      <c r="W68" s="123"/>
      <c r="X68" s="91"/>
      <c r="Y68" s="124"/>
    </row>
    <row r="69" spans="1:25" ht="18" thickBot="1" x14ac:dyDescent="0.35">
      <c r="A69" s="2">
        <v>6</v>
      </c>
      <c r="B69" s="1" t="s">
        <v>412</v>
      </c>
      <c r="C69" s="1"/>
      <c r="D69" s="1"/>
      <c r="H69" s="3"/>
      <c r="J69" s="3"/>
      <c r="L69" s="4"/>
      <c r="M69" s="4"/>
      <c r="N69" s="4"/>
      <c r="V69" s="22"/>
      <c r="X69" s="91"/>
      <c r="Y69" s="116" t="s">
        <v>314</v>
      </c>
    </row>
    <row r="70" spans="1:25" ht="18" hidden="1" thickTop="1" x14ac:dyDescent="0.35">
      <c r="A70" s="135"/>
      <c r="B70" s="8" t="s">
        <v>404</v>
      </c>
      <c r="C70" s="8"/>
      <c r="D70" s="8"/>
      <c r="E70" s="264" t="s">
        <v>445</v>
      </c>
      <c r="G70" s="134"/>
      <c r="H70" s="134"/>
      <c r="I70" s="134"/>
      <c r="J70" s="134"/>
      <c r="K70" s="134"/>
      <c r="L70" s="4"/>
      <c r="M70" s="4"/>
      <c r="N70" s="4"/>
      <c r="O70" s="134"/>
      <c r="P70" s="134"/>
      <c r="Q70" s="134"/>
      <c r="R70" s="134"/>
      <c r="S70" s="141">
        <v>0</v>
      </c>
      <c r="V70" s="22"/>
      <c r="W70" s="134"/>
      <c r="X70" s="91"/>
      <c r="Y70" s="124" t="s">
        <v>457</v>
      </c>
    </row>
    <row r="71" spans="1:25" ht="15.75" thickTop="1" x14ac:dyDescent="0.25">
      <c r="A71" s="115">
        <f>+A$69+0.1</f>
        <v>6.1</v>
      </c>
      <c r="B71" s="8" t="s">
        <v>470</v>
      </c>
      <c r="C71" s="4" t="s">
        <v>469</v>
      </c>
      <c r="D71" s="4" t="s">
        <v>469</v>
      </c>
      <c r="E71" s="264"/>
      <c r="G71" s="190" t="s">
        <v>513</v>
      </c>
      <c r="H71" s="3" t="s">
        <v>348</v>
      </c>
      <c r="I71" s="190" t="s">
        <v>513</v>
      </c>
      <c r="J71" s="3" t="s">
        <v>348</v>
      </c>
      <c r="K71" s="4" t="s">
        <v>138</v>
      </c>
      <c r="L71" s="4" t="s">
        <v>138</v>
      </c>
      <c r="M71" s="4" t="s">
        <v>138</v>
      </c>
      <c r="N71" s="4" t="s">
        <v>138</v>
      </c>
      <c r="O71" s="3">
        <v>0</v>
      </c>
      <c r="P71" s="3">
        <v>-85</v>
      </c>
      <c r="S71" s="141">
        <v>0</v>
      </c>
      <c r="V71" s="22">
        <v>7110</v>
      </c>
      <c r="W71" s="3" t="s">
        <v>169</v>
      </c>
      <c r="X71" s="91" t="s">
        <v>311</v>
      </c>
      <c r="Y71" s="116" t="s">
        <v>455</v>
      </c>
    </row>
    <row r="72" spans="1:25" x14ac:dyDescent="0.25">
      <c r="A72" s="115">
        <f>A71+0.1</f>
        <v>6.1999999999999993</v>
      </c>
      <c r="B72" t="s">
        <v>310</v>
      </c>
      <c r="C72" s="4" t="s">
        <v>469</v>
      </c>
      <c r="D72" s="4" t="s">
        <v>469</v>
      </c>
      <c r="E72" s="264"/>
      <c r="G72" s="3" t="s">
        <v>622</v>
      </c>
      <c r="H72" s="3" t="s">
        <v>348</v>
      </c>
      <c r="I72" s="3" t="s">
        <v>622</v>
      </c>
      <c r="J72" s="3" t="s">
        <v>348</v>
      </c>
      <c r="K72" s="4" t="s">
        <v>138</v>
      </c>
      <c r="L72" s="4" t="s">
        <v>138</v>
      </c>
      <c r="M72" s="4" t="s">
        <v>138</v>
      </c>
      <c r="N72" s="4" t="s">
        <v>138</v>
      </c>
      <c r="O72" s="3">
        <v>0</v>
      </c>
      <c r="P72" s="3">
        <v>-85</v>
      </c>
      <c r="S72" s="141">
        <v>0</v>
      </c>
      <c r="V72" s="22">
        <v>2780</v>
      </c>
      <c r="W72" s="3" t="s">
        <v>169</v>
      </c>
      <c r="Y72" s="116" t="s">
        <v>456</v>
      </c>
    </row>
    <row r="73" spans="1:25" x14ac:dyDescent="0.25">
      <c r="A73" s="114"/>
      <c r="H73" s="3"/>
      <c r="J73" s="3"/>
      <c r="K73" s="4"/>
      <c r="L73" s="4"/>
      <c r="M73" s="4"/>
      <c r="N73" s="4"/>
      <c r="V73" s="22"/>
      <c r="X73" s="91"/>
    </row>
    <row r="74" spans="1:25" ht="18" thickBot="1" x14ac:dyDescent="0.35">
      <c r="A74" s="2">
        <v>7</v>
      </c>
      <c r="B74" s="1" t="s">
        <v>171</v>
      </c>
      <c r="C74" s="1"/>
      <c r="D74" s="1"/>
      <c r="E74" s="121"/>
      <c r="F74" s="121"/>
      <c r="H74" s="3"/>
      <c r="J74" s="3"/>
      <c r="K74" s="4"/>
      <c r="L74" s="4"/>
      <c r="M74" s="4"/>
      <c r="N74" s="4"/>
      <c r="V74" s="22"/>
      <c r="X74" s="91"/>
    </row>
    <row r="75" spans="1:25" ht="15.75" thickTop="1" x14ac:dyDescent="0.25">
      <c r="A75" s="115">
        <f>+A$74+0.1</f>
        <v>7.1</v>
      </c>
      <c r="B75" t="s">
        <v>578</v>
      </c>
      <c r="C75" s="4" t="s">
        <v>469</v>
      </c>
      <c r="D75" s="4" t="s">
        <v>469</v>
      </c>
      <c r="G75" s="172" t="s">
        <v>546</v>
      </c>
      <c r="H75" s="172" t="s">
        <v>348</v>
      </c>
      <c r="I75" s="172" t="s">
        <v>546</v>
      </c>
      <c r="J75" s="172" t="s">
        <v>348</v>
      </c>
      <c r="K75" s="4" t="s">
        <v>138</v>
      </c>
      <c r="L75" s="4" t="s">
        <v>138</v>
      </c>
      <c r="M75" s="4" t="s">
        <v>138</v>
      </c>
      <c r="N75" s="4" t="s">
        <v>138</v>
      </c>
      <c r="Q75" s="3">
        <v>-200</v>
      </c>
      <c r="S75" s="141">
        <v>0</v>
      </c>
      <c r="V75" s="22">
        <v>8240</v>
      </c>
      <c r="W75" s="3" t="s">
        <v>169</v>
      </c>
    </row>
    <row r="76" spans="1:25" x14ac:dyDescent="0.25">
      <c r="A76" s="230">
        <f>+A75+0.1</f>
        <v>7.1999999999999993</v>
      </c>
      <c r="B76" t="s">
        <v>579</v>
      </c>
      <c r="C76" s="4" t="s">
        <v>469</v>
      </c>
      <c r="D76" s="4" t="s">
        <v>469</v>
      </c>
      <c r="G76" s="172" t="s">
        <v>643</v>
      </c>
      <c r="H76" s="172" t="s">
        <v>348</v>
      </c>
      <c r="I76" s="172" t="s">
        <v>643</v>
      </c>
      <c r="J76" s="172" t="s">
        <v>348</v>
      </c>
      <c r="K76" s="4" t="s">
        <v>138</v>
      </c>
      <c r="L76" s="4" t="s">
        <v>138</v>
      </c>
      <c r="M76" s="4" t="s">
        <v>138</v>
      </c>
      <c r="N76" s="4" t="s">
        <v>138</v>
      </c>
      <c r="O76" s="229"/>
      <c r="P76" s="229"/>
      <c r="Q76" s="229">
        <v>-200</v>
      </c>
      <c r="R76" s="229"/>
      <c r="S76" s="228">
        <v>0</v>
      </c>
      <c r="V76" s="22">
        <v>5510</v>
      </c>
      <c r="W76" s="229" t="s">
        <v>169</v>
      </c>
      <c r="Y76" s="228"/>
    </row>
    <row r="77" spans="1:25" x14ac:dyDescent="0.25">
      <c r="A77" s="230">
        <f t="shared" ref="A77:A78" si="5">+A76+0.1</f>
        <v>7.2999999999999989</v>
      </c>
      <c r="B77" t="s">
        <v>3</v>
      </c>
      <c r="C77" s="4" t="s">
        <v>469</v>
      </c>
      <c r="D77" s="4" t="s">
        <v>469</v>
      </c>
      <c r="G77" s="240" t="s">
        <v>585</v>
      </c>
      <c r="H77" s="240" t="s">
        <v>581</v>
      </c>
      <c r="I77" s="240" t="s">
        <v>585</v>
      </c>
      <c r="J77" s="240" t="s">
        <v>581</v>
      </c>
      <c r="K77" s="4" t="s">
        <v>138</v>
      </c>
      <c r="L77" s="4" t="s">
        <v>138</v>
      </c>
      <c r="M77" s="4" t="s">
        <v>138</v>
      </c>
      <c r="N77" s="4" t="s">
        <v>138</v>
      </c>
      <c r="Q77" s="3">
        <v>-90</v>
      </c>
      <c r="S77" s="141">
        <v>0</v>
      </c>
      <c r="V77" s="22">
        <v>5250</v>
      </c>
      <c r="W77" s="3" t="s">
        <v>586</v>
      </c>
      <c r="X77" s="91" t="s">
        <v>311</v>
      </c>
    </row>
    <row r="78" spans="1:25" x14ac:dyDescent="0.25">
      <c r="A78" s="230">
        <f t="shared" si="5"/>
        <v>7.3999999999999986</v>
      </c>
      <c r="B78" t="s">
        <v>139</v>
      </c>
      <c r="C78" s="4" t="s">
        <v>469</v>
      </c>
      <c r="D78" s="4" t="s">
        <v>469</v>
      </c>
      <c r="G78" s="3" t="s">
        <v>373</v>
      </c>
      <c r="H78" s="3" t="s">
        <v>348</v>
      </c>
      <c r="I78" s="3" t="s">
        <v>373</v>
      </c>
      <c r="J78" s="3" t="s">
        <v>348</v>
      </c>
      <c r="K78" s="4" t="s">
        <v>138</v>
      </c>
      <c r="L78" s="4" t="s">
        <v>138</v>
      </c>
      <c r="M78" s="4" t="s">
        <v>138</v>
      </c>
      <c r="N78" s="4" t="s">
        <v>138</v>
      </c>
      <c r="Q78" s="3">
        <v>0</v>
      </c>
      <c r="S78" s="141">
        <v>0</v>
      </c>
      <c r="V78" s="22">
        <v>570</v>
      </c>
      <c r="W78" s="3" t="s">
        <v>169</v>
      </c>
      <c r="X78" s="91" t="s">
        <v>311</v>
      </c>
    </row>
    <row r="79" spans="1:25" x14ac:dyDescent="0.25">
      <c r="A79" s="116"/>
      <c r="H79" s="3"/>
      <c r="J79" s="3"/>
      <c r="L79" s="3"/>
      <c r="M79" s="4"/>
      <c r="N79" s="4"/>
      <c r="V79" s="24"/>
      <c r="X79" s="91"/>
    </row>
    <row r="80" spans="1:25" ht="18" thickBot="1" x14ac:dyDescent="0.35">
      <c r="A80" s="2">
        <v>8</v>
      </c>
      <c r="B80" s="1" t="s">
        <v>414</v>
      </c>
      <c r="C80" s="1"/>
      <c r="D80" s="1"/>
      <c r="E80" s="121"/>
      <c r="F80" s="121"/>
      <c r="H80" s="3"/>
      <c r="J80" s="3"/>
      <c r="L80" s="3"/>
      <c r="M80" s="4"/>
      <c r="N80" s="4"/>
      <c r="V80" s="24"/>
      <c r="X80" s="91"/>
    </row>
    <row r="81" spans="1:25" ht="15.75" thickTop="1" x14ac:dyDescent="0.25">
      <c r="A81" s="115">
        <f>+A$80+0.1</f>
        <v>8.1</v>
      </c>
      <c r="B81" t="s">
        <v>5</v>
      </c>
      <c r="C81" s="4" t="s">
        <v>469</v>
      </c>
      <c r="D81" s="4" t="s">
        <v>469</v>
      </c>
      <c r="G81" s="3" t="s">
        <v>147</v>
      </c>
      <c r="H81" s="3" t="s">
        <v>349</v>
      </c>
      <c r="I81" s="3" t="s">
        <v>147</v>
      </c>
      <c r="J81" s="3" t="s">
        <v>349</v>
      </c>
      <c r="K81" s="4" t="s">
        <v>138</v>
      </c>
      <c r="L81" s="4" t="s">
        <v>161</v>
      </c>
      <c r="M81" s="4" t="s">
        <v>138</v>
      </c>
      <c r="N81" s="4" t="s">
        <v>138</v>
      </c>
      <c r="S81" s="141">
        <v>0</v>
      </c>
      <c r="V81" s="22">
        <v>8760</v>
      </c>
      <c r="W81" s="3" t="s">
        <v>170</v>
      </c>
      <c r="X81" s="91" t="s">
        <v>311</v>
      </c>
    </row>
    <row r="82" spans="1:25" x14ac:dyDescent="0.25">
      <c r="A82" s="115">
        <f>+A81+0.1</f>
        <v>8.1999999999999993</v>
      </c>
      <c r="B82" t="s">
        <v>173</v>
      </c>
      <c r="C82" s="4" t="s">
        <v>469</v>
      </c>
      <c r="D82" s="4" t="s">
        <v>469</v>
      </c>
      <c r="G82" s="3" t="s">
        <v>174</v>
      </c>
      <c r="H82" s="3" t="s">
        <v>348</v>
      </c>
      <c r="I82" s="3" t="s">
        <v>174</v>
      </c>
      <c r="J82" s="3" t="s">
        <v>348</v>
      </c>
      <c r="K82" s="4" t="s">
        <v>138</v>
      </c>
      <c r="L82" s="4" t="s">
        <v>327</v>
      </c>
      <c r="M82" s="4" t="s">
        <v>138</v>
      </c>
      <c r="N82" s="4" t="s">
        <v>138</v>
      </c>
      <c r="S82" s="141">
        <v>0</v>
      </c>
      <c r="V82" s="24">
        <v>450</v>
      </c>
      <c r="W82" s="3" t="s">
        <v>170</v>
      </c>
      <c r="X82" s="91" t="s">
        <v>311</v>
      </c>
    </row>
    <row r="83" spans="1:25" x14ac:dyDescent="0.25">
      <c r="A83" s="115">
        <f>+A82+0.1</f>
        <v>8.2999999999999989</v>
      </c>
      <c r="B83" s="5" t="s">
        <v>347</v>
      </c>
      <c r="C83" s="4" t="s">
        <v>469</v>
      </c>
      <c r="D83" s="4" t="s">
        <v>469</v>
      </c>
      <c r="E83" s="122"/>
      <c r="F83" s="122"/>
      <c r="G83" s="3" t="s">
        <v>175</v>
      </c>
      <c r="H83" s="3" t="s">
        <v>348</v>
      </c>
      <c r="I83" s="3" t="s">
        <v>175</v>
      </c>
      <c r="J83" s="3" t="s">
        <v>348</v>
      </c>
      <c r="K83" s="3" t="s">
        <v>201</v>
      </c>
      <c r="L83" s="4" t="s">
        <v>328</v>
      </c>
      <c r="M83" s="4" t="s">
        <v>138</v>
      </c>
      <c r="N83" s="4" t="s">
        <v>138</v>
      </c>
      <c r="S83" s="141">
        <v>0</v>
      </c>
      <c r="V83" s="24">
        <v>1650</v>
      </c>
      <c r="W83" s="3" t="s">
        <v>170</v>
      </c>
    </row>
    <row r="84" spans="1:25" x14ac:dyDescent="0.25">
      <c r="A84" s="21"/>
      <c r="H84" s="3"/>
      <c r="J84" s="3"/>
    </row>
    <row r="85" spans="1:25" ht="18" thickBot="1" x14ac:dyDescent="0.35">
      <c r="A85" s="2">
        <v>9</v>
      </c>
      <c r="B85" s="1" t="s">
        <v>6</v>
      </c>
      <c r="C85" s="1"/>
      <c r="D85" s="1"/>
      <c r="E85" s="121"/>
      <c r="F85" s="121"/>
      <c r="H85" s="3"/>
      <c r="J85" s="3"/>
    </row>
    <row r="86" spans="1:25" ht="15.75" thickTop="1" x14ac:dyDescent="0.25">
      <c r="A86" s="115">
        <f>+A$85+0.1</f>
        <v>9.1</v>
      </c>
      <c r="B86" t="s">
        <v>7</v>
      </c>
      <c r="C86" s="4" t="s">
        <v>468</v>
      </c>
      <c r="D86" s="4" t="s">
        <v>468</v>
      </c>
      <c r="G86" s="4" t="s">
        <v>138</v>
      </c>
      <c r="H86" s="3"/>
      <c r="I86" s="4" t="s">
        <v>138</v>
      </c>
      <c r="J86" s="3"/>
      <c r="K86" s="4" t="s">
        <v>138</v>
      </c>
      <c r="L86" s="4" t="s">
        <v>138</v>
      </c>
      <c r="M86" s="4" t="s">
        <v>138</v>
      </c>
      <c r="N86" s="4" t="s">
        <v>138</v>
      </c>
      <c r="S86" s="141">
        <v>0</v>
      </c>
      <c r="V86" s="4" t="s">
        <v>138</v>
      </c>
      <c r="W86" s="4" t="s">
        <v>138</v>
      </c>
    </row>
    <row r="87" spans="1:25" x14ac:dyDescent="0.25">
      <c r="A87" s="115">
        <f>+A86+0.1</f>
        <v>9.1999999999999993</v>
      </c>
      <c r="B87" t="s">
        <v>8</v>
      </c>
      <c r="C87" s="4" t="s">
        <v>468</v>
      </c>
      <c r="D87" s="4" t="s">
        <v>468</v>
      </c>
      <c r="G87" s="4" t="s">
        <v>138</v>
      </c>
      <c r="H87" s="3"/>
      <c r="I87" s="4" t="s">
        <v>138</v>
      </c>
      <c r="J87" s="3"/>
      <c r="K87" s="4" t="s">
        <v>138</v>
      </c>
      <c r="L87" s="4" t="s">
        <v>138</v>
      </c>
      <c r="M87" s="4" t="s">
        <v>138</v>
      </c>
      <c r="N87" s="4" t="s">
        <v>138</v>
      </c>
      <c r="S87" s="141">
        <v>0</v>
      </c>
      <c r="V87" s="4" t="s">
        <v>138</v>
      </c>
      <c r="W87" s="4" t="s">
        <v>138</v>
      </c>
    </row>
    <row r="89" spans="1:25" ht="18" thickBot="1" x14ac:dyDescent="0.35">
      <c r="A89" s="2">
        <v>10</v>
      </c>
      <c r="B89" s="1" t="s">
        <v>410</v>
      </c>
      <c r="C89" s="1"/>
      <c r="D89" s="1"/>
      <c r="E89" s="121"/>
      <c r="F89" s="121"/>
    </row>
    <row r="90" spans="1:25" ht="15.75" thickTop="1" x14ac:dyDescent="0.25">
      <c r="A90" s="115">
        <f>+A$89+0.1</f>
        <v>10.1</v>
      </c>
      <c r="B90" t="s">
        <v>178</v>
      </c>
      <c r="C90" s="4" t="s">
        <v>469</v>
      </c>
      <c r="D90" s="4" t="s">
        <v>469</v>
      </c>
      <c r="G90" s="3" t="s">
        <v>179</v>
      </c>
      <c r="H90" s="3" t="s">
        <v>349</v>
      </c>
      <c r="I90" s="3" t="s">
        <v>477</v>
      </c>
      <c r="J90" s="3" t="s">
        <v>348</v>
      </c>
      <c r="K90" s="4" t="s">
        <v>138</v>
      </c>
      <c r="L90" s="4" t="s">
        <v>138</v>
      </c>
      <c r="M90" s="4" t="s">
        <v>138</v>
      </c>
      <c r="N90" s="4" t="s">
        <v>138</v>
      </c>
      <c r="S90" s="141">
        <v>0</v>
      </c>
      <c r="V90" s="22">
        <v>3190</v>
      </c>
      <c r="W90" s="3" t="s">
        <v>170</v>
      </c>
      <c r="X90" s="91" t="s">
        <v>311</v>
      </c>
    </row>
    <row r="91" spans="1:25" x14ac:dyDescent="0.25">
      <c r="A91" s="115">
        <f>+A90+0.1</f>
        <v>10.199999999999999</v>
      </c>
      <c r="B91" t="s">
        <v>520</v>
      </c>
      <c r="C91" s="4" t="s">
        <v>469</v>
      </c>
      <c r="D91" s="4" t="s">
        <v>469</v>
      </c>
      <c r="G91" s="197" t="s">
        <v>522</v>
      </c>
      <c r="H91" s="197" t="s">
        <v>348</v>
      </c>
      <c r="I91" s="197" t="s">
        <v>522</v>
      </c>
      <c r="J91" s="197" t="s">
        <v>348</v>
      </c>
      <c r="K91" s="4" t="s">
        <v>138</v>
      </c>
      <c r="L91" s="4" t="s">
        <v>138</v>
      </c>
      <c r="M91" s="4" t="s">
        <v>138</v>
      </c>
      <c r="N91" s="4" t="s">
        <v>138</v>
      </c>
      <c r="S91" s="141">
        <v>0</v>
      </c>
      <c r="V91" s="22">
        <v>4940</v>
      </c>
      <c r="W91" s="197" t="s">
        <v>170</v>
      </c>
    </row>
    <row r="92" spans="1:25" ht="14.45" hidden="1" x14ac:dyDescent="0.3">
      <c r="A92" s="115"/>
      <c r="B92" t="s">
        <v>404</v>
      </c>
      <c r="C92" s="4"/>
      <c r="D92" s="4"/>
      <c r="E92" s="264" t="s">
        <v>528</v>
      </c>
      <c r="G92" s="202"/>
      <c r="H92" s="202"/>
      <c r="I92" s="202"/>
      <c r="J92" s="202"/>
      <c r="K92" s="4"/>
      <c r="L92" s="4"/>
      <c r="M92" s="4"/>
      <c r="N92" s="4"/>
      <c r="O92" s="202"/>
      <c r="P92" s="202"/>
      <c r="Q92" s="202"/>
      <c r="R92" s="202"/>
      <c r="S92" s="203"/>
      <c r="V92" s="22"/>
      <c r="W92" s="202"/>
      <c r="Y92" s="203"/>
    </row>
    <row r="93" spans="1:25" x14ac:dyDescent="0.25">
      <c r="A93" s="115">
        <f>+A91+0.1</f>
        <v>10.299999999999999</v>
      </c>
      <c r="B93" t="s">
        <v>2</v>
      </c>
      <c r="C93" s="4" t="s">
        <v>469</v>
      </c>
      <c r="D93" s="4" t="s">
        <v>469</v>
      </c>
      <c r="E93" s="264"/>
      <c r="G93" s="172" t="s">
        <v>547</v>
      </c>
      <c r="H93" s="172" t="s">
        <v>348</v>
      </c>
      <c r="I93" s="172" t="s">
        <v>547</v>
      </c>
      <c r="J93" s="172" t="s">
        <v>348</v>
      </c>
      <c r="K93" s="4" t="s">
        <v>138</v>
      </c>
      <c r="L93" s="4" t="s">
        <v>138</v>
      </c>
      <c r="M93" s="4" t="s">
        <v>138</v>
      </c>
      <c r="N93" s="4" t="s">
        <v>138</v>
      </c>
      <c r="O93" s="200"/>
      <c r="P93" s="200"/>
      <c r="Q93" s="200"/>
      <c r="R93" s="200"/>
      <c r="S93" s="201">
        <v>0</v>
      </c>
      <c r="V93" s="22">
        <v>1750</v>
      </c>
      <c r="W93" s="200" t="s">
        <v>170</v>
      </c>
      <c r="Y93" s="201"/>
    </row>
    <row r="94" spans="1:25" x14ac:dyDescent="0.25">
      <c r="A94" s="115">
        <f t="shared" ref="A94:A99" si="6">+A93+0.1</f>
        <v>10.399999999999999</v>
      </c>
      <c r="B94" t="s">
        <v>1</v>
      </c>
      <c r="C94" s="4" t="s">
        <v>469</v>
      </c>
      <c r="D94" s="4" t="s">
        <v>469</v>
      </c>
      <c r="E94" s="264"/>
      <c r="G94" s="172" t="s">
        <v>535</v>
      </c>
      <c r="H94" s="172" t="s">
        <v>348</v>
      </c>
      <c r="I94" s="172" t="s">
        <v>535</v>
      </c>
      <c r="J94" s="172" t="s">
        <v>348</v>
      </c>
      <c r="K94" s="4" t="s">
        <v>138</v>
      </c>
      <c r="L94" s="4" t="s">
        <v>138</v>
      </c>
      <c r="M94" s="4" t="s">
        <v>138</v>
      </c>
      <c r="N94" s="4" t="s">
        <v>138</v>
      </c>
      <c r="O94" s="200"/>
      <c r="P94" s="200"/>
      <c r="Q94" s="200"/>
      <c r="R94" s="200"/>
      <c r="S94" s="201">
        <v>0</v>
      </c>
      <c r="V94" s="22">
        <v>1210</v>
      </c>
      <c r="W94" s="200" t="s">
        <v>170</v>
      </c>
      <c r="Y94" s="201"/>
    </row>
    <row r="95" spans="1:25" x14ac:dyDescent="0.25">
      <c r="A95" s="115">
        <f t="shared" si="6"/>
        <v>10.499999999999998</v>
      </c>
      <c r="B95" s="5" t="s">
        <v>9</v>
      </c>
      <c r="C95" s="4" t="s">
        <v>469</v>
      </c>
      <c r="D95" s="4" t="s">
        <v>469</v>
      </c>
      <c r="E95" s="264"/>
      <c r="G95" s="172" t="s">
        <v>548</v>
      </c>
      <c r="H95" s="172" t="s">
        <v>348</v>
      </c>
      <c r="I95" s="172" t="s">
        <v>548</v>
      </c>
      <c r="J95" s="172" t="s">
        <v>348</v>
      </c>
      <c r="K95" s="4" t="s">
        <v>138</v>
      </c>
      <c r="L95" s="4" t="s">
        <v>138</v>
      </c>
      <c r="M95" s="4" t="s">
        <v>138</v>
      </c>
      <c r="N95" s="4" t="s">
        <v>138</v>
      </c>
      <c r="O95" s="200"/>
      <c r="P95" s="200"/>
      <c r="Q95" s="200"/>
      <c r="R95" s="200"/>
      <c r="S95" s="201">
        <v>0</v>
      </c>
      <c r="V95" s="22">
        <v>2060</v>
      </c>
      <c r="W95" s="200" t="s">
        <v>170</v>
      </c>
      <c r="Y95" s="201"/>
    </row>
    <row r="96" spans="1:25" x14ac:dyDescent="0.25">
      <c r="A96" s="115">
        <f t="shared" si="6"/>
        <v>10.599999999999998</v>
      </c>
      <c r="B96" s="5" t="s">
        <v>379</v>
      </c>
      <c r="C96" s="4" t="s">
        <v>469</v>
      </c>
      <c r="D96" s="4" t="s">
        <v>469</v>
      </c>
      <c r="E96" s="264"/>
      <c r="G96" s="172" t="s">
        <v>549</v>
      </c>
      <c r="H96" s="172" t="s">
        <v>348</v>
      </c>
      <c r="I96" s="172" t="s">
        <v>549</v>
      </c>
      <c r="J96" s="172" t="s">
        <v>348</v>
      </c>
      <c r="K96" s="4" t="s">
        <v>138</v>
      </c>
      <c r="L96" s="4" t="s">
        <v>138</v>
      </c>
      <c r="M96" s="4" t="s">
        <v>138</v>
      </c>
      <c r="N96" s="4" t="s">
        <v>138</v>
      </c>
      <c r="O96" s="200"/>
      <c r="P96" s="200"/>
      <c r="Q96" s="200"/>
      <c r="R96" s="200"/>
      <c r="S96" s="201">
        <v>0</v>
      </c>
      <c r="V96" s="22">
        <v>2060</v>
      </c>
      <c r="W96" s="200" t="s">
        <v>170</v>
      </c>
      <c r="Y96" s="201"/>
    </row>
    <row r="97" spans="1:25" x14ac:dyDescent="0.25">
      <c r="A97" s="115">
        <f t="shared" si="6"/>
        <v>10.699999999999998</v>
      </c>
      <c r="B97" t="s">
        <v>0</v>
      </c>
      <c r="C97" s="4" t="s">
        <v>469</v>
      </c>
      <c r="D97" s="4" t="s">
        <v>469</v>
      </c>
      <c r="E97" s="264"/>
      <c r="G97" s="172" t="s">
        <v>536</v>
      </c>
      <c r="H97" s="172" t="s">
        <v>348</v>
      </c>
      <c r="I97" s="172" t="s">
        <v>536</v>
      </c>
      <c r="J97" s="172" t="s">
        <v>348</v>
      </c>
      <c r="K97" s="4" t="s">
        <v>138</v>
      </c>
      <c r="L97" s="4" t="s">
        <v>138</v>
      </c>
      <c r="M97" s="4" t="s">
        <v>138</v>
      </c>
      <c r="N97" s="4" t="s">
        <v>138</v>
      </c>
      <c r="O97" s="200"/>
      <c r="P97" s="200"/>
      <c r="Q97" s="200"/>
      <c r="R97" s="200"/>
      <c r="S97" s="201">
        <v>0</v>
      </c>
      <c r="V97" s="22">
        <v>3120</v>
      </c>
      <c r="W97" s="200" t="s">
        <v>170</v>
      </c>
      <c r="Y97" s="201"/>
    </row>
    <row r="98" spans="1:25" x14ac:dyDescent="0.25">
      <c r="A98" s="115">
        <f t="shared" si="6"/>
        <v>10.799999999999997</v>
      </c>
      <c r="B98" t="s">
        <v>387</v>
      </c>
      <c r="C98" s="4" t="s">
        <v>469</v>
      </c>
      <c r="D98" s="4" t="s">
        <v>469</v>
      </c>
      <c r="E98" s="264"/>
      <c r="G98" s="172" t="s">
        <v>550</v>
      </c>
      <c r="H98" s="172" t="s">
        <v>348</v>
      </c>
      <c r="I98" s="172" t="s">
        <v>550</v>
      </c>
      <c r="J98" s="172" t="s">
        <v>348</v>
      </c>
      <c r="K98" s="4" t="s">
        <v>138</v>
      </c>
      <c r="L98" s="4" t="s">
        <v>138</v>
      </c>
      <c r="M98" s="4" t="s">
        <v>138</v>
      </c>
      <c r="N98" s="4" t="s">
        <v>138</v>
      </c>
      <c r="O98" s="200"/>
      <c r="P98" s="200"/>
      <c r="Q98" s="200"/>
      <c r="R98" s="200"/>
      <c r="S98" s="201">
        <v>0</v>
      </c>
      <c r="V98" s="22">
        <v>3120</v>
      </c>
      <c r="W98" s="200" t="s">
        <v>170</v>
      </c>
      <c r="Y98" s="201"/>
    </row>
    <row r="99" spans="1:25" x14ac:dyDescent="0.25">
      <c r="A99" s="115">
        <f t="shared" si="6"/>
        <v>10.899999999999997</v>
      </c>
      <c r="B99" t="s">
        <v>14</v>
      </c>
      <c r="C99" s="4" t="s">
        <v>469</v>
      </c>
      <c r="D99" s="4" t="s">
        <v>469</v>
      </c>
      <c r="E99" s="264"/>
      <c r="G99" s="172" t="s">
        <v>537</v>
      </c>
      <c r="H99" s="172" t="s">
        <v>348</v>
      </c>
      <c r="I99" s="172" t="s">
        <v>537</v>
      </c>
      <c r="J99" s="172" t="s">
        <v>348</v>
      </c>
      <c r="K99" s="4" t="s">
        <v>138</v>
      </c>
      <c r="L99" s="4" t="s">
        <v>138</v>
      </c>
      <c r="M99" s="4" t="s">
        <v>138</v>
      </c>
      <c r="N99" s="4" t="s">
        <v>138</v>
      </c>
      <c r="O99" s="200"/>
      <c r="P99" s="200"/>
      <c r="Q99" s="200"/>
      <c r="R99" s="200"/>
      <c r="S99" s="201">
        <v>0</v>
      </c>
      <c r="V99" s="22">
        <v>2390</v>
      </c>
      <c r="W99" s="200" t="s">
        <v>170</v>
      </c>
      <c r="Y99" s="201"/>
    </row>
    <row r="100" spans="1:25" x14ac:dyDescent="0.25">
      <c r="A100" s="119">
        <v>10.1</v>
      </c>
      <c r="B100" t="s">
        <v>15</v>
      </c>
      <c r="C100" s="4" t="s">
        <v>469</v>
      </c>
      <c r="D100" s="4" t="s">
        <v>469</v>
      </c>
      <c r="E100" s="264"/>
      <c r="G100" s="172" t="s">
        <v>551</v>
      </c>
      <c r="H100" s="172" t="s">
        <v>348</v>
      </c>
      <c r="I100" s="172" t="s">
        <v>551</v>
      </c>
      <c r="J100" s="172" t="s">
        <v>348</v>
      </c>
      <c r="K100" s="4" t="s">
        <v>138</v>
      </c>
      <c r="L100" s="4" t="s">
        <v>138</v>
      </c>
      <c r="M100" s="4" t="s">
        <v>138</v>
      </c>
      <c r="N100" s="4" t="s">
        <v>138</v>
      </c>
      <c r="O100" s="200"/>
      <c r="P100" s="200"/>
      <c r="Q100" s="200"/>
      <c r="R100" s="200"/>
      <c r="S100" s="201">
        <v>0</v>
      </c>
      <c r="V100" s="22">
        <v>2390</v>
      </c>
      <c r="W100" s="200" t="s">
        <v>170</v>
      </c>
      <c r="Y100" s="201"/>
    </row>
  </sheetData>
  <mergeCells count="14">
    <mergeCell ref="A2:B2"/>
    <mergeCell ref="G1:H1"/>
    <mergeCell ref="I1:J1"/>
    <mergeCell ref="A1:D1"/>
    <mergeCell ref="T1:U1"/>
    <mergeCell ref="E92:E100"/>
    <mergeCell ref="E70:E72"/>
    <mergeCell ref="F44:F48"/>
    <mergeCell ref="E44:E52"/>
    <mergeCell ref="E4:E5"/>
    <mergeCell ref="E8:E29"/>
    <mergeCell ref="E32:E41"/>
    <mergeCell ref="E55:E63"/>
    <mergeCell ref="E65:E67"/>
  </mergeCells>
  <conditionalFormatting sqref="L4:N7 L82:N83 L46:N48 L49:M52 L9:L10 K8:K13 M9 L42:M45 N9:N30 M79:N80 M26:M30 L73:N74 L53:N53 M69:N70 N41:N44 L69:L72 N71:N72 K67:N68 K41:K44 K71:K78 K58:K63 L61:N63 C67:D67 C45:D52 C9:D29 C57:D63 K33:K36 L31:N36 V33:V40 C33:D41 K37:N40">
    <cfRule type="cellIs" dxfId="233" priority="490" operator="equal">
      <formula>"-"</formula>
    </cfRule>
    <cfRule type="cellIs" dxfId="232" priority="491" operator="equal">
      <formula>"S"</formula>
    </cfRule>
    <cfRule type="cellIs" dxfId="231" priority="492" operator="equal">
      <formula>"O"</formula>
    </cfRule>
  </conditionalFormatting>
  <conditionalFormatting sqref="L41">
    <cfRule type="cellIs" dxfId="230" priority="484" operator="equal">
      <formula>"-"</formula>
    </cfRule>
    <cfRule type="cellIs" dxfId="229" priority="485" operator="equal">
      <formula>"S"</formula>
    </cfRule>
    <cfRule type="cellIs" dxfId="228" priority="486" operator="equal">
      <formula>"O"</formula>
    </cfRule>
  </conditionalFormatting>
  <conditionalFormatting sqref="L75:L76">
    <cfRule type="cellIs" dxfId="227" priority="466" operator="equal">
      <formula>"-"</formula>
    </cfRule>
    <cfRule type="cellIs" dxfId="226" priority="467" operator="equal">
      <formula>"S"</formula>
    </cfRule>
    <cfRule type="cellIs" dxfId="225" priority="468" operator="equal">
      <formula>"O"</formula>
    </cfRule>
  </conditionalFormatting>
  <conditionalFormatting sqref="L58:L60">
    <cfRule type="cellIs" dxfId="224" priority="472" operator="equal">
      <formula>"-"</formula>
    </cfRule>
    <cfRule type="cellIs" dxfId="223" priority="473" operator="equal">
      <formula>"S"</formula>
    </cfRule>
    <cfRule type="cellIs" dxfId="222" priority="474" operator="equal">
      <formula>"O"</formula>
    </cfRule>
  </conditionalFormatting>
  <conditionalFormatting sqref="L77">
    <cfRule type="cellIs" dxfId="221" priority="463" operator="equal">
      <formula>"-"</formula>
    </cfRule>
    <cfRule type="cellIs" dxfId="220" priority="464" operator="equal">
      <formula>"S"</formula>
    </cfRule>
    <cfRule type="cellIs" dxfId="219" priority="465" operator="equal">
      <formula>"O"</formula>
    </cfRule>
  </conditionalFormatting>
  <conditionalFormatting sqref="L78">
    <cfRule type="cellIs" dxfId="218" priority="460" operator="equal">
      <formula>"-"</formula>
    </cfRule>
    <cfRule type="cellIs" dxfId="217" priority="461" operator="equal">
      <formula>"S"</formula>
    </cfRule>
    <cfRule type="cellIs" dxfId="216" priority="462" operator="equal">
      <formula>"O"</formula>
    </cfRule>
  </conditionalFormatting>
  <conditionalFormatting sqref="N78">
    <cfRule type="cellIs" dxfId="215" priority="451" operator="equal">
      <formula>"-"</formula>
    </cfRule>
    <cfRule type="cellIs" dxfId="214" priority="452" operator="equal">
      <formula>"S"</formula>
    </cfRule>
    <cfRule type="cellIs" dxfId="213" priority="453" operator="equal">
      <formula>"O"</formula>
    </cfRule>
  </conditionalFormatting>
  <conditionalFormatting sqref="N77">
    <cfRule type="cellIs" dxfId="212" priority="448" operator="equal">
      <formula>"-"</formula>
    </cfRule>
    <cfRule type="cellIs" dxfId="211" priority="449" operator="equal">
      <formula>"S"</formula>
    </cfRule>
    <cfRule type="cellIs" dxfId="210" priority="450" operator="equal">
      <formula>"O"</formula>
    </cfRule>
  </conditionalFormatting>
  <conditionalFormatting sqref="N75:N76">
    <cfRule type="cellIs" dxfId="209" priority="445" operator="equal">
      <formula>"-"</formula>
    </cfRule>
    <cfRule type="cellIs" dxfId="208" priority="446" operator="equal">
      <formula>"S"</formula>
    </cfRule>
    <cfRule type="cellIs" dxfId="207" priority="447" operator="equal">
      <formula>"O"</formula>
    </cfRule>
  </conditionalFormatting>
  <conditionalFormatting sqref="N58:N60">
    <cfRule type="cellIs" dxfId="206" priority="439" operator="equal">
      <formula>"-"</formula>
    </cfRule>
    <cfRule type="cellIs" dxfId="205" priority="440" operator="equal">
      <formula>"S"</formula>
    </cfRule>
    <cfRule type="cellIs" dxfId="204" priority="441" operator="equal">
      <formula>"O"</formula>
    </cfRule>
  </conditionalFormatting>
  <conditionalFormatting sqref="M58:M60">
    <cfRule type="cellIs" dxfId="203" priority="424" operator="equal">
      <formula>"-"</formula>
    </cfRule>
    <cfRule type="cellIs" dxfId="202" priority="425" operator="equal">
      <formula>"S"</formula>
    </cfRule>
    <cfRule type="cellIs" dxfId="201" priority="426" operator="equal">
      <formula>"O"</formula>
    </cfRule>
  </conditionalFormatting>
  <conditionalFormatting sqref="M10:M14">
    <cfRule type="cellIs" dxfId="200" priority="418" operator="equal">
      <formula>"-"</formula>
    </cfRule>
    <cfRule type="cellIs" dxfId="199" priority="419" operator="equal">
      <formula>"S"</formula>
    </cfRule>
    <cfRule type="cellIs" dxfId="198" priority="420" operator="equal">
      <formula>"O"</formula>
    </cfRule>
  </conditionalFormatting>
  <conditionalFormatting sqref="M18">
    <cfRule type="cellIs" dxfId="197" priority="415" operator="equal">
      <formula>"-"</formula>
    </cfRule>
    <cfRule type="cellIs" dxfId="196" priority="416" operator="equal">
      <formula>"S"</formula>
    </cfRule>
    <cfRule type="cellIs" dxfId="195" priority="417" operator="equal">
      <formula>"O"</formula>
    </cfRule>
  </conditionalFormatting>
  <conditionalFormatting sqref="M24">
    <cfRule type="cellIs" dxfId="194" priority="412" operator="equal">
      <formula>"-"</formula>
    </cfRule>
    <cfRule type="cellIs" dxfId="193" priority="413" operator="equal">
      <formula>"S"</formula>
    </cfRule>
    <cfRule type="cellIs" dxfId="192" priority="414" operator="equal">
      <formula>"O"</formula>
    </cfRule>
  </conditionalFormatting>
  <conditionalFormatting sqref="L86:N87 V86:V87">
    <cfRule type="cellIs" dxfId="191" priority="409" operator="equal">
      <formula>"-"</formula>
    </cfRule>
    <cfRule type="cellIs" dxfId="190" priority="410" operator="equal">
      <formula>"S"</formula>
    </cfRule>
    <cfRule type="cellIs" dxfId="189" priority="411" operator="equal">
      <formula>"O"</formula>
    </cfRule>
  </conditionalFormatting>
  <conditionalFormatting sqref="N45">
    <cfRule type="cellIs" dxfId="188" priority="388" operator="equal">
      <formula>"-"</formula>
    </cfRule>
    <cfRule type="cellIs" dxfId="187" priority="389" operator="equal">
      <formula>"S"</formula>
    </cfRule>
    <cfRule type="cellIs" dxfId="186" priority="390" operator="equal">
      <formula>"O"</formula>
    </cfRule>
  </conditionalFormatting>
  <conditionalFormatting sqref="M41">
    <cfRule type="cellIs" dxfId="185" priority="367" operator="equal">
      <formula>"-"</formula>
    </cfRule>
    <cfRule type="cellIs" dxfId="184" priority="368" operator="equal">
      <formula>"S"</formula>
    </cfRule>
    <cfRule type="cellIs" dxfId="183" priority="369" operator="equal">
      <formula>"O"</formula>
    </cfRule>
  </conditionalFormatting>
  <conditionalFormatting sqref="M71">
    <cfRule type="cellIs" dxfId="182" priority="361" operator="equal">
      <formula>"-"</formula>
    </cfRule>
    <cfRule type="cellIs" dxfId="181" priority="362" operator="equal">
      <formula>"S"</formula>
    </cfRule>
    <cfRule type="cellIs" dxfId="180" priority="363" operator="equal">
      <formula>"O"</formula>
    </cfRule>
  </conditionalFormatting>
  <conditionalFormatting sqref="M72">
    <cfRule type="cellIs" dxfId="179" priority="358" operator="equal">
      <formula>"-"</formula>
    </cfRule>
    <cfRule type="cellIs" dxfId="178" priority="359" operator="equal">
      <formula>"S"</formula>
    </cfRule>
    <cfRule type="cellIs" dxfId="177" priority="360" operator="equal">
      <formula>"O"</formula>
    </cfRule>
  </conditionalFormatting>
  <conditionalFormatting sqref="M75:M76">
    <cfRule type="cellIs" dxfId="176" priority="355" operator="equal">
      <formula>"-"</formula>
    </cfRule>
    <cfRule type="cellIs" dxfId="175" priority="356" operator="equal">
      <formula>"S"</formula>
    </cfRule>
    <cfRule type="cellIs" dxfId="174" priority="357" operator="equal">
      <formula>"O"</formula>
    </cfRule>
  </conditionalFormatting>
  <conditionalFormatting sqref="M77">
    <cfRule type="cellIs" dxfId="173" priority="352" operator="equal">
      <formula>"-"</formula>
    </cfRule>
    <cfRule type="cellIs" dxfId="172" priority="353" operator="equal">
      <formula>"S"</formula>
    </cfRule>
    <cfRule type="cellIs" dxfId="171" priority="354" operator="equal">
      <formula>"O"</formula>
    </cfRule>
  </conditionalFormatting>
  <conditionalFormatting sqref="M78">
    <cfRule type="cellIs" dxfId="170" priority="349" operator="equal">
      <formula>"-"</formula>
    </cfRule>
    <cfRule type="cellIs" dxfId="169" priority="350" operator="equal">
      <formula>"S"</formula>
    </cfRule>
    <cfRule type="cellIs" dxfId="168" priority="351" operator="equal">
      <formula>"O"</formula>
    </cfRule>
  </conditionalFormatting>
  <conditionalFormatting sqref="M15:M17">
    <cfRule type="cellIs" dxfId="167" priority="346" operator="equal">
      <formula>"-"</formula>
    </cfRule>
    <cfRule type="cellIs" dxfId="166" priority="347" operator="equal">
      <formula>"S"</formula>
    </cfRule>
    <cfRule type="cellIs" dxfId="165" priority="348" operator="equal">
      <formula>"O"</formula>
    </cfRule>
  </conditionalFormatting>
  <conditionalFormatting sqref="M19">
    <cfRule type="cellIs" dxfId="164" priority="343" operator="equal">
      <formula>"-"</formula>
    </cfRule>
    <cfRule type="cellIs" dxfId="163" priority="344" operator="equal">
      <formula>"S"</formula>
    </cfRule>
    <cfRule type="cellIs" dxfId="162" priority="345" operator="equal">
      <formula>"O"</formula>
    </cfRule>
  </conditionalFormatting>
  <conditionalFormatting sqref="M20:M23">
    <cfRule type="cellIs" dxfId="161" priority="340" operator="equal">
      <formula>"-"</formula>
    </cfRule>
    <cfRule type="cellIs" dxfId="160" priority="341" operator="equal">
      <formula>"S"</formula>
    </cfRule>
    <cfRule type="cellIs" dxfId="159" priority="342" operator="equal">
      <formula>"O"</formula>
    </cfRule>
  </conditionalFormatting>
  <conditionalFormatting sqref="M25">
    <cfRule type="cellIs" dxfId="158" priority="337" operator="equal">
      <formula>"-"</formula>
    </cfRule>
    <cfRule type="cellIs" dxfId="157" priority="338" operator="equal">
      <formula>"S"</formula>
    </cfRule>
    <cfRule type="cellIs" dxfId="156" priority="339" operator="equal">
      <formula>"O"</formula>
    </cfRule>
  </conditionalFormatting>
  <conditionalFormatting sqref="N49:N52">
    <cfRule type="cellIs" dxfId="155" priority="301" operator="equal">
      <formula>"-"</formula>
    </cfRule>
    <cfRule type="cellIs" dxfId="154" priority="302" operator="equal">
      <formula>"S"</formula>
    </cfRule>
    <cfRule type="cellIs" dxfId="153" priority="303" operator="equal">
      <formula>"O"</formula>
    </cfRule>
  </conditionalFormatting>
  <conditionalFormatting sqref="K82">
    <cfRule type="cellIs" dxfId="152" priority="274" operator="equal">
      <formula>"-"</formula>
    </cfRule>
    <cfRule type="cellIs" dxfId="151" priority="275" operator="equal">
      <formula>"S"</formula>
    </cfRule>
    <cfRule type="cellIs" dxfId="150" priority="276" operator="equal">
      <formula>"O"</formula>
    </cfRule>
  </conditionalFormatting>
  <conditionalFormatting sqref="W86">
    <cfRule type="cellIs" dxfId="149" priority="271" operator="equal">
      <formula>"-"</formula>
    </cfRule>
    <cfRule type="cellIs" dxfId="148" priority="272" operator="equal">
      <formula>"S"</formula>
    </cfRule>
    <cfRule type="cellIs" dxfId="147" priority="273" operator="equal">
      <formula>"O"</formula>
    </cfRule>
  </conditionalFormatting>
  <conditionalFormatting sqref="W87">
    <cfRule type="cellIs" dxfId="146" priority="268" operator="equal">
      <formula>"-"</formula>
    </cfRule>
    <cfRule type="cellIs" dxfId="145" priority="269" operator="equal">
      <formula>"S"</formula>
    </cfRule>
    <cfRule type="cellIs" dxfId="144" priority="270" operator="equal">
      <formula>"O"</formula>
    </cfRule>
  </conditionalFormatting>
  <conditionalFormatting sqref="K87">
    <cfRule type="cellIs" dxfId="143" priority="265" operator="equal">
      <formula>"-"</formula>
    </cfRule>
    <cfRule type="cellIs" dxfId="142" priority="266" operator="equal">
      <formula>"S"</formula>
    </cfRule>
    <cfRule type="cellIs" dxfId="141" priority="267" operator="equal">
      <formula>"O"</formula>
    </cfRule>
  </conditionalFormatting>
  <conditionalFormatting sqref="K86">
    <cfRule type="cellIs" dxfId="140" priority="262" operator="equal">
      <formula>"-"</formula>
    </cfRule>
    <cfRule type="cellIs" dxfId="139" priority="263" operator="equal">
      <formula>"S"</formula>
    </cfRule>
    <cfRule type="cellIs" dxfId="138" priority="264" operator="equal">
      <formula>"O"</formula>
    </cfRule>
  </conditionalFormatting>
  <conditionalFormatting sqref="K90:K100">
    <cfRule type="cellIs" dxfId="137" priority="256" operator="equal">
      <formula>"-"</formula>
    </cfRule>
    <cfRule type="cellIs" dxfId="136" priority="257" operator="equal">
      <formula>"S"</formula>
    </cfRule>
    <cfRule type="cellIs" dxfId="135" priority="258" operator="equal">
      <formula>"O"</formula>
    </cfRule>
  </conditionalFormatting>
  <conditionalFormatting sqref="L90:L100">
    <cfRule type="cellIs" dxfId="134" priority="253" operator="equal">
      <formula>"-"</formula>
    </cfRule>
    <cfRule type="cellIs" dxfId="133" priority="254" operator="equal">
      <formula>"S"</formula>
    </cfRule>
    <cfRule type="cellIs" dxfId="132" priority="255" operator="equal">
      <formula>"O"</formula>
    </cfRule>
  </conditionalFormatting>
  <conditionalFormatting sqref="M90:M100">
    <cfRule type="cellIs" dxfId="131" priority="250" operator="equal">
      <formula>"-"</formula>
    </cfRule>
    <cfRule type="cellIs" dxfId="130" priority="251" operator="equal">
      <formula>"S"</formula>
    </cfRule>
    <cfRule type="cellIs" dxfId="129" priority="252" operator="equal">
      <formula>"O"</formula>
    </cfRule>
  </conditionalFormatting>
  <conditionalFormatting sqref="N90:N100">
    <cfRule type="cellIs" dxfId="128" priority="247" operator="equal">
      <formula>"-"</formula>
    </cfRule>
    <cfRule type="cellIs" dxfId="127" priority="248" operator="equal">
      <formula>"S"</formula>
    </cfRule>
    <cfRule type="cellIs" dxfId="126" priority="249" operator="equal">
      <formula>"O"</formula>
    </cfRule>
  </conditionalFormatting>
  <conditionalFormatting sqref="K81:L81 N81">
    <cfRule type="cellIs" dxfId="125" priority="238" operator="equal">
      <formula>"-"</formula>
    </cfRule>
    <cfRule type="cellIs" dxfId="124" priority="239" operator="equal">
      <formula>"S"</formula>
    </cfRule>
    <cfRule type="cellIs" dxfId="123" priority="240" operator="equal">
      <formula>"O"</formula>
    </cfRule>
  </conditionalFormatting>
  <conditionalFormatting sqref="M81">
    <cfRule type="cellIs" dxfId="122" priority="235" operator="equal">
      <formula>"-"</formula>
    </cfRule>
    <cfRule type="cellIs" dxfId="121" priority="236" operator="equal">
      <formula>"S"</formula>
    </cfRule>
    <cfRule type="cellIs" dxfId="120" priority="237" operator="equal">
      <formula>"O"</formula>
    </cfRule>
  </conditionalFormatting>
  <conditionalFormatting sqref="G87">
    <cfRule type="cellIs" dxfId="119" priority="229" operator="equal">
      <formula>"-"</formula>
    </cfRule>
    <cfRule type="cellIs" dxfId="118" priority="230" operator="equal">
      <formula>"S"</formula>
    </cfRule>
    <cfRule type="cellIs" dxfId="117" priority="231" operator="equal">
      <formula>"O"</formula>
    </cfRule>
  </conditionalFormatting>
  <conditionalFormatting sqref="G86">
    <cfRule type="cellIs" dxfId="116" priority="232" operator="equal">
      <formula>"-"</formula>
    </cfRule>
    <cfRule type="cellIs" dxfId="115" priority="233" operator="equal">
      <formula>"S"</formula>
    </cfRule>
    <cfRule type="cellIs" dxfId="114" priority="234" operator="equal">
      <formula>"O"</formula>
    </cfRule>
  </conditionalFormatting>
  <conditionalFormatting sqref="I87">
    <cfRule type="cellIs" dxfId="113" priority="223" operator="equal">
      <formula>"-"</formula>
    </cfRule>
    <cfRule type="cellIs" dxfId="112" priority="224" operator="equal">
      <formula>"S"</formula>
    </cfRule>
    <cfRule type="cellIs" dxfId="111" priority="225" operator="equal">
      <formula>"O"</formula>
    </cfRule>
  </conditionalFormatting>
  <conditionalFormatting sqref="I86">
    <cfRule type="cellIs" dxfId="110" priority="226" operator="equal">
      <formula>"-"</formula>
    </cfRule>
    <cfRule type="cellIs" dxfId="109" priority="227" operator="equal">
      <formula>"S"</formula>
    </cfRule>
    <cfRule type="cellIs" dxfId="108" priority="228" operator="equal">
      <formula>"O"</formula>
    </cfRule>
  </conditionalFormatting>
  <conditionalFormatting sqref="C86">
    <cfRule type="cellIs" dxfId="107" priority="208" operator="equal">
      <formula>"-"</formula>
    </cfRule>
    <cfRule type="cellIs" dxfId="106" priority="209" operator="equal">
      <formula>"S"</formula>
    </cfRule>
    <cfRule type="cellIs" dxfId="105" priority="210" operator="equal">
      <formula>"O"</formula>
    </cfRule>
  </conditionalFormatting>
  <conditionalFormatting sqref="D86">
    <cfRule type="cellIs" dxfId="104" priority="205" operator="equal">
      <formula>"-"</formula>
    </cfRule>
    <cfRule type="cellIs" dxfId="103" priority="206" operator="equal">
      <formula>"S"</formula>
    </cfRule>
    <cfRule type="cellIs" dxfId="102" priority="207" operator="equal">
      <formula>"O"</formula>
    </cfRule>
  </conditionalFormatting>
  <conditionalFormatting sqref="C87">
    <cfRule type="cellIs" dxfId="101" priority="199" operator="equal">
      <formula>"-"</formula>
    </cfRule>
    <cfRule type="cellIs" dxfId="100" priority="200" operator="equal">
      <formula>"S"</formula>
    </cfRule>
    <cfRule type="cellIs" dxfId="99" priority="201" operator="equal">
      <formula>"O"</formula>
    </cfRule>
  </conditionalFormatting>
  <conditionalFormatting sqref="D87">
    <cfRule type="cellIs" dxfId="98" priority="196" operator="equal">
      <formula>"-"</formula>
    </cfRule>
    <cfRule type="cellIs" dxfId="97" priority="197" operator="equal">
      <formula>"S"</formula>
    </cfRule>
    <cfRule type="cellIs" dxfId="96" priority="198" operator="equal">
      <formula>"O"</formula>
    </cfRule>
  </conditionalFormatting>
  <conditionalFormatting sqref="C90">
    <cfRule type="cellIs" dxfId="95" priority="190" operator="equal">
      <formula>"-"</formula>
    </cfRule>
    <cfRule type="cellIs" dxfId="94" priority="191" operator="equal">
      <formula>"S"</formula>
    </cfRule>
    <cfRule type="cellIs" dxfId="93" priority="192" operator="equal">
      <formula>"O"</formula>
    </cfRule>
  </conditionalFormatting>
  <conditionalFormatting sqref="D90">
    <cfRule type="cellIs" dxfId="92" priority="184" operator="equal">
      <formula>"-"</formula>
    </cfRule>
    <cfRule type="cellIs" dxfId="91" priority="185" operator="equal">
      <formula>"S"</formula>
    </cfRule>
    <cfRule type="cellIs" dxfId="90" priority="186" operator="equal">
      <formula>"O"</formula>
    </cfRule>
  </conditionalFormatting>
  <conditionalFormatting sqref="C81">
    <cfRule type="cellIs" dxfId="89" priority="178" operator="equal">
      <formula>"-"</formula>
    </cfRule>
    <cfRule type="cellIs" dxfId="88" priority="179" operator="equal">
      <formula>"S"</formula>
    </cfRule>
    <cfRule type="cellIs" dxfId="87" priority="180" operator="equal">
      <formula>"O"</formula>
    </cfRule>
  </conditionalFormatting>
  <conditionalFormatting sqref="D81">
    <cfRule type="cellIs" dxfId="86" priority="175" operator="equal">
      <formula>"-"</formula>
    </cfRule>
    <cfRule type="cellIs" dxfId="85" priority="176" operator="equal">
      <formula>"S"</formula>
    </cfRule>
    <cfRule type="cellIs" dxfId="84" priority="177" operator="equal">
      <formula>"O"</formula>
    </cfRule>
  </conditionalFormatting>
  <conditionalFormatting sqref="C82">
    <cfRule type="cellIs" dxfId="83" priority="169" operator="equal">
      <formula>"-"</formula>
    </cfRule>
    <cfRule type="cellIs" dxfId="82" priority="170" operator="equal">
      <formula>"S"</formula>
    </cfRule>
    <cfRule type="cellIs" dxfId="81" priority="171" operator="equal">
      <formula>"O"</formula>
    </cfRule>
  </conditionalFormatting>
  <conditionalFormatting sqref="D82">
    <cfRule type="cellIs" dxfId="80" priority="166" operator="equal">
      <formula>"-"</formula>
    </cfRule>
    <cfRule type="cellIs" dxfId="79" priority="167" operator="equal">
      <formula>"S"</formula>
    </cfRule>
    <cfRule type="cellIs" dxfId="78" priority="168" operator="equal">
      <formula>"O"</formula>
    </cfRule>
  </conditionalFormatting>
  <conditionalFormatting sqref="C83">
    <cfRule type="cellIs" dxfId="77" priority="160" operator="equal">
      <formula>"-"</formula>
    </cfRule>
    <cfRule type="cellIs" dxfId="76" priority="161" operator="equal">
      <formula>"S"</formula>
    </cfRule>
    <cfRule type="cellIs" dxfId="75" priority="162" operator="equal">
      <formula>"O"</formula>
    </cfRule>
  </conditionalFormatting>
  <conditionalFormatting sqref="D83">
    <cfRule type="cellIs" dxfId="74" priority="157" operator="equal">
      <formula>"-"</formula>
    </cfRule>
    <cfRule type="cellIs" dxfId="73" priority="158" operator="equal">
      <formula>"S"</formula>
    </cfRule>
    <cfRule type="cellIs" dxfId="72" priority="159" operator="equal">
      <formula>"O"</formula>
    </cfRule>
  </conditionalFormatting>
  <conditionalFormatting sqref="C75">
    <cfRule type="cellIs" dxfId="71" priority="151" operator="equal">
      <formula>"-"</formula>
    </cfRule>
    <cfRule type="cellIs" dxfId="70" priority="152" operator="equal">
      <formula>"S"</formula>
    </cfRule>
    <cfRule type="cellIs" dxfId="69" priority="153" operator="equal">
      <formula>"O"</formula>
    </cfRule>
  </conditionalFormatting>
  <conditionalFormatting sqref="D75">
    <cfRule type="cellIs" dxfId="68" priority="148" operator="equal">
      <formula>"-"</formula>
    </cfRule>
    <cfRule type="cellIs" dxfId="67" priority="149" operator="equal">
      <formula>"S"</formula>
    </cfRule>
    <cfRule type="cellIs" dxfId="66" priority="150" operator="equal">
      <formula>"O"</formula>
    </cfRule>
  </conditionalFormatting>
  <conditionalFormatting sqref="C77">
    <cfRule type="cellIs" dxfId="65" priority="142" operator="equal">
      <formula>"-"</formula>
    </cfRule>
    <cfRule type="cellIs" dxfId="64" priority="143" operator="equal">
      <formula>"S"</formula>
    </cfRule>
    <cfRule type="cellIs" dxfId="63" priority="144" operator="equal">
      <formula>"O"</formula>
    </cfRule>
  </conditionalFormatting>
  <conditionalFormatting sqref="D77">
    <cfRule type="cellIs" dxfId="62" priority="139" operator="equal">
      <formula>"-"</formula>
    </cfRule>
    <cfRule type="cellIs" dxfId="61" priority="140" operator="equal">
      <formula>"S"</formula>
    </cfRule>
    <cfRule type="cellIs" dxfId="60" priority="141" operator="equal">
      <formula>"O"</formula>
    </cfRule>
  </conditionalFormatting>
  <conditionalFormatting sqref="C78">
    <cfRule type="cellIs" dxfId="59" priority="133" operator="equal">
      <formula>"-"</formula>
    </cfRule>
    <cfRule type="cellIs" dxfId="58" priority="134" operator="equal">
      <formula>"S"</formula>
    </cfRule>
    <cfRule type="cellIs" dxfId="57" priority="135" operator="equal">
      <formula>"O"</formula>
    </cfRule>
  </conditionalFormatting>
  <conditionalFormatting sqref="D78">
    <cfRule type="cellIs" dxfId="56" priority="130" operator="equal">
      <formula>"-"</formula>
    </cfRule>
    <cfRule type="cellIs" dxfId="55" priority="131" operator="equal">
      <formula>"S"</formula>
    </cfRule>
    <cfRule type="cellIs" dxfId="54" priority="132" operator="equal">
      <formula>"O"</formula>
    </cfRule>
  </conditionalFormatting>
  <conditionalFormatting sqref="C71">
    <cfRule type="cellIs" dxfId="53" priority="124" operator="equal">
      <formula>"-"</formula>
    </cfRule>
    <cfRule type="cellIs" dxfId="52" priority="125" operator="equal">
      <formula>"S"</formula>
    </cfRule>
    <cfRule type="cellIs" dxfId="51" priority="126" operator="equal">
      <formula>"O"</formula>
    </cfRule>
  </conditionalFormatting>
  <conditionalFormatting sqref="D71">
    <cfRule type="cellIs" dxfId="50" priority="121" operator="equal">
      <formula>"-"</formula>
    </cfRule>
    <cfRule type="cellIs" dxfId="49" priority="122" operator="equal">
      <formula>"S"</formula>
    </cfRule>
    <cfRule type="cellIs" dxfId="48" priority="123" operator="equal">
      <formula>"O"</formula>
    </cfRule>
  </conditionalFormatting>
  <conditionalFormatting sqref="C72">
    <cfRule type="cellIs" dxfId="47" priority="106" operator="equal">
      <formula>"-"</formula>
    </cfRule>
    <cfRule type="cellIs" dxfId="46" priority="107" operator="equal">
      <formula>"S"</formula>
    </cfRule>
    <cfRule type="cellIs" dxfId="45" priority="108" operator="equal">
      <formula>"O"</formula>
    </cfRule>
  </conditionalFormatting>
  <conditionalFormatting sqref="D72">
    <cfRule type="cellIs" dxfId="44" priority="103" operator="equal">
      <formula>"-"</formula>
    </cfRule>
    <cfRule type="cellIs" dxfId="43" priority="104" operator="equal">
      <formula>"S"</formula>
    </cfRule>
    <cfRule type="cellIs" dxfId="42" priority="105" operator="equal">
      <formula>"O"</formula>
    </cfRule>
  </conditionalFormatting>
  <conditionalFormatting sqref="L57">
    <cfRule type="cellIs" dxfId="41" priority="61" operator="equal">
      <formula>"-"</formula>
    </cfRule>
    <cfRule type="cellIs" dxfId="40" priority="62" operator="equal">
      <formula>"S"</formula>
    </cfRule>
    <cfRule type="cellIs" dxfId="39" priority="63" operator="equal">
      <formula>"O"</formula>
    </cfRule>
  </conditionalFormatting>
  <conditionalFormatting sqref="K57">
    <cfRule type="cellIs" dxfId="38" priority="64" operator="equal">
      <formula>"-"</formula>
    </cfRule>
    <cfRule type="cellIs" dxfId="37" priority="65" operator="equal">
      <formula>"S"</formula>
    </cfRule>
    <cfRule type="cellIs" dxfId="36" priority="66" operator="equal">
      <formula>"O"</formula>
    </cfRule>
  </conditionalFormatting>
  <conditionalFormatting sqref="N57">
    <cfRule type="cellIs" dxfId="35" priority="58" operator="equal">
      <formula>"-"</formula>
    </cfRule>
    <cfRule type="cellIs" dxfId="34" priority="59" operator="equal">
      <formula>"S"</formula>
    </cfRule>
    <cfRule type="cellIs" dxfId="33" priority="60" operator="equal">
      <formula>"O"</formula>
    </cfRule>
  </conditionalFormatting>
  <conditionalFormatting sqref="M57">
    <cfRule type="cellIs" dxfId="32" priority="55" operator="equal">
      <formula>"-"</formula>
    </cfRule>
    <cfRule type="cellIs" dxfId="31" priority="56" operator="equal">
      <formula>"S"</formula>
    </cfRule>
    <cfRule type="cellIs" dxfId="30" priority="57" operator="equal">
      <formula>"O"</formula>
    </cfRule>
  </conditionalFormatting>
  <conditionalFormatting sqref="C91:C100">
    <cfRule type="cellIs" dxfId="29" priority="49" operator="equal">
      <formula>"-"</formula>
    </cfRule>
    <cfRule type="cellIs" dxfId="28" priority="50" operator="equal">
      <formula>"S"</formula>
    </cfRule>
    <cfRule type="cellIs" dxfId="27" priority="51" operator="equal">
      <formula>"O"</formula>
    </cfRule>
  </conditionalFormatting>
  <conditionalFormatting sqref="D91:D100">
    <cfRule type="cellIs" dxfId="26" priority="46" operator="equal">
      <formula>"-"</formula>
    </cfRule>
    <cfRule type="cellIs" dxfId="25" priority="47" operator="equal">
      <formula>"S"</formula>
    </cfRule>
    <cfRule type="cellIs" dxfId="24" priority="48" operator="equal">
      <formula>"O"</formula>
    </cfRule>
  </conditionalFormatting>
  <conditionalFormatting sqref="C61:D66">
    <cfRule type="cellIs" dxfId="23" priority="43" operator="equal">
      <formula>"-"</formula>
    </cfRule>
    <cfRule type="cellIs" dxfId="22" priority="44" operator="equal">
      <formula>"S"</formula>
    </cfRule>
    <cfRule type="cellIs" dxfId="21" priority="45" operator="equal">
      <formula>"O"</formula>
    </cfRule>
  </conditionalFormatting>
  <conditionalFormatting sqref="K64:K66">
    <cfRule type="cellIs" dxfId="20" priority="40" operator="equal">
      <formula>"-"</formula>
    </cfRule>
    <cfRule type="cellIs" dxfId="19" priority="41" operator="equal">
      <formula>"S"</formula>
    </cfRule>
    <cfRule type="cellIs" dxfId="18" priority="42" operator="equal">
      <formula>"O"</formula>
    </cfRule>
  </conditionalFormatting>
  <conditionalFormatting sqref="L64:L66">
    <cfRule type="cellIs" dxfId="17" priority="37" operator="equal">
      <formula>"-"</formula>
    </cfRule>
    <cfRule type="cellIs" dxfId="16" priority="38" operator="equal">
      <formula>"S"</formula>
    </cfRule>
    <cfRule type="cellIs" dxfId="15" priority="39" operator="equal">
      <formula>"O"</formula>
    </cfRule>
  </conditionalFormatting>
  <conditionalFormatting sqref="N64:N66">
    <cfRule type="cellIs" dxfId="14" priority="34" operator="equal">
      <formula>"-"</formula>
    </cfRule>
    <cfRule type="cellIs" dxfId="13" priority="35" operator="equal">
      <formula>"S"</formula>
    </cfRule>
    <cfRule type="cellIs" dxfId="12" priority="36" operator="equal">
      <formula>"O"</formula>
    </cfRule>
  </conditionalFormatting>
  <conditionalFormatting sqref="M64:M66">
    <cfRule type="cellIs" dxfId="11" priority="31" operator="equal">
      <formula>"-"</formula>
    </cfRule>
    <cfRule type="cellIs" dxfId="10" priority="32" operator="equal">
      <formula>"S"</formula>
    </cfRule>
    <cfRule type="cellIs" dxfId="9" priority="33" operator="equal">
      <formula>"O"</formula>
    </cfRule>
  </conditionalFormatting>
  <conditionalFormatting sqref="C76">
    <cfRule type="cellIs" dxfId="8" priority="7" operator="equal">
      <formula>"-"</formula>
    </cfRule>
    <cfRule type="cellIs" dxfId="7" priority="8" operator="equal">
      <formula>"S"</formula>
    </cfRule>
    <cfRule type="cellIs" dxfId="6" priority="9" operator="equal">
      <formula>"O"</formula>
    </cfRule>
  </conditionalFormatting>
  <conditionalFormatting sqref="D76">
    <cfRule type="cellIs" dxfId="5" priority="4" operator="equal">
      <formula>"-"</formula>
    </cfRule>
    <cfRule type="cellIs" dxfId="4" priority="5" operator="equal">
      <formula>"S"</formula>
    </cfRule>
    <cfRule type="cellIs" dxfId="3" priority="6" operator="equal">
      <formula>"O"</formula>
    </cfRule>
  </conditionalFormatting>
  <printOptions gridLines="1"/>
  <pageMargins left="0.3" right="0.3" top="0.3" bottom="0.3" header="0" footer="0.3"/>
  <pageSetup paperSize="3" scale="72" fitToHeight="0"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U69"/>
  <sheetViews>
    <sheetView tabSelected="1" zoomScaleNormal="100" workbookViewId="0">
      <selection activeCell="A9" sqref="A9"/>
    </sheetView>
  </sheetViews>
  <sheetFormatPr defaultRowHeight="15" outlineLevelCol="1" x14ac:dyDescent="0.25"/>
  <cols>
    <col min="1" max="1" width="9.140625" style="124" customWidth="1" outlineLevel="1"/>
    <col min="2" max="5" width="9.140625" style="193" customWidth="1" outlineLevel="1"/>
    <col min="6" max="6" width="22" customWidth="1"/>
    <col min="7" max="7" width="48.42578125" bestFit="1" customWidth="1"/>
    <col min="8" max="8" width="44.28515625" style="7" customWidth="1"/>
    <col min="9" max="9" width="20.140625" customWidth="1"/>
    <col min="11" max="11" width="20" customWidth="1" outlineLevel="1"/>
    <col min="12" max="12" width="9.140625" style="130" customWidth="1" outlineLevel="1"/>
    <col min="13" max="14" width="9.140625" customWidth="1" outlineLevel="1"/>
    <col min="15" max="15" width="12" customWidth="1" outlineLevel="1"/>
    <col min="16" max="17" width="9.140625" customWidth="1" outlineLevel="1"/>
    <col min="18" max="18" width="12.28515625" customWidth="1" outlineLevel="1"/>
    <col min="19" max="19" width="9.28515625"/>
    <col min="22" max="22" width="9.140625" customWidth="1"/>
    <col min="36" max="39" width="8.85546875" customWidth="1"/>
  </cols>
  <sheetData>
    <row r="1" spans="1:27" ht="60.75" customHeight="1" x14ac:dyDescent="0.3">
      <c r="F1" s="268"/>
      <c r="G1" s="269"/>
      <c r="H1" s="269"/>
      <c r="I1" s="270"/>
      <c r="K1" s="137" t="s">
        <v>342</v>
      </c>
      <c r="L1" s="40">
        <f>+'WORKCELL BOM'!Q68</f>
        <v>4</v>
      </c>
      <c r="M1" t="s">
        <v>446</v>
      </c>
    </row>
    <row r="2" spans="1:27" ht="28.5" customHeight="1" thickBot="1" x14ac:dyDescent="0.35">
      <c r="F2" s="275" t="s">
        <v>417</v>
      </c>
      <c r="G2" s="276"/>
      <c r="H2" s="276"/>
      <c r="I2" s="28"/>
    </row>
    <row r="3" spans="1:27" thickTop="1" x14ac:dyDescent="0.3">
      <c r="F3" s="29"/>
      <c r="G3" s="8"/>
      <c r="H3" s="26"/>
      <c r="I3" s="30"/>
      <c r="K3" s="10"/>
    </row>
    <row r="4" spans="1:27" x14ac:dyDescent="0.25">
      <c r="F4" s="274" t="s">
        <v>421</v>
      </c>
      <c r="G4" s="117" t="str">
        <f>+MENU!B3</f>
        <v>Work Cell</v>
      </c>
      <c r="H4" s="272" t="s">
        <v>320</v>
      </c>
      <c r="I4" s="272"/>
      <c r="K4" s="10" t="s">
        <v>429</v>
      </c>
    </row>
    <row r="5" spans="1:27" ht="15" customHeight="1" x14ac:dyDescent="0.25">
      <c r="F5" s="274"/>
      <c r="G5" s="117" t="str">
        <f>+Data!C3</f>
        <v>Voltage</v>
      </c>
      <c r="H5" s="272" t="s">
        <v>637</v>
      </c>
      <c r="I5" s="272"/>
      <c r="K5" s="10" t="s">
        <v>12</v>
      </c>
    </row>
    <row r="6" spans="1:27" ht="15" customHeight="1" x14ac:dyDescent="0.25">
      <c r="F6" s="274"/>
      <c r="G6" s="117" t="str">
        <f>+Data!E3</f>
        <v>Certification</v>
      </c>
      <c r="H6" s="272" t="s">
        <v>404</v>
      </c>
      <c r="I6" s="272"/>
      <c r="K6" s="10" t="s">
        <v>353</v>
      </c>
    </row>
    <row r="7" spans="1:27" x14ac:dyDescent="0.25">
      <c r="A7" s="124">
        <f>IF(AND(H8="N",H13="N"),0,1)</f>
        <v>1</v>
      </c>
      <c r="F7" s="232"/>
      <c r="G7" s="13"/>
      <c r="H7" s="13"/>
      <c r="I7" s="90"/>
      <c r="K7" s="10"/>
      <c r="M7" s="124"/>
      <c r="N7" s="124"/>
      <c r="R7" s="138" t="s">
        <v>437</v>
      </c>
    </row>
    <row r="8" spans="1:27" ht="15" customHeight="1" x14ac:dyDescent="0.25">
      <c r="A8" s="124">
        <v>1</v>
      </c>
      <c r="F8" s="273" t="s">
        <v>422</v>
      </c>
      <c r="G8" s="31" t="s">
        <v>206</v>
      </c>
      <c r="H8" s="272" t="s">
        <v>393</v>
      </c>
      <c r="I8" s="272"/>
      <c r="K8" s="8" t="s">
        <v>430</v>
      </c>
      <c r="L8" s="132">
        <f>IFERROR(VLOOKUP(H8,MENU!B8:Y29,24,FALSE),0)</f>
        <v>0</v>
      </c>
      <c r="M8" s="124">
        <f>IF(OR(H$22=1,H$24=1,H$26=1,H$28=1),0,1)</f>
        <v>0</v>
      </c>
      <c r="N8" s="124">
        <f>IF(OR(L8=0,AND(L8=1,M8=1)),1,0)</f>
        <v>1</v>
      </c>
      <c r="O8" s="124">
        <f>IF(H8="",0,1)</f>
        <v>1</v>
      </c>
      <c r="P8" s="124">
        <f>+IF(H8="N",0,1)</f>
        <v>1</v>
      </c>
      <c r="Q8" s="124">
        <f>+N8*O8*P8</f>
        <v>1</v>
      </c>
      <c r="R8" s="138">
        <f>IF(Q8=1,1,"")</f>
        <v>1</v>
      </c>
    </row>
    <row r="9" spans="1:27" ht="15" customHeight="1" x14ac:dyDescent="0.25">
      <c r="A9" s="124">
        <f>+B9*C9</f>
        <v>1</v>
      </c>
      <c r="B9" s="124">
        <f>IF(OR(H$8="N",L8=1),0,1)</f>
        <v>1</v>
      </c>
      <c r="C9" s="193">
        <f>+IF($H$8=MENU!$B$28,0,1)</f>
        <v>1</v>
      </c>
      <c r="F9" s="273"/>
      <c r="G9" s="31" t="s">
        <v>448</v>
      </c>
      <c r="H9" s="272" t="s">
        <v>269</v>
      </c>
      <c r="I9" s="272"/>
      <c r="K9" s="10" t="s">
        <v>11</v>
      </c>
      <c r="L9" s="132">
        <f>IFERROR(VLOOKUP(H13,MENU!B8:Y29,24,FALSE),0)</f>
        <v>1</v>
      </c>
      <c r="M9" s="124">
        <f>IF(OR(H$22=2,H$24=2,H$26=2,H$28=2),0,1)</f>
        <v>0</v>
      </c>
      <c r="N9" s="124">
        <f>IF(OR(L9=0,AND(L9=1,M9=1)),1,0)</f>
        <v>0</v>
      </c>
      <c r="O9" s="124">
        <f>IF(H13="",0,1)</f>
        <v>1</v>
      </c>
      <c r="P9" s="124">
        <f>+IF(H13="N",0,1)</f>
        <v>1</v>
      </c>
      <c r="Q9" s="124">
        <f>+N9*O9*P9</f>
        <v>0</v>
      </c>
      <c r="R9" s="138" t="str">
        <f>IF(Q9=1,2,"")</f>
        <v/>
      </c>
      <c r="S9" s="162"/>
    </row>
    <row r="10" spans="1:27" ht="15" customHeight="1" x14ac:dyDescent="0.25">
      <c r="A10" s="193">
        <f>+B10*C10</f>
        <v>1</v>
      </c>
      <c r="B10" s="124">
        <f>IF(OR(H$8="N",L8=1),0,1)</f>
        <v>1</v>
      </c>
      <c r="C10" s="193">
        <f>+IF($H$8=MENU!$B$28,0,1)</f>
        <v>1</v>
      </c>
      <c r="F10" s="273"/>
      <c r="G10" s="31" t="s">
        <v>176</v>
      </c>
      <c r="H10" s="272" t="s">
        <v>404</v>
      </c>
      <c r="I10" s="272"/>
      <c r="K10" s="10" t="s">
        <v>172</v>
      </c>
      <c r="S10" s="162"/>
    </row>
    <row r="11" spans="1:27" ht="15" customHeight="1" x14ac:dyDescent="0.25">
      <c r="A11" s="124">
        <f>IF(H$8="N",0,1)</f>
        <v>1</v>
      </c>
      <c r="F11" s="273"/>
      <c r="G11" s="31" t="s">
        <v>449</v>
      </c>
      <c r="H11" s="272" t="s">
        <v>60</v>
      </c>
      <c r="I11" s="272"/>
      <c r="K11" s="10" t="s">
        <v>99</v>
      </c>
      <c r="S11" s="162"/>
      <c r="T11" s="162"/>
      <c r="U11" s="162"/>
      <c r="V11" s="162"/>
      <c r="W11" s="162"/>
      <c r="X11" s="162"/>
      <c r="Y11" s="162"/>
      <c r="Z11" s="162"/>
      <c r="AA11" s="162"/>
    </row>
    <row r="12" spans="1:27" ht="15" customHeight="1" x14ac:dyDescent="0.25">
      <c r="A12" s="124">
        <f>IF(H$8="N",0,1)</f>
        <v>1</v>
      </c>
      <c r="F12" s="273"/>
      <c r="G12" s="31" t="s">
        <v>450</v>
      </c>
      <c r="H12" s="272" t="s">
        <v>63</v>
      </c>
      <c r="I12" s="272"/>
      <c r="K12" s="10" t="str">
        <f>VLOOKUP(H11,Material!A2:B10,2,FALSE)</f>
        <v>Humiseal</v>
      </c>
    </row>
    <row r="13" spans="1:27" ht="15" customHeight="1" x14ac:dyDescent="0.25">
      <c r="A13" s="193">
        <f>+IF($H$8=MENU!$B$28,0,1)</f>
        <v>1</v>
      </c>
      <c r="B13" s="124"/>
      <c r="F13" s="273"/>
      <c r="G13" s="31" t="s">
        <v>207</v>
      </c>
      <c r="H13" s="272" t="s">
        <v>335</v>
      </c>
      <c r="I13" s="272"/>
      <c r="K13" s="8" t="s">
        <v>430</v>
      </c>
    </row>
    <row r="14" spans="1:27" ht="15" hidden="1" customHeight="1" x14ac:dyDescent="0.3">
      <c r="A14" s="193">
        <f>+B14*C14</f>
        <v>0</v>
      </c>
      <c r="B14" s="124">
        <f>IF(OR(H$13="N",L9=1),0,1)</f>
        <v>0</v>
      </c>
      <c r="C14" s="193">
        <f>+IF($H$8=MENU!$B$28,0,1)</f>
        <v>1</v>
      </c>
      <c r="F14" s="273"/>
      <c r="G14" s="31" t="s">
        <v>451</v>
      </c>
      <c r="H14" s="272"/>
      <c r="I14" s="272"/>
      <c r="K14" s="10" t="s">
        <v>11</v>
      </c>
    </row>
    <row r="15" spans="1:27" ht="15" hidden="1" customHeight="1" x14ac:dyDescent="0.3">
      <c r="A15" s="193">
        <f>+B15*C15</f>
        <v>0</v>
      </c>
      <c r="B15" s="124">
        <f>IF(OR(H10="N",H$13="N",L9=1),0,1)</f>
        <v>0</v>
      </c>
      <c r="C15" s="193">
        <f>+IF($H$8=MENU!$B$28,0,1)</f>
        <v>1</v>
      </c>
      <c r="F15" s="273"/>
      <c r="G15" s="31" t="s">
        <v>177</v>
      </c>
      <c r="H15" s="272"/>
      <c r="I15" s="272"/>
      <c r="K15" s="10" t="s">
        <v>11</v>
      </c>
    </row>
    <row r="16" spans="1:27" ht="15" customHeight="1" x14ac:dyDescent="0.25">
      <c r="A16" s="193">
        <f>+B16*C16</f>
        <v>1</v>
      </c>
      <c r="B16" s="124">
        <f>IF(H$13="N",0,1)</f>
        <v>1</v>
      </c>
      <c r="C16" s="193">
        <f>+IF($H$8=MENU!$B$28,0,1)</f>
        <v>1</v>
      </c>
      <c r="F16" s="273"/>
      <c r="G16" s="31" t="s">
        <v>452</v>
      </c>
      <c r="H16" s="272" t="s">
        <v>60</v>
      </c>
      <c r="I16" s="272"/>
      <c r="K16" s="10" t="s">
        <v>99</v>
      </c>
    </row>
    <row r="17" spans="1:47" ht="15" customHeight="1" x14ac:dyDescent="0.25">
      <c r="A17" s="193">
        <f>+B17*C17</f>
        <v>1</v>
      </c>
      <c r="B17" s="124">
        <f>IF(H$13="N",0,1)</f>
        <v>1</v>
      </c>
      <c r="C17" s="193">
        <f>+IF($H$8=MENU!$B$28,0,1)</f>
        <v>1</v>
      </c>
      <c r="F17" s="274"/>
      <c r="G17" s="31" t="s">
        <v>453</v>
      </c>
      <c r="H17" s="272" t="s">
        <v>64</v>
      </c>
      <c r="I17" s="272"/>
      <c r="K17" s="10" t="str">
        <f>VLOOKUP(H16,Material!A2:B10,2,FALSE)</f>
        <v>Humiseal</v>
      </c>
    </row>
    <row r="18" spans="1:47" ht="15" customHeight="1" x14ac:dyDescent="0.25">
      <c r="A18" s="124">
        <v>1</v>
      </c>
      <c r="F18" s="232"/>
      <c r="G18" s="13"/>
      <c r="H18" s="13"/>
      <c r="I18" s="90"/>
      <c r="K18" s="10"/>
      <c r="S18" s="290" t="str">
        <f>IF(OR(H19="N",H19=""),"",H19)</f>
        <v>Servo 4th Axis with 3 Dispense Stations and (2) Two Position Tilts</v>
      </c>
      <c r="T18" s="290"/>
      <c r="U18" s="290"/>
      <c r="V18" s="290"/>
      <c r="W18" s="290"/>
      <c r="X18" s="290"/>
      <c r="Y18" s="290"/>
    </row>
    <row r="19" spans="1:47" x14ac:dyDescent="0.25">
      <c r="A19" s="124">
        <v>1</v>
      </c>
      <c r="F19" s="126" t="s">
        <v>423</v>
      </c>
      <c r="G19" s="31" t="s">
        <v>409</v>
      </c>
      <c r="H19" s="289" t="s">
        <v>486</v>
      </c>
      <c r="I19" s="272"/>
      <c r="K19" s="10" t="str">
        <f>+MENU!E32</f>
        <v>DISPENSE_HEAD</v>
      </c>
      <c r="L19" s="130">
        <f>IFERROR(VLOOKUP(H19,MENU!B33:Y41,24,FALSE),0)</f>
        <v>3</v>
      </c>
    </row>
    <row r="20" spans="1:47" ht="15" customHeight="1" x14ac:dyDescent="0.25">
      <c r="A20" s="228">
        <f>IF(OR(H$19="N",H19=""),0,1)</f>
        <v>1</v>
      </c>
      <c r="F20" s="125"/>
      <c r="G20" s="31"/>
      <c r="H20" s="37"/>
      <c r="I20" s="30"/>
      <c r="K20" s="10"/>
    </row>
    <row r="21" spans="1:47" ht="15" customHeight="1" x14ac:dyDescent="0.25">
      <c r="A21" s="124">
        <f>+B21*C21</f>
        <v>1</v>
      </c>
      <c r="B21" s="228">
        <f>IF(L$19&gt;=1,1,0)</f>
        <v>1</v>
      </c>
      <c r="C21" s="228">
        <f>+IF(OR($H$19=MENU!$B$39,$H$19=MENU!$B$40),0,1)</f>
        <v>1</v>
      </c>
      <c r="F21" s="273" t="s">
        <v>424</v>
      </c>
      <c r="G21" s="31" t="s">
        <v>499</v>
      </c>
      <c r="H21" s="272" t="s">
        <v>9</v>
      </c>
      <c r="I21" s="272"/>
      <c r="K21" s="10" t="str">
        <f>IF(L$28&gt;=2,"POD_NOSPRAY","POD")</f>
        <v>POD</v>
      </c>
      <c r="L21" s="130">
        <f>IFERROR(VLOOKUP(H21,MENU!B$44:Y$52,24,FALSE),0)</f>
        <v>0</v>
      </c>
    </row>
    <row r="22" spans="1:47" ht="15" customHeight="1" x14ac:dyDescent="0.25">
      <c r="A22" s="124">
        <f>+B22*C22*D22</f>
        <v>1</v>
      </c>
      <c r="B22" s="124">
        <f>IF(AND(L$19&gt;=1,H21&lt;&gt;"N"),1,0)</f>
        <v>1</v>
      </c>
      <c r="C22" s="193">
        <v>1</v>
      </c>
      <c r="D22" s="193">
        <f>+IF(OR($H$19=MENU!$B$39,$H$19=MENU!$B$40),0,1)</f>
        <v>1</v>
      </c>
      <c r="F22" s="273"/>
      <c r="G22" s="31" t="s">
        <v>500</v>
      </c>
      <c r="H22" s="272">
        <v>1</v>
      </c>
      <c r="I22" s="272"/>
      <c r="K22" s="12" t="s">
        <v>437</v>
      </c>
    </row>
    <row r="23" spans="1:47" ht="15" customHeight="1" x14ac:dyDescent="0.25">
      <c r="A23" s="124">
        <f>IF(L$19&gt;=2,1,0)</f>
        <v>1</v>
      </c>
      <c r="F23" s="273"/>
      <c r="G23" s="31" t="s">
        <v>501</v>
      </c>
      <c r="H23" s="272" t="s">
        <v>2</v>
      </c>
      <c r="I23" s="272"/>
      <c r="K23" s="10" t="str">
        <f>IF(L$28&gt;=2,"POD_NOSPRAY","POD")</f>
        <v>POD</v>
      </c>
      <c r="L23" s="130">
        <f>IFERROR(VLOOKUP(H23,MENU!B$44:Y$52,24,FALSE),0)</f>
        <v>0</v>
      </c>
    </row>
    <row r="24" spans="1:47" ht="15" customHeight="1" x14ac:dyDescent="0.25">
      <c r="A24" s="193">
        <f>+B24*C24</f>
        <v>1</v>
      </c>
      <c r="B24" s="124">
        <f>IF(AND(L$19&gt;=2,H23&lt;&gt;"N"),1,0)</f>
        <v>1</v>
      </c>
      <c r="C24" s="208">
        <v>1</v>
      </c>
      <c r="F24" s="273"/>
      <c r="G24" s="31" t="s">
        <v>502</v>
      </c>
      <c r="H24" s="272">
        <v>1</v>
      </c>
      <c r="I24" s="272"/>
      <c r="K24" s="12" t="s">
        <v>437</v>
      </c>
    </row>
    <row r="25" spans="1:47" ht="15" customHeight="1" x14ac:dyDescent="0.25">
      <c r="A25" s="124">
        <f>IF(L$19&gt;=3,1,0)</f>
        <v>1</v>
      </c>
      <c r="F25" s="273"/>
      <c r="G25" s="31" t="s">
        <v>526</v>
      </c>
      <c r="H25" s="272" t="s">
        <v>1</v>
      </c>
      <c r="I25" s="272"/>
      <c r="K25" s="10" t="str">
        <f>IF(L$28&gt;=2,"POD_NOSPRAY","POD")</f>
        <v>POD</v>
      </c>
      <c r="L25" s="130">
        <f>IFERROR(VLOOKUP(H25,MENU!B$44:Y$52,24,FALSE),0)</f>
        <v>0</v>
      </c>
    </row>
    <row r="26" spans="1:47" ht="15" customHeight="1" x14ac:dyDescent="0.25">
      <c r="A26" s="193">
        <f>+B26*C26</f>
        <v>1</v>
      </c>
      <c r="B26" s="124">
        <f>IF(AND(L$19&gt;=3,H25&lt;&gt;"N"),1,0)</f>
        <v>1</v>
      </c>
      <c r="C26" s="208">
        <v>1</v>
      </c>
      <c r="F26" s="273"/>
      <c r="G26" s="31" t="s">
        <v>503</v>
      </c>
      <c r="H26" s="272">
        <v>2</v>
      </c>
      <c r="I26" s="272"/>
      <c r="K26" s="12" t="s">
        <v>437</v>
      </c>
      <c r="S26" s="162"/>
      <c r="T26" s="175"/>
      <c r="U26" s="175"/>
      <c r="V26" s="175"/>
      <c r="W26" s="175"/>
      <c r="X26" s="175"/>
      <c r="Y26" s="175"/>
      <c r="Z26" s="175"/>
      <c r="AA26" s="175"/>
      <c r="AB26" s="175"/>
      <c r="AC26" s="175"/>
      <c r="AD26" s="175"/>
      <c r="AE26" s="175"/>
      <c r="AF26" s="175"/>
      <c r="AG26" s="175"/>
      <c r="AH26" s="175"/>
      <c r="AI26" s="175"/>
      <c r="AN26" s="175"/>
      <c r="AO26" s="175"/>
      <c r="AP26" s="175"/>
      <c r="AQ26" s="175"/>
      <c r="AR26" s="175"/>
      <c r="AS26" s="175"/>
      <c r="AT26" s="175"/>
      <c r="AU26" s="175"/>
    </row>
    <row r="27" spans="1:47" ht="15" hidden="1" customHeight="1" x14ac:dyDescent="0.3">
      <c r="A27" s="124">
        <f>IF(L$19=4,1,0)</f>
        <v>0</v>
      </c>
      <c r="F27" s="273"/>
      <c r="G27" s="31" t="s">
        <v>504</v>
      </c>
      <c r="H27" s="272"/>
      <c r="I27" s="272"/>
      <c r="K27" s="10" t="str">
        <f>IF(L$28&gt;=2,"POD_NOSPRAY","POD")</f>
        <v>POD</v>
      </c>
      <c r="L27" s="130">
        <f>IFERROR(VLOOKUP(H27,MENU!B$44:Y$52,24,FALSE),0)</f>
        <v>0</v>
      </c>
      <c r="S27" s="162"/>
      <c r="T27" s="175"/>
      <c r="U27" s="175"/>
      <c r="V27" s="175"/>
      <c r="W27" s="175"/>
      <c r="X27" s="175"/>
      <c r="Y27" s="175"/>
      <c r="Z27" s="175"/>
      <c r="AA27" s="175"/>
      <c r="AB27" s="175"/>
      <c r="AC27" s="175"/>
      <c r="AD27" s="175"/>
      <c r="AE27" s="175"/>
      <c r="AF27" s="175"/>
      <c r="AG27" s="175"/>
      <c r="AH27" s="175"/>
      <c r="AI27" s="175"/>
      <c r="AN27" s="175"/>
      <c r="AO27" s="175"/>
      <c r="AP27" s="175"/>
      <c r="AQ27" s="175"/>
      <c r="AR27" s="175"/>
      <c r="AS27" s="175"/>
      <c r="AT27" s="175"/>
      <c r="AU27" s="175"/>
    </row>
    <row r="28" spans="1:47" ht="15" hidden="1" customHeight="1" x14ac:dyDescent="0.3">
      <c r="A28" s="193">
        <f>+B28*C28</f>
        <v>0</v>
      </c>
      <c r="B28" s="124">
        <f>IF(AND(L$19=4,H27&lt;&gt;"N"),1,0)</f>
        <v>0</v>
      </c>
      <c r="C28" s="208">
        <v>1</v>
      </c>
      <c r="F28" s="273"/>
      <c r="G28" s="31" t="s">
        <v>505</v>
      </c>
      <c r="H28" s="272"/>
      <c r="I28" s="272"/>
      <c r="K28" s="12" t="s">
        <v>437</v>
      </c>
      <c r="L28" s="130">
        <f>L21+L23+L25+L27</f>
        <v>0</v>
      </c>
      <c r="S28" s="162"/>
      <c r="T28" s="175"/>
      <c r="U28" s="175"/>
      <c r="V28" s="175"/>
      <c r="W28" s="175"/>
      <c r="X28" s="175"/>
      <c r="Y28" s="175"/>
      <c r="Z28" s="175"/>
      <c r="AA28" s="175"/>
      <c r="AB28" s="175"/>
      <c r="AC28" s="175"/>
      <c r="AD28" s="175"/>
      <c r="AE28" s="175"/>
      <c r="AF28" s="175"/>
      <c r="AG28" s="175"/>
      <c r="AH28" s="175"/>
      <c r="AI28" s="175"/>
      <c r="AN28" s="175"/>
      <c r="AO28" s="175"/>
      <c r="AP28" s="175"/>
      <c r="AQ28" s="175"/>
      <c r="AR28" s="175"/>
      <c r="AS28" s="175"/>
      <c r="AT28" s="175"/>
      <c r="AU28" s="175"/>
    </row>
    <row r="29" spans="1:47" x14ac:dyDescent="0.25">
      <c r="A29" s="124">
        <v>1</v>
      </c>
      <c r="F29" s="233"/>
      <c r="G29" s="234"/>
      <c r="H29" s="234"/>
      <c r="I29" s="235"/>
      <c r="K29" s="10"/>
      <c r="S29" s="162"/>
      <c r="T29" s="175"/>
      <c r="U29" s="175"/>
      <c r="V29" s="175"/>
      <c r="W29" s="175"/>
      <c r="X29" s="175"/>
      <c r="Y29" s="175"/>
      <c r="Z29" s="175"/>
      <c r="AA29" s="175"/>
      <c r="AB29" s="175"/>
      <c r="AC29" s="175"/>
      <c r="AD29" s="175"/>
      <c r="AE29" s="175"/>
      <c r="AF29" s="175"/>
      <c r="AG29" s="175"/>
      <c r="AH29" s="175"/>
      <c r="AI29" s="175"/>
      <c r="AN29" s="175"/>
      <c r="AO29" s="175"/>
      <c r="AP29" s="175"/>
      <c r="AQ29" s="175"/>
      <c r="AR29" s="175"/>
      <c r="AS29" s="175"/>
      <c r="AT29" s="175"/>
      <c r="AU29" s="175"/>
    </row>
    <row r="30" spans="1:47" x14ac:dyDescent="0.25">
      <c r="A30" s="124">
        <v>1</v>
      </c>
      <c r="F30" s="273" t="s">
        <v>425</v>
      </c>
      <c r="G30" s="117" t="str">
        <f>+IF(H30="","Part Handling",IF(B31=0,"Fixture","Conveyor"))</f>
        <v>Conveyor</v>
      </c>
      <c r="H30" s="272" t="s">
        <v>527</v>
      </c>
      <c r="I30" s="272"/>
      <c r="K30" s="10" t="str">
        <f>+MENU!E55</f>
        <v>CONVEYOR</v>
      </c>
      <c r="S30" s="162"/>
      <c r="T30" s="175"/>
      <c r="U30" s="175"/>
      <c r="V30" s="175"/>
      <c r="W30" s="175"/>
      <c r="X30" s="175"/>
      <c r="Y30" s="175"/>
      <c r="Z30" s="175"/>
      <c r="AA30" s="175"/>
      <c r="AB30" s="175"/>
      <c r="AC30" s="175"/>
      <c r="AD30" s="175"/>
      <c r="AE30" s="175"/>
      <c r="AF30" s="175"/>
      <c r="AG30" s="175"/>
      <c r="AH30" s="175"/>
      <c r="AI30" s="175"/>
      <c r="AN30" s="175"/>
      <c r="AO30" s="175"/>
      <c r="AP30" s="175"/>
      <c r="AQ30" s="175"/>
      <c r="AR30" s="175"/>
      <c r="AS30" s="175"/>
      <c r="AT30" s="175"/>
      <c r="AU30" s="175"/>
    </row>
    <row r="31" spans="1:47" ht="15" customHeight="1" x14ac:dyDescent="0.25">
      <c r="A31" s="124">
        <f>+B31*C31</f>
        <v>1</v>
      </c>
      <c r="B31" s="193">
        <f>+IF($H$30=MENU!$B$57,0,1)</f>
        <v>1</v>
      </c>
      <c r="C31" s="124">
        <f>IF(H$30="N",0,1)</f>
        <v>1</v>
      </c>
      <c r="F31" s="273"/>
      <c r="G31" s="117" t="s">
        <v>13</v>
      </c>
      <c r="H31" s="272" t="s">
        <v>16</v>
      </c>
      <c r="I31" s="272"/>
      <c r="K31" s="10" t="str">
        <f>+Data!B3</f>
        <v>Direction</v>
      </c>
      <c r="T31" s="175"/>
      <c r="U31" s="175"/>
      <c r="V31" s="175"/>
      <c r="W31" s="175"/>
      <c r="X31" s="175"/>
      <c r="Y31" s="175"/>
      <c r="Z31" s="175"/>
      <c r="AA31" s="175"/>
      <c r="AB31" s="175"/>
      <c r="AC31" s="175"/>
      <c r="AD31" s="175"/>
      <c r="AE31" s="175"/>
      <c r="AF31" s="175"/>
      <c r="AG31" s="175"/>
      <c r="AH31" s="175"/>
      <c r="AI31" s="175"/>
      <c r="AN31" s="175"/>
      <c r="AO31" s="175"/>
      <c r="AP31" s="175"/>
      <c r="AQ31" s="175"/>
    </row>
    <row r="32" spans="1:47" ht="15" customHeight="1" x14ac:dyDescent="0.25">
      <c r="A32" s="221">
        <f>+B32*C32</f>
        <v>1</v>
      </c>
      <c r="B32" s="221">
        <f>+IF($H$30=MENU!$B$57,0,1)</f>
        <v>1</v>
      </c>
      <c r="C32" s="221">
        <f>IF(H$30="N",0,1)</f>
        <v>1</v>
      </c>
      <c r="D32" s="221"/>
      <c r="E32" s="221"/>
      <c r="F32" s="273"/>
      <c r="G32" s="117" t="s">
        <v>608</v>
      </c>
      <c r="H32" s="272" t="s">
        <v>593</v>
      </c>
      <c r="I32" s="272"/>
      <c r="K32" s="10" t="s">
        <v>607</v>
      </c>
      <c r="M32" s="220"/>
      <c r="T32" s="175"/>
      <c r="U32" s="175"/>
      <c r="V32" s="175"/>
      <c r="W32" s="175"/>
      <c r="X32" s="175"/>
      <c r="Y32" s="175"/>
      <c r="Z32" s="175"/>
      <c r="AA32" s="175"/>
      <c r="AB32" s="175"/>
      <c r="AC32" s="175"/>
      <c r="AD32" s="175"/>
      <c r="AE32" s="175"/>
      <c r="AF32" s="175"/>
      <c r="AG32" s="175"/>
      <c r="AH32" s="175"/>
      <c r="AI32" s="175"/>
      <c r="AN32" s="175"/>
      <c r="AO32" s="175"/>
      <c r="AP32" s="175"/>
      <c r="AQ32" s="175"/>
    </row>
    <row r="33" spans="1:43" ht="15" customHeight="1" x14ac:dyDescent="0.25">
      <c r="A33" s="196">
        <f>+B33*C33</f>
        <v>1</v>
      </c>
      <c r="B33" s="196">
        <f>+IF($H$30=MENU!$B$57,0,1)</f>
        <v>1</v>
      </c>
      <c r="C33" s="124">
        <f>IF(H$30="N",0,1)</f>
        <v>1</v>
      </c>
      <c r="F33" s="273"/>
      <c r="G33" s="117" t="str">
        <f>+MENU!B64</f>
        <v>Barcode - Mounted on Conveyor Inlet with P Select</v>
      </c>
      <c r="H33" s="272" t="s">
        <v>404</v>
      </c>
      <c r="I33" s="272"/>
      <c r="K33" s="10" t="str">
        <f>IF(L33=1,"No","YesNo")</f>
        <v>YesNo</v>
      </c>
      <c r="L33" s="130">
        <f>+IF(H32=MENU!B67,1,0)</f>
        <v>0</v>
      </c>
      <c r="T33" s="175"/>
      <c r="U33" s="175"/>
      <c r="V33" s="175"/>
      <c r="W33" s="175"/>
      <c r="X33" s="175"/>
      <c r="Y33" s="175"/>
      <c r="Z33" s="175"/>
      <c r="AA33" s="175"/>
      <c r="AB33" s="175"/>
      <c r="AC33" s="175"/>
      <c r="AD33" s="175"/>
      <c r="AE33" s="175"/>
      <c r="AF33" s="175"/>
      <c r="AG33" s="175"/>
      <c r="AH33" s="175"/>
      <c r="AI33" s="175"/>
      <c r="AN33" s="175"/>
      <c r="AO33" s="175"/>
      <c r="AP33" s="175"/>
      <c r="AQ33" s="175"/>
    </row>
    <row r="34" spans="1:43" ht="15" customHeight="1" x14ac:dyDescent="0.25">
      <c r="A34" s="124">
        <v>1</v>
      </c>
      <c r="B34" s="196"/>
      <c r="F34" s="233"/>
      <c r="G34" s="234"/>
      <c r="H34" s="234"/>
      <c r="I34" s="235"/>
      <c r="K34" s="10"/>
      <c r="T34" s="175"/>
      <c r="U34" s="175"/>
      <c r="V34" s="175"/>
      <c r="W34" s="175"/>
      <c r="X34" s="175"/>
      <c r="Y34" s="175"/>
      <c r="Z34" s="175"/>
      <c r="AA34" s="175"/>
      <c r="AB34" s="175"/>
      <c r="AC34" s="175"/>
      <c r="AD34" s="175"/>
      <c r="AE34" s="175"/>
      <c r="AF34" s="175"/>
      <c r="AG34" s="175"/>
      <c r="AH34" s="175"/>
      <c r="AI34" s="175"/>
      <c r="AN34" s="175"/>
      <c r="AO34" s="175"/>
      <c r="AP34" s="175"/>
      <c r="AQ34" s="175"/>
    </row>
    <row r="35" spans="1:43" x14ac:dyDescent="0.25">
      <c r="A35" s="141">
        <v>1</v>
      </c>
      <c r="F35" s="126" t="s">
        <v>426</v>
      </c>
      <c r="G35" s="31" t="s">
        <v>433</v>
      </c>
      <c r="H35" s="272" t="s">
        <v>470</v>
      </c>
      <c r="I35" s="272"/>
      <c r="K35" s="10" t="str">
        <f>+MENU!E70</f>
        <v>CAMERA</v>
      </c>
      <c r="T35" s="175"/>
      <c r="U35" s="175"/>
      <c r="V35" s="175"/>
      <c r="W35" s="175"/>
      <c r="X35" s="175"/>
      <c r="Y35" s="175"/>
      <c r="Z35" s="175"/>
      <c r="AA35" s="175"/>
      <c r="AB35" s="175"/>
      <c r="AC35" s="175"/>
      <c r="AD35" s="175"/>
      <c r="AE35" s="175"/>
      <c r="AF35" s="175"/>
      <c r="AG35" s="175"/>
      <c r="AH35" s="175"/>
      <c r="AI35" s="175"/>
      <c r="AN35" s="175"/>
      <c r="AO35" s="175"/>
      <c r="AP35" s="175"/>
      <c r="AQ35" s="175"/>
    </row>
    <row r="36" spans="1:43" x14ac:dyDescent="0.25">
      <c r="A36" s="141">
        <v>1</v>
      </c>
      <c r="F36" s="233"/>
      <c r="G36" s="234"/>
      <c r="H36" s="234"/>
      <c r="I36" s="235"/>
      <c r="K36" s="10"/>
      <c r="T36" s="175"/>
      <c r="U36" s="175"/>
      <c r="V36" s="175"/>
      <c r="W36" s="175"/>
      <c r="X36" s="175"/>
      <c r="Y36" s="175"/>
      <c r="Z36" s="175"/>
      <c r="AA36" s="175"/>
      <c r="AB36" s="175"/>
      <c r="AC36" s="175"/>
      <c r="AD36" s="175"/>
      <c r="AE36" s="175"/>
      <c r="AF36" s="175"/>
      <c r="AG36" s="175"/>
      <c r="AH36" s="175"/>
      <c r="AI36" s="175"/>
    </row>
    <row r="37" spans="1:43" x14ac:dyDescent="0.25">
      <c r="A37" s="196">
        <f>+B37*C37*D37</f>
        <v>1</v>
      </c>
      <c r="B37" s="196">
        <f>+IF($H$30=MENU!$B$57,0,1)</f>
        <v>1</v>
      </c>
      <c r="C37" s="196">
        <f>IF(H$30="N",0,1)</f>
        <v>1</v>
      </c>
      <c r="D37" s="228">
        <f>+IF($H$8=MENU!$B$28,0,1)</f>
        <v>1</v>
      </c>
      <c r="F37" s="274" t="s">
        <v>427</v>
      </c>
      <c r="G37" s="117" t="str">
        <f>+MENU!B75</f>
        <v>Fan Width Sensor</v>
      </c>
      <c r="H37" s="272" t="s">
        <v>404</v>
      </c>
      <c r="I37" s="272"/>
      <c r="K37" s="10" t="str">
        <f>IF(L37=0,"No","YesNo")</f>
        <v>YesNo</v>
      </c>
      <c r="L37" s="130">
        <f>+IF(H38="Y",0,1)</f>
        <v>1</v>
      </c>
      <c r="T37" s="175"/>
      <c r="U37" s="175"/>
      <c r="V37" s="175"/>
      <c r="W37" s="175"/>
      <c r="X37" s="175"/>
      <c r="Y37" s="175"/>
      <c r="Z37" s="175"/>
      <c r="AA37" s="175"/>
      <c r="AB37" s="175"/>
      <c r="AC37" s="175"/>
      <c r="AD37" s="175"/>
      <c r="AE37" s="175"/>
      <c r="AF37" s="175"/>
      <c r="AG37" s="175"/>
      <c r="AH37" s="175"/>
      <c r="AI37" s="175"/>
    </row>
    <row r="38" spans="1:43" ht="14.45" hidden="1" x14ac:dyDescent="0.3">
      <c r="A38" s="124">
        <f>+B38*C38*D38</f>
        <v>0</v>
      </c>
      <c r="B38" s="228">
        <f>+IF($H$30=MENU!$B$57,0,1)</f>
        <v>1</v>
      </c>
      <c r="C38" s="228">
        <f>IF(H$30="N",0,1)</f>
        <v>1</v>
      </c>
      <c r="D38" s="228">
        <f>+IF($H$8=MENU!$B$28,1,0)</f>
        <v>0</v>
      </c>
      <c r="E38" s="228"/>
      <c r="F38" s="274"/>
      <c r="G38" s="117" t="str">
        <f>+MENU!B76</f>
        <v>Fan Width Sensor with Continuous Film Calibration</v>
      </c>
      <c r="H38" s="272"/>
      <c r="I38" s="272"/>
      <c r="K38" s="10" t="str">
        <f>IF(L38=0,"No","YesNo")</f>
        <v>YesNo</v>
      </c>
      <c r="L38" s="239">
        <f>+IF(H37="Y",0,1)</f>
        <v>1</v>
      </c>
      <c r="T38" s="175"/>
      <c r="U38" s="175"/>
      <c r="V38" s="175"/>
      <c r="W38" s="175"/>
      <c r="X38" s="175"/>
      <c r="Y38" s="175"/>
      <c r="Z38" s="175"/>
      <c r="AA38" s="175"/>
      <c r="AB38" s="175"/>
      <c r="AC38" s="175"/>
      <c r="AD38" s="175"/>
      <c r="AE38" s="175"/>
      <c r="AF38" s="175"/>
      <c r="AG38" s="175"/>
      <c r="AH38" s="175"/>
      <c r="AI38" s="175"/>
    </row>
    <row r="39" spans="1:43" ht="15" customHeight="1" x14ac:dyDescent="0.25">
      <c r="A39" s="196">
        <f>+B39*C39</f>
        <v>1</v>
      </c>
      <c r="B39" s="196">
        <f>+IF($H$30=MENU!$B$57,0,1)</f>
        <v>1</v>
      </c>
      <c r="C39" s="196">
        <f>IF(H$30="N",0,1)</f>
        <v>1</v>
      </c>
      <c r="F39" s="274"/>
      <c r="G39" s="117" t="str">
        <f>+MENU!B77</f>
        <v>Needle Calibration, 3 axis</v>
      </c>
      <c r="H39" s="272" t="s">
        <v>404</v>
      </c>
      <c r="I39" s="272"/>
      <c r="K39" s="10" t="s">
        <v>11</v>
      </c>
      <c r="T39" s="175"/>
      <c r="U39" s="175"/>
      <c r="V39" s="175"/>
      <c r="W39" s="175"/>
      <c r="X39" s="175"/>
      <c r="Y39" s="175"/>
      <c r="Z39" s="175"/>
      <c r="AA39" s="175"/>
      <c r="AB39" s="175"/>
      <c r="AC39" s="175"/>
      <c r="AD39" s="175"/>
      <c r="AE39" s="175"/>
      <c r="AF39" s="175"/>
      <c r="AG39" s="175"/>
      <c r="AH39" s="175"/>
      <c r="AI39" s="175"/>
    </row>
    <row r="40" spans="1:43" ht="15" customHeight="1" x14ac:dyDescent="0.25">
      <c r="A40" s="124">
        <v>1</v>
      </c>
      <c r="F40" s="274"/>
      <c r="G40" s="117" t="str">
        <f>+MENU!B78</f>
        <v>Black Light</v>
      </c>
      <c r="H40" s="272" t="s">
        <v>269</v>
      </c>
      <c r="I40" s="272"/>
      <c r="K40" s="10" t="s">
        <v>11</v>
      </c>
      <c r="T40" s="175"/>
      <c r="U40" s="175"/>
      <c r="V40" s="175"/>
      <c r="W40" s="175"/>
      <c r="X40" s="175"/>
      <c r="Y40" s="175"/>
      <c r="Z40" s="175"/>
      <c r="AA40" s="175"/>
      <c r="AB40" s="175"/>
      <c r="AC40" s="175"/>
      <c r="AD40" s="175"/>
      <c r="AE40" s="175"/>
      <c r="AF40" s="175"/>
      <c r="AG40" s="175"/>
      <c r="AH40" s="175"/>
      <c r="AI40" s="175"/>
    </row>
    <row r="41" spans="1:43" ht="15" customHeight="1" x14ac:dyDescent="0.25">
      <c r="A41" s="124">
        <v>1</v>
      </c>
      <c r="F41" s="236"/>
      <c r="G41" s="72"/>
      <c r="H41" s="72"/>
      <c r="I41" s="81"/>
      <c r="K41" s="10"/>
      <c r="T41" s="175"/>
      <c r="U41" s="175"/>
      <c r="V41" s="175"/>
      <c r="W41" s="175"/>
      <c r="X41" s="175"/>
      <c r="Y41" s="175"/>
      <c r="Z41" s="175"/>
      <c r="AA41" s="175"/>
      <c r="AB41" s="175"/>
      <c r="AC41" s="175"/>
      <c r="AD41" s="175"/>
      <c r="AE41" s="175"/>
      <c r="AF41" s="175"/>
      <c r="AG41" s="175"/>
      <c r="AH41" s="175"/>
      <c r="AI41" s="175"/>
    </row>
    <row r="42" spans="1:43" x14ac:dyDescent="0.25">
      <c r="A42" s="124">
        <v>1</v>
      </c>
      <c r="F42" s="274" t="s">
        <v>438</v>
      </c>
      <c r="G42" s="109" t="s">
        <v>439</v>
      </c>
      <c r="H42" s="272" t="s">
        <v>404</v>
      </c>
      <c r="I42" s="272"/>
      <c r="K42" s="10" t="s">
        <v>11</v>
      </c>
      <c r="L42" s="133"/>
      <c r="V42" s="178"/>
      <c r="W42" s="178"/>
      <c r="X42" s="178"/>
      <c r="Y42" s="178"/>
      <c r="Z42" s="178"/>
      <c r="AA42" s="178"/>
      <c r="AB42" s="178"/>
      <c r="AC42" s="178"/>
      <c r="AD42" s="178"/>
      <c r="AE42" s="178"/>
      <c r="AF42" s="178"/>
    </row>
    <row r="43" spans="1:43" ht="15" customHeight="1" x14ac:dyDescent="0.25">
      <c r="A43" s="198">
        <f>+IF(H5=Data!C4,1,0)</f>
        <v>1</v>
      </c>
      <c r="B43" s="198"/>
      <c r="C43" s="198"/>
      <c r="D43" s="198"/>
      <c r="E43" s="198"/>
      <c r="F43" s="274"/>
      <c r="G43" s="109" t="str">
        <f>+MENU!B91</f>
        <v>Fume Extractor</v>
      </c>
      <c r="H43" s="272" t="s">
        <v>404</v>
      </c>
      <c r="I43" s="272"/>
      <c r="K43" s="10" t="s">
        <v>11</v>
      </c>
      <c r="L43" s="197"/>
    </row>
    <row r="44" spans="1:43" x14ac:dyDescent="0.25">
      <c r="A44" s="201">
        <v>1</v>
      </c>
      <c r="B44" s="201"/>
      <c r="C44" s="201"/>
      <c r="D44" s="201"/>
      <c r="E44" s="201"/>
      <c r="F44" s="274"/>
      <c r="G44" s="31" t="s">
        <v>441</v>
      </c>
      <c r="H44" s="272" t="s">
        <v>404</v>
      </c>
      <c r="I44" s="272"/>
      <c r="K44" s="10" t="str">
        <f>+MENU!$E$92</f>
        <v>UNMOUNTED</v>
      </c>
      <c r="L44" s="200"/>
    </row>
    <row r="45" spans="1:43" ht="14.45" hidden="1" x14ac:dyDescent="0.3">
      <c r="A45" s="201">
        <f>+B45*C45</f>
        <v>0</v>
      </c>
      <c r="B45" s="201">
        <f>+IF(H44="N",0,1)</f>
        <v>0</v>
      </c>
      <c r="C45" s="201">
        <f>+IF(H44="",0,1)</f>
        <v>1</v>
      </c>
      <c r="D45" s="201"/>
      <c r="E45" s="201"/>
      <c r="F45" s="274"/>
      <c r="G45" s="31" t="s">
        <v>442</v>
      </c>
      <c r="H45" s="272"/>
      <c r="I45" s="272"/>
      <c r="K45" s="10" t="str">
        <f>+MENU!$E$92</f>
        <v>UNMOUNTED</v>
      </c>
      <c r="L45" s="200"/>
    </row>
    <row r="46" spans="1:43" ht="14.45" hidden="1" x14ac:dyDescent="0.3">
      <c r="A46" s="203">
        <f t="shared" ref="A46:A47" si="0">+B46*C46</f>
        <v>0</v>
      </c>
      <c r="B46" s="203">
        <f t="shared" ref="B46:B47" si="1">+IF(H45="N",0,1)</f>
        <v>1</v>
      </c>
      <c r="C46" s="203">
        <f>+IF(H45="",0,1)</f>
        <v>0</v>
      </c>
      <c r="D46" s="201"/>
      <c r="E46" s="201"/>
      <c r="F46" s="274"/>
      <c r="G46" s="31" t="s">
        <v>443</v>
      </c>
      <c r="H46" s="272"/>
      <c r="I46" s="272"/>
      <c r="K46" s="10" t="str">
        <f>+MENU!$E$92</f>
        <v>UNMOUNTED</v>
      </c>
      <c r="L46" s="200"/>
    </row>
    <row r="47" spans="1:43" ht="14.45" hidden="1" x14ac:dyDescent="0.3">
      <c r="A47" s="203">
        <f t="shared" si="0"/>
        <v>0</v>
      </c>
      <c r="B47" s="203">
        <f t="shared" si="1"/>
        <v>1</v>
      </c>
      <c r="C47" s="203">
        <f>+IF(H46="",0,1)</f>
        <v>0</v>
      </c>
      <c r="D47" s="201"/>
      <c r="E47" s="201"/>
      <c r="F47" s="274"/>
      <c r="G47" s="31" t="s">
        <v>444</v>
      </c>
      <c r="H47" s="272"/>
      <c r="I47" s="272"/>
      <c r="K47" s="10" t="str">
        <f>+MENU!$E$92</f>
        <v>UNMOUNTED</v>
      </c>
      <c r="L47" s="200"/>
    </row>
    <row r="48" spans="1:43" ht="15" customHeight="1" x14ac:dyDescent="0.25">
      <c r="F48" s="237"/>
      <c r="G48" s="238"/>
      <c r="H48" s="72"/>
      <c r="I48" s="81"/>
      <c r="K48" s="10"/>
      <c r="L48" s="133"/>
      <c r="T48" s="178"/>
      <c r="U48" s="178"/>
      <c r="V48" s="178"/>
      <c r="W48" s="178"/>
      <c r="X48" s="178"/>
    </row>
    <row r="49" spans="1:25" ht="23.1" customHeight="1" x14ac:dyDescent="0.25">
      <c r="A49" s="184"/>
      <c r="F49" s="259" t="str">
        <f>+CONCATENATE("Lead Time - ",L1," Weeks (ARO)")</f>
        <v>Lead Time - 4 Weeks (ARO)</v>
      </c>
      <c r="G49" s="256"/>
      <c r="H49" s="257" t="s">
        <v>507</v>
      </c>
      <c r="I49" s="262">
        <f>+'WORKCELL BOM'!S68</f>
        <v>35050</v>
      </c>
      <c r="K49" s="10"/>
      <c r="L49" s="183"/>
      <c r="T49" s="178"/>
      <c r="U49" s="178"/>
      <c r="V49" s="178"/>
      <c r="W49" s="178"/>
      <c r="X49" s="178"/>
    </row>
    <row r="50" spans="1:25" ht="23.1" customHeight="1" x14ac:dyDescent="0.25">
      <c r="F50" s="187" t="str">
        <f>IF(B31=0,"",CONCATENATE("Conveyor Rail Available ",'WORKCELL BOM'!O68,"mm"))</f>
        <v>Conveyor Rail Available 0mm</v>
      </c>
      <c r="G50" s="260"/>
      <c r="H50" s="258"/>
      <c r="I50" s="261" t="str">
        <f>CONCATENATE("Work Area Estimate ",'WORKCELL BOM'!M68,"mm x ",'WORKCELL BOM'!N68,"mm")</f>
        <v>Work Area Estimate 326mm x 380mm</v>
      </c>
      <c r="T50" s="291" t="str">
        <f>+IF(I51="Y","MAKE ARRANGEMENTS FOR SAMPLE PARTS","")</f>
        <v>MAKE ARRANGEMENTS FOR SAMPLE PARTS</v>
      </c>
      <c r="U50" s="291"/>
      <c r="V50" s="291"/>
      <c r="W50" s="291"/>
      <c r="X50" s="291"/>
    </row>
    <row r="51" spans="1:25" ht="15" customHeight="1" x14ac:dyDescent="0.25">
      <c r="F51" s="98" t="s">
        <v>338</v>
      </c>
      <c r="G51" s="99">
        <v>42765</v>
      </c>
      <c r="H51" s="96" t="s">
        <v>341</v>
      </c>
      <c r="I51" s="36" t="s">
        <v>269</v>
      </c>
      <c r="K51" t="s">
        <v>11</v>
      </c>
      <c r="L51" s="159"/>
      <c r="M51" s="159"/>
      <c r="N51" s="159"/>
      <c r="O51" s="159"/>
      <c r="P51" s="159"/>
      <c r="Q51" s="159"/>
      <c r="R51" s="159"/>
      <c r="T51" s="291" t="str">
        <f>+IF(I51="Y","MAKE ARRANGEMENTS FOR SAMPLE MATERIAL","")</f>
        <v>MAKE ARRANGEMENTS FOR SAMPLE MATERIAL</v>
      </c>
      <c r="U51" s="291"/>
      <c r="V51" s="291"/>
      <c r="W51" s="291"/>
      <c r="X51" s="291"/>
      <c r="Y51" s="175"/>
    </row>
    <row r="52" spans="1:25" ht="15" customHeight="1" x14ac:dyDescent="0.25">
      <c r="F52" s="212" t="s">
        <v>339</v>
      </c>
      <c r="G52" s="213">
        <f>IF(G51="","",WORKDAY(G54,-8))</f>
        <v>42781</v>
      </c>
      <c r="H52" s="97" t="s">
        <v>343</v>
      </c>
      <c r="I52" s="36" t="s">
        <v>656</v>
      </c>
      <c r="L52" s="159"/>
      <c r="M52" s="159"/>
      <c r="N52" s="159"/>
      <c r="O52" s="159"/>
      <c r="P52" s="159"/>
      <c r="Q52" s="159"/>
      <c r="R52" s="159"/>
      <c r="T52" s="291" t="str">
        <f>+IF(I51="Y","SCHEDULE ACCEPTANCE WITH DAVID FILBERT","")</f>
        <v>SCHEDULE ACCEPTANCE WITH DAVID FILBERT</v>
      </c>
      <c r="U52" s="291"/>
      <c r="V52" s="291"/>
      <c r="W52" s="291"/>
      <c r="X52" s="291"/>
      <c r="Y52" s="175"/>
    </row>
    <row r="53" spans="1:25" ht="15" customHeight="1" x14ac:dyDescent="0.25">
      <c r="F53" s="212" t="s">
        <v>340</v>
      </c>
      <c r="G53" s="213">
        <f>IF(G51="","",WORKDAY(G54,-2))</f>
        <v>42789</v>
      </c>
      <c r="H53" s="97" t="s">
        <v>344</v>
      </c>
      <c r="I53" s="36" t="s">
        <v>657</v>
      </c>
      <c r="Y53" s="175"/>
    </row>
    <row r="54" spans="1:25" ht="15" customHeight="1" x14ac:dyDescent="0.25">
      <c r="F54" s="212" t="str">
        <f>IF(I51="Y","Acceptance","Shipping")</f>
        <v>Acceptance</v>
      </c>
      <c r="G54" s="214">
        <f>IF(G51="","",WORKDAY(G51,(L1*5)))</f>
        <v>42793</v>
      </c>
      <c r="H54" s="97" t="s">
        <v>345</v>
      </c>
      <c r="I54" s="36">
        <v>29254</v>
      </c>
      <c r="Y54" s="162"/>
    </row>
    <row r="55" spans="1:25" ht="30" customHeight="1" x14ac:dyDescent="0.25">
      <c r="F55" s="286" t="s">
        <v>346</v>
      </c>
      <c r="G55" s="287"/>
      <c r="H55" s="287"/>
      <c r="I55" s="288"/>
      <c r="T55" s="162"/>
      <c r="U55" s="162"/>
      <c r="V55" s="162"/>
      <c r="W55" s="162"/>
      <c r="X55" s="162"/>
      <c r="Y55" s="162"/>
    </row>
    <row r="56" spans="1:25" x14ac:dyDescent="0.25">
      <c r="F56" s="29"/>
      <c r="G56" s="8"/>
      <c r="H56" s="26"/>
      <c r="I56" s="30"/>
    </row>
    <row r="57" spans="1:25" ht="25.15" customHeight="1" thickBot="1" x14ac:dyDescent="0.3">
      <c r="F57" s="29"/>
      <c r="G57" s="34" t="s">
        <v>162</v>
      </c>
      <c r="H57" s="144" t="s">
        <v>655</v>
      </c>
      <c r="I57" s="30"/>
      <c r="S57" s="271" t="s">
        <v>640</v>
      </c>
      <c r="T57" s="271"/>
      <c r="U57" s="271"/>
      <c r="W57" s="271" t="s">
        <v>641</v>
      </c>
      <c r="X57" s="271"/>
      <c r="Y57" s="271"/>
    </row>
    <row r="58" spans="1:25" ht="25.15" customHeight="1" thickBot="1" x14ac:dyDescent="0.3">
      <c r="F58" s="29"/>
      <c r="G58" s="34" t="s">
        <v>163</v>
      </c>
      <c r="H58" s="145"/>
      <c r="I58" s="30"/>
    </row>
    <row r="59" spans="1:25" ht="25.15" customHeight="1" thickBot="1" x14ac:dyDescent="0.3">
      <c r="F59" s="29"/>
      <c r="G59" s="34" t="s">
        <v>164</v>
      </c>
      <c r="H59" s="145"/>
      <c r="I59" s="30"/>
    </row>
    <row r="60" spans="1:25" ht="25.15" customHeight="1" thickBot="1" x14ac:dyDescent="0.3">
      <c r="F60" s="29"/>
      <c r="G60" s="34" t="s">
        <v>165</v>
      </c>
      <c r="H60" s="145"/>
      <c r="I60" s="30"/>
    </row>
    <row r="61" spans="1:25" ht="25.15" customHeight="1" thickBot="1" x14ac:dyDescent="0.3">
      <c r="F61" s="29"/>
      <c r="G61" s="34" t="s">
        <v>166</v>
      </c>
      <c r="H61" s="146"/>
      <c r="I61" s="30"/>
    </row>
    <row r="62" spans="1:25" ht="25.15" customHeight="1" thickBot="1" x14ac:dyDescent="0.3">
      <c r="A62" s="180"/>
      <c r="F62" s="29"/>
      <c r="G62" s="34" t="s">
        <v>489</v>
      </c>
      <c r="H62" s="181" t="s">
        <v>534</v>
      </c>
      <c r="I62" s="30"/>
      <c r="K62" t="s">
        <v>490</v>
      </c>
      <c r="L62" s="179"/>
    </row>
    <row r="63" spans="1:25" x14ac:dyDescent="0.25">
      <c r="F63" s="32"/>
      <c r="G63" s="35"/>
      <c r="H63" s="27"/>
      <c r="I63" s="33"/>
    </row>
    <row r="64" spans="1:25" x14ac:dyDescent="0.25">
      <c r="A64" s="124">
        <f>+IF($I$54="",0,1)</f>
        <v>1</v>
      </c>
      <c r="F64" s="277" t="s">
        <v>532</v>
      </c>
      <c r="G64" s="278"/>
      <c r="H64" s="278"/>
      <c r="I64" s="279"/>
    </row>
    <row r="65" spans="1:9" x14ac:dyDescent="0.25">
      <c r="A65" s="205">
        <f t="shared" ref="A65:A69" si="2">+IF($I$54="",0,1)</f>
        <v>1</v>
      </c>
      <c r="F65" s="280"/>
      <c r="G65" s="281"/>
      <c r="H65" s="281"/>
      <c r="I65" s="282"/>
    </row>
    <row r="66" spans="1:9" x14ac:dyDescent="0.25">
      <c r="A66" s="205">
        <f t="shared" si="2"/>
        <v>1</v>
      </c>
      <c r="F66" s="280"/>
      <c r="G66" s="281"/>
      <c r="H66" s="281"/>
      <c r="I66" s="282"/>
    </row>
    <row r="67" spans="1:9" x14ac:dyDescent="0.25">
      <c r="A67" s="205">
        <f t="shared" si="2"/>
        <v>1</v>
      </c>
      <c r="F67" s="280"/>
      <c r="G67" s="281"/>
      <c r="H67" s="281"/>
      <c r="I67" s="282"/>
    </row>
    <row r="68" spans="1:9" x14ac:dyDescent="0.25">
      <c r="A68" s="205">
        <f t="shared" si="2"/>
        <v>1</v>
      </c>
      <c r="F68" s="280"/>
      <c r="G68" s="281"/>
      <c r="H68" s="281"/>
      <c r="I68" s="282"/>
    </row>
    <row r="69" spans="1:9" x14ac:dyDescent="0.25">
      <c r="A69" s="205">
        <f t="shared" si="2"/>
        <v>1</v>
      </c>
      <c r="F69" s="283"/>
      <c r="G69" s="284"/>
      <c r="H69" s="284"/>
      <c r="I69" s="285"/>
    </row>
  </sheetData>
  <dataConsolidate/>
  <mergeCells count="53">
    <mergeCell ref="H46:I46"/>
    <mergeCell ref="H26:I26"/>
    <mergeCell ref="S57:U57"/>
    <mergeCell ref="W57:Y57"/>
    <mergeCell ref="S18:Y18"/>
    <mergeCell ref="H39:I39"/>
    <mergeCell ref="H40:I40"/>
    <mergeCell ref="H38:I38"/>
    <mergeCell ref="H28:I28"/>
    <mergeCell ref="H30:I30"/>
    <mergeCell ref="H31:I31"/>
    <mergeCell ref="H33:I33"/>
    <mergeCell ref="H32:I32"/>
    <mergeCell ref="T51:X51"/>
    <mergeCell ref="T52:X52"/>
    <mergeCell ref="T50:X50"/>
    <mergeCell ref="H22:I22"/>
    <mergeCell ref="H15:I15"/>
    <mergeCell ref="H24:I24"/>
    <mergeCell ref="H16:I16"/>
    <mergeCell ref="H17:I17"/>
    <mergeCell ref="H11:I11"/>
    <mergeCell ref="F64:I69"/>
    <mergeCell ref="H14:I14"/>
    <mergeCell ref="F55:I55"/>
    <mergeCell ref="F37:F40"/>
    <mergeCell ref="H25:I25"/>
    <mergeCell ref="H19:I19"/>
    <mergeCell ref="F30:F33"/>
    <mergeCell ref="H21:I21"/>
    <mergeCell ref="H43:I43"/>
    <mergeCell ref="F42:F47"/>
    <mergeCell ref="H44:I44"/>
    <mergeCell ref="H45:I45"/>
    <mergeCell ref="H35:I35"/>
    <mergeCell ref="H37:I37"/>
    <mergeCell ref="H42:I42"/>
    <mergeCell ref="H12:I12"/>
    <mergeCell ref="H47:I47"/>
    <mergeCell ref="F1:I1"/>
    <mergeCell ref="F21:F28"/>
    <mergeCell ref="F4:F6"/>
    <mergeCell ref="F8:F17"/>
    <mergeCell ref="F2:H2"/>
    <mergeCell ref="H4:I4"/>
    <mergeCell ref="H5:I5"/>
    <mergeCell ref="H6:I6"/>
    <mergeCell ref="H8:I8"/>
    <mergeCell ref="H27:I27"/>
    <mergeCell ref="H23:I23"/>
    <mergeCell ref="H9:I9"/>
    <mergeCell ref="H10:I10"/>
    <mergeCell ref="H13:I13"/>
  </mergeCells>
  <conditionalFormatting sqref="I51 G52:G54">
    <cfRule type="expression" dxfId="2" priority="3">
      <formula>$I$51="N"</formula>
    </cfRule>
    <cfRule type="expression" dxfId="1" priority="4">
      <formula>$I$51="Y"</formula>
    </cfRule>
  </conditionalFormatting>
  <dataValidations xWindow="587" yWindow="352" count="3">
    <dataValidation type="list" allowBlank="1" showInputMessage="1" showErrorMessage="1" prompt="Select From List" sqref="I51">
      <formula1>INDIRECT($K51)</formula1>
    </dataValidation>
    <dataValidation type="list" allowBlank="1" showInputMessage="1" showErrorMessage="1" sqref="H4:I6 H42:I47 H37:I40 H35:I35 H19:I19 H62 H8:I17 H30:I33 H21:I28">
      <formula1>INDIRECT($K4)</formula1>
    </dataValidation>
    <dataValidation type="custom" allowBlank="1" showInputMessage="1" showErrorMessage="1" sqref="S9:S11 S26:S30">
      <formula1>#REF!</formula1>
    </dataValidation>
  </dataValidations>
  <printOptions horizontalCentered="1" verticalCentered="1"/>
  <pageMargins left="0.4" right="0.4" top="0.4" bottom="0.4" header="0" footer="0.3"/>
  <pageSetup scale="79" orientation="portrait" r:id="rId1"/>
  <drawing r:id="rId2"/>
  <legacyDrawing r:id="rId3"/>
  <oleObjects>
    <mc:AlternateContent xmlns:mc="http://schemas.openxmlformats.org/markup-compatibility/2006">
      <mc:Choice Requires="x14">
        <oleObject progId="AcroExch.Document.11" shapeId="2532" r:id="rId4">
          <objectPr defaultSize="0" autoPict="0" r:id="rId5">
            <anchor moveWithCells="1">
              <from>
                <xdr:col>18</xdr:col>
                <xdr:colOff>419100</xdr:colOff>
                <xdr:row>57</xdr:row>
                <xdr:rowOff>114300</xdr:rowOff>
              </from>
              <to>
                <xdr:col>20</xdr:col>
                <xdr:colOff>257175</xdr:colOff>
                <xdr:row>59</xdr:row>
                <xdr:rowOff>200025</xdr:rowOff>
              </to>
            </anchor>
          </objectPr>
        </oleObject>
      </mc:Choice>
      <mc:Fallback>
        <oleObject progId="AcroExch.Document.11" shapeId="2532" r:id="rId4"/>
      </mc:Fallback>
    </mc:AlternateContent>
    <mc:AlternateContent xmlns:mc="http://schemas.openxmlformats.org/markup-compatibility/2006">
      <mc:Choice Requires="x14">
        <oleObject progId="AcroExch.Document.11" shapeId="2537" r:id="rId6">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537" r:id="rId6"/>
      </mc:Fallback>
    </mc:AlternateContent>
  </oleObjects>
  <mc:AlternateContent xmlns:mc="http://schemas.openxmlformats.org/markup-compatibility/2006">
    <mc:Choice Requires="x14">
      <controls>
        <mc:AlternateContent xmlns:mc="http://schemas.openxmlformats.org/markup-compatibility/2006">
          <mc:Choice Requires="x14">
            <control shapeId="2058" r:id="rId8" name="Button 10">
              <controlPr defaultSize="0" print="0" autoFill="0" autoPict="0" macro="[0]!_xludf.Clear">
                <anchor moveWithCells="1" sizeWithCells="1">
                  <from>
                    <xdr:col>8</xdr:col>
                    <xdr:colOff>47625</xdr:colOff>
                    <xdr:row>1</xdr:row>
                    <xdr:rowOff>38100</xdr:rowOff>
                  </from>
                  <to>
                    <xdr:col>8</xdr:col>
                    <xdr:colOff>1295400</xdr:colOff>
                    <xdr:row>1</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3286CDCC-3B9A-4542-B643-3EBCEB711183}">
            <xm:f>'WORKCELL BOM'!$O$68&lt;0</xm:f>
            <x14:dxf>
              <font>
                <b/>
                <i val="0"/>
              </font>
              <fill>
                <patternFill>
                  <bgColor rgb="FFFF0000"/>
                </patternFill>
              </fill>
              <border>
                <left style="thin">
                  <color auto="1"/>
                </left>
                <right style="thin">
                  <color auto="1"/>
                </right>
                <top style="thin">
                  <color auto="1"/>
                </top>
                <bottom style="thin">
                  <color auto="1"/>
                </bottom>
              </border>
            </x14:dxf>
          </x14:cfRule>
          <xm:sqref>F50:G50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A99"/>
  <sheetViews>
    <sheetView topLeftCell="G1" workbookViewId="0">
      <selection activeCell="G4" sqref="G4:H4"/>
    </sheetView>
  </sheetViews>
  <sheetFormatPr defaultRowHeight="15" outlineLevelCol="1" x14ac:dyDescent="0.25"/>
  <cols>
    <col min="1" max="6" width="8.85546875" style="243" hidden="1" customWidth="1" outlineLevel="1"/>
    <col min="7" max="7" width="9.140625" customWidth="1" collapsed="1"/>
    <col min="8" max="8" width="44.7109375" bestFit="1" customWidth="1"/>
    <col min="9" max="9" width="60.85546875" customWidth="1"/>
    <col min="10" max="10" width="5.7109375" customWidth="1"/>
    <col min="11" max="11" width="11.42578125" customWidth="1"/>
    <col min="12" max="12" width="19.42578125" bestFit="1" customWidth="1"/>
    <col min="13" max="13" width="10.42578125" style="40" customWidth="1" outlineLevel="1"/>
    <col min="14" max="17" width="9.42578125" style="40" customWidth="1" outlineLevel="1"/>
    <col min="18" max="19" width="16.85546875" customWidth="1" outlineLevel="1"/>
    <col min="20" max="20" width="9.140625" customWidth="1" outlineLevel="1"/>
    <col min="21" max="21" width="13.28515625" customWidth="1" outlineLevel="1"/>
    <col min="22" max="23" width="9.140625" customWidth="1" outlineLevel="1"/>
  </cols>
  <sheetData>
    <row r="1" spans="1:22" ht="31.7" customHeight="1" thickBot="1" x14ac:dyDescent="0.3">
      <c r="G1" s="302" t="s">
        <v>463</v>
      </c>
      <c r="H1" s="302"/>
      <c r="I1" s="302"/>
      <c r="J1" s="302"/>
      <c r="K1" s="302"/>
      <c r="L1" s="302"/>
      <c r="M1" s="302"/>
      <c r="N1" s="302"/>
      <c r="O1" s="302"/>
      <c r="P1" s="302"/>
      <c r="Q1" s="302"/>
      <c r="R1" s="302"/>
      <c r="S1" s="302"/>
    </row>
    <row r="2" spans="1:22" ht="20.25" thickTop="1" x14ac:dyDescent="0.25">
      <c r="G2" s="303" t="s">
        <v>184</v>
      </c>
      <c r="H2" s="303"/>
      <c r="I2" s="300" t="str">
        <f>+'WORKCELL CONFIGURATOR'!H57</f>
        <v>Sunburst EMS</v>
      </c>
      <c r="J2" s="300"/>
      <c r="K2" s="47" t="s">
        <v>202</v>
      </c>
      <c r="L2" s="142" t="str">
        <f>+'WORKCELL CONFIGURATOR'!I52</f>
        <v>SUNB4723</v>
      </c>
      <c r="M2" s="41"/>
      <c r="N2" s="41"/>
      <c r="O2" s="41"/>
      <c r="P2" s="41"/>
      <c r="Q2" s="165"/>
      <c r="R2" s="46"/>
      <c r="S2" s="44"/>
    </row>
    <row r="3" spans="1:22" ht="20.25" thickBot="1" x14ac:dyDescent="0.3">
      <c r="G3" s="304" t="s">
        <v>183</v>
      </c>
      <c r="H3" s="304"/>
      <c r="I3" s="301">
        <f>+'WORKCELL CONFIGURATOR'!I54</f>
        <v>29254</v>
      </c>
      <c r="J3" s="301"/>
      <c r="K3" s="48" t="s">
        <v>203</v>
      </c>
      <c r="L3" s="143" t="str">
        <f>+'WORKCELL CONFIGURATOR'!I53</f>
        <v>S1088</v>
      </c>
      <c r="M3" s="42"/>
      <c r="N3" s="42"/>
      <c r="O3" s="42"/>
      <c r="P3" s="42"/>
      <c r="Q3" s="166"/>
      <c r="R3" s="43"/>
      <c r="S3" s="45"/>
    </row>
    <row r="4" spans="1:22" ht="15.75" thickTop="1" x14ac:dyDescent="0.25">
      <c r="G4" s="294"/>
      <c r="H4" s="294"/>
      <c r="I4" s="25">
        <f>+'WORKCELL CONFIGURATOR'!L1</f>
        <v>4</v>
      </c>
      <c r="J4" s="294" t="s">
        <v>338</v>
      </c>
      <c r="K4" s="294"/>
      <c r="L4" s="95">
        <f>+'WORKCELL CONFIGURATOR'!G51</f>
        <v>42765</v>
      </c>
      <c r="M4"/>
      <c r="N4"/>
      <c r="O4"/>
      <c r="P4"/>
      <c r="Q4" s="141"/>
    </row>
    <row r="5" spans="1:22" x14ac:dyDescent="0.25">
      <c r="G5" s="295"/>
      <c r="H5" s="295"/>
      <c r="I5" s="109" t="str">
        <f>+'WORKCELL CONFIGURATOR'!H6</f>
        <v>N</v>
      </c>
      <c r="J5" s="297" t="s">
        <v>339</v>
      </c>
      <c r="K5" s="297"/>
      <c r="L5" s="95">
        <f>+'WORKCELL CONFIGURATOR'!G52</f>
        <v>42781</v>
      </c>
      <c r="M5"/>
      <c r="N5"/>
      <c r="O5"/>
      <c r="P5"/>
      <c r="Q5" s="141"/>
    </row>
    <row r="6" spans="1:22" x14ac:dyDescent="0.25">
      <c r="G6" s="295"/>
      <c r="H6" s="295"/>
      <c r="I6" s="31" t="str">
        <f>+'WORKCELL CONFIGURATOR'!H5</f>
        <v>100-120v 50/60Hz</v>
      </c>
      <c r="J6" s="298" t="s">
        <v>340</v>
      </c>
      <c r="K6" s="298"/>
      <c r="L6" s="95">
        <f>+'WORKCELL CONFIGURATOR'!G53</f>
        <v>42789</v>
      </c>
      <c r="M6"/>
      <c r="N6"/>
      <c r="O6"/>
      <c r="P6"/>
      <c r="Q6" s="141"/>
    </row>
    <row r="7" spans="1:22" ht="16.5" thickBot="1" x14ac:dyDescent="0.3">
      <c r="G7" s="296"/>
      <c r="H7" s="296"/>
      <c r="I7" s="152" t="str">
        <f>+IF(I41=MENU!B66,MENU!T66,IF(I9=MENU!B4,MENU!T4,MENU!U5))</f>
        <v>180mm</v>
      </c>
      <c r="J7" s="299" t="str">
        <f>+'WORKCELL CONFIGURATOR'!F54</f>
        <v>Acceptance</v>
      </c>
      <c r="K7" s="299"/>
      <c r="L7" s="110">
        <f>+'WORKCELL CONFIGURATOR'!G54</f>
        <v>42793</v>
      </c>
      <c r="M7"/>
      <c r="N7"/>
      <c r="O7"/>
      <c r="P7"/>
      <c r="Q7" s="141"/>
    </row>
    <row r="8" spans="1:22" ht="36" thickTop="1" thickBot="1" x14ac:dyDescent="0.3">
      <c r="G8" s="111"/>
      <c r="H8" s="111"/>
      <c r="I8" s="308" t="s">
        <v>106</v>
      </c>
      <c r="J8" s="308"/>
      <c r="K8" s="112" t="s">
        <v>205</v>
      </c>
      <c r="L8" s="113" t="s">
        <v>185</v>
      </c>
      <c r="M8" s="127" t="s">
        <v>107</v>
      </c>
      <c r="N8" s="127" t="s">
        <v>568</v>
      </c>
      <c r="O8" s="128" t="s">
        <v>428</v>
      </c>
      <c r="P8" s="128" t="str">
        <f>+MENU!R2</f>
        <v>Axis of Motion</v>
      </c>
      <c r="Q8" s="128" t="s">
        <v>467</v>
      </c>
      <c r="R8" s="113" t="s">
        <v>180</v>
      </c>
      <c r="S8" s="113" t="s">
        <v>181</v>
      </c>
    </row>
    <row r="9" spans="1:22" ht="15.75" thickTop="1" x14ac:dyDescent="0.25">
      <c r="A9" s="243">
        <v>1</v>
      </c>
      <c r="G9" s="21"/>
      <c r="H9" s="12"/>
      <c r="I9" s="309" t="str">
        <f>+'WORKCELL CONFIGURATOR'!H4</f>
        <v>Delta 6</v>
      </c>
      <c r="J9" s="309"/>
      <c r="K9" s="10"/>
      <c r="L9" s="11" t="str">
        <f>+IFERROR(VLOOKUP(I9,MENU!B$4:I$90,$U$9,FALSE),"")</f>
        <v>642-0221</v>
      </c>
      <c r="M9" s="247">
        <f>+IFERROR(VLOOKUP($I9,MENU!$B$4:$Y$100,14,FALSE),0)</f>
        <v>511</v>
      </c>
      <c r="N9" s="247">
        <f>+IFERROR(VLOOKUP($I9,MENU!$B$4:$Y$100,15,FALSE),0)</f>
        <v>475</v>
      </c>
      <c r="O9" s="247">
        <f>+IFERROR(VLOOKUP($I9,MENU!$B$4:$Y$100,16,FALSE),0)*G9</f>
        <v>0</v>
      </c>
      <c r="P9" s="247">
        <f>+IFERROR(VLOOKUP($I9,MENU!$B$4:$Y$100,17,FALSE),0)</f>
        <v>3</v>
      </c>
      <c r="Q9" s="247">
        <f>+IFERROR(VLOOKUP($I9,MENU!$B$4:$Y$100,18,FALSE),0)</f>
        <v>4</v>
      </c>
      <c r="R9" s="147">
        <v>34500</v>
      </c>
      <c r="S9" s="22">
        <v>34500</v>
      </c>
      <c r="U9">
        <f>+VLOOKUP(I9,Data!B12:C14,2,FALSE)</f>
        <v>6</v>
      </c>
      <c r="V9">
        <f>+VLOOKUP(I9,Data!E12:F14,2,FALSE)</f>
        <v>3</v>
      </c>
    </row>
    <row r="10" spans="1:22" x14ac:dyDescent="0.25">
      <c r="A10" s="243">
        <v>1</v>
      </c>
      <c r="G10" s="124"/>
      <c r="H10" s="12"/>
      <c r="I10" s="292"/>
      <c r="J10" s="292"/>
      <c r="K10" s="10"/>
      <c r="L10" s="148" t="str">
        <f>IFERROR(VLOOKUP('WORKCELL CONFIGURATOR'!H35,MENU!B70:Y72,24,FALSE),MENU!Y70)</f>
        <v>B92-00004</v>
      </c>
      <c r="M10" s="247">
        <f>+IFERROR(VLOOKUP($I10,MENU!$B$4:$Y$100,14,FALSE),0)</f>
        <v>0</v>
      </c>
      <c r="N10" s="247">
        <f>+IFERROR(VLOOKUP($I10,MENU!$B$4:$Y$100,15,FALSE),0)</f>
        <v>0</v>
      </c>
      <c r="O10" s="247">
        <f>+IFERROR(VLOOKUP($I10,MENU!$B$4:$Y$100,16,FALSE),0)*G10</f>
        <v>0</v>
      </c>
      <c r="P10" s="247">
        <f>+IFERROR(VLOOKUP($I10,MENU!$B$4:$Y$100,17,FALSE),0)</f>
        <v>0</v>
      </c>
      <c r="Q10" s="247">
        <f>+IFERROR(VLOOKUP($I10,MENU!$B$4:$Y$100,18,FALSE),0)</f>
        <v>0</v>
      </c>
      <c r="R10" s="147">
        <f>+IFERROR(VLOOKUP($I10,MENU!$B$4:$Y$100,21,FALSE),0)</f>
        <v>0</v>
      </c>
      <c r="S10" s="22"/>
      <c r="V10" s="173"/>
    </row>
    <row r="11" spans="1:22" x14ac:dyDescent="0.25">
      <c r="A11" s="243">
        <v>1</v>
      </c>
      <c r="G11" s="124"/>
      <c r="H11" s="12"/>
      <c r="I11" s="292" t="s">
        <v>476</v>
      </c>
      <c r="J11" s="292"/>
      <c r="K11" s="10"/>
      <c r="L11" s="11" t="str">
        <f>VLOOKUP(P70,Data!B17:E19,V9,FALSE)</f>
        <v>612-2254-4</v>
      </c>
      <c r="M11" s="247">
        <f>+IFERROR(VLOOKUP($I11,MENU!$B$4:$Y$100,14,FALSE),0)</f>
        <v>0</v>
      </c>
      <c r="N11" s="247">
        <f>+IFERROR(VLOOKUP($I11,MENU!$B$4:$Y$100,15,FALSE),0)</f>
        <v>0</v>
      </c>
      <c r="O11" s="247">
        <f>+IFERROR(VLOOKUP($I11,MENU!$B$4:$Y$100,16,FALSE),0)*G11</f>
        <v>0</v>
      </c>
      <c r="P11" s="247">
        <f>+IFERROR(VLOOKUP($I11,MENU!$B$4:$Y$100,17,FALSE),0)</f>
        <v>0</v>
      </c>
      <c r="Q11" s="247">
        <f>+IFERROR(VLOOKUP($I11,MENU!$B$4:$Y$100,18,FALSE),0)</f>
        <v>0</v>
      </c>
      <c r="R11" s="147">
        <f>+IFERROR(VLOOKUP($I11,MENU!$B$4:$Y$100,21,FALSE),0)</f>
        <v>0</v>
      </c>
      <c r="S11" s="22"/>
    </row>
    <row r="12" spans="1:22" hidden="1" x14ac:dyDescent="0.25">
      <c r="A12" s="243">
        <v>0</v>
      </c>
      <c r="G12" s="124"/>
      <c r="H12" s="12"/>
      <c r="I12" s="292"/>
      <c r="J12" s="292"/>
      <c r="K12" s="10"/>
      <c r="L12" s="11"/>
      <c r="M12" s="247">
        <f>+IFERROR(VLOOKUP($I12,MENU!$B$4:$Y$100,14,FALSE),0)</f>
        <v>0</v>
      </c>
      <c r="N12" s="247">
        <f>+IFERROR(VLOOKUP($I12,MENU!$B$4:$Y$100,15,FALSE),0)</f>
        <v>0</v>
      </c>
      <c r="O12" s="247">
        <f>+IFERROR(VLOOKUP($I12,MENU!$B$4:$Y$100,16,FALSE),0)*G12</f>
        <v>0</v>
      </c>
      <c r="P12" s="247">
        <f>+IFERROR(VLOOKUP($I12,MENU!$B$4:$Y$100,17,FALSE),0)</f>
        <v>0</v>
      </c>
      <c r="Q12" s="247">
        <f>+IFERROR(VLOOKUP($I12,MENU!$B$4:$Y$100,18,FALSE),0)</f>
        <v>0</v>
      </c>
      <c r="R12" s="147">
        <f>+IFERROR(VLOOKUP($I12,MENU!$B$4:$Y$100,21,FALSE),0)</f>
        <v>0</v>
      </c>
      <c r="S12" s="22"/>
    </row>
    <row r="13" spans="1:22" x14ac:dyDescent="0.25">
      <c r="A13" s="141">
        <f>+B13*C13</f>
        <v>1</v>
      </c>
      <c r="B13" s="141">
        <f>IF('WORKCELL CONFIGURATOR'!H8="",0,1)</f>
        <v>1</v>
      </c>
      <c r="C13" s="141">
        <f>IF('WORKCELL CONFIGURATOR'!H8="N",0,1)</f>
        <v>1</v>
      </c>
      <c r="G13" s="124"/>
      <c r="H13" s="12"/>
      <c r="I13" s="292" t="str">
        <f>+'WORKCELL CONFIGURATOR'!H8</f>
        <v>2 Gallon Top Ported Tank with Float</v>
      </c>
      <c r="J13" s="292"/>
      <c r="K13" s="182">
        <v>1</v>
      </c>
      <c r="L13" s="11" t="str">
        <f>+IFERROR(VLOOKUP(I13,MENU!B$4:I$90,$U$9,FALSE),"")</f>
        <v>612-2204-1</v>
      </c>
      <c r="M13" s="247">
        <f>+IFERROR(VLOOKUP($I13,MENU!$B$4:$Y$100,14,FALSE),0)</f>
        <v>0</v>
      </c>
      <c r="N13" s="247">
        <f>+IFERROR(VLOOKUP($I13,MENU!$B$4:$Y$100,15,FALSE),0)</f>
        <v>0</v>
      </c>
      <c r="O13" s="247">
        <f>+IFERROR(VLOOKUP($I13,MENU!$B$4:$Y$100,16,FALSE),0)*G13</f>
        <v>0</v>
      </c>
      <c r="P13" s="247">
        <f>+IFERROR(VLOOKUP($I13,MENU!$B$4:$Y$100,17,FALSE),0)</f>
        <v>0</v>
      </c>
      <c r="Q13" s="247">
        <f>+IFERROR(VLOOKUP($I13,MENU!$B$4:$Y$100,18,FALSE),0)</f>
        <v>0</v>
      </c>
      <c r="R13" s="147">
        <v>3100</v>
      </c>
      <c r="S13" s="22">
        <f t="shared" ref="S13:S52" si="0">IFERROR(G13*R13,0)</f>
        <v>0</v>
      </c>
    </row>
    <row r="14" spans="1:22" x14ac:dyDescent="0.25">
      <c r="A14" s="141">
        <f>+B14*C14</f>
        <v>1</v>
      </c>
      <c r="B14" s="141">
        <f>IF('WORKCELL CONFIGURATOR'!H9="",0,1)</f>
        <v>1</v>
      </c>
      <c r="C14" s="141">
        <f>IF('WORKCELL CONFIGURATOR'!H9="N",0,1)</f>
        <v>1</v>
      </c>
      <c r="G14" s="141"/>
      <c r="H14" s="12"/>
      <c r="I14" s="292" t="s">
        <v>420</v>
      </c>
      <c r="J14" s="292"/>
      <c r="K14" s="182">
        <v>1</v>
      </c>
      <c r="L14" s="11" t="str">
        <f>+IFERROR(VLOOKUP(I14,MENU!B$4:I$90,$U$9,FALSE),"")</f>
        <v>612-1887-1</v>
      </c>
      <c r="M14" s="247">
        <f>+IFERROR(VLOOKUP($I14,MENU!$B$4:$Y$100,14,FALSE),0)</f>
        <v>0</v>
      </c>
      <c r="N14" s="247">
        <f>+IFERROR(VLOOKUP($I14,MENU!$B$4:$Y$100,15,FALSE),0)</f>
        <v>0</v>
      </c>
      <c r="O14" s="247">
        <f>+IFERROR(VLOOKUP($I14,MENU!$B$4:$Y$100,16,FALSE),0)*G14</f>
        <v>0</v>
      </c>
      <c r="P14" s="247">
        <f>+IFERROR(VLOOKUP($I14,MENU!$B$4:$Y$100,17,FALSE),0)</f>
        <v>0</v>
      </c>
      <c r="Q14" s="247">
        <f>+IFERROR(VLOOKUP($I14,MENU!$B$4:$Y$100,18,FALSE),0)</f>
        <v>0</v>
      </c>
      <c r="R14" s="147">
        <v>8500</v>
      </c>
      <c r="S14" s="22">
        <f t="shared" si="0"/>
        <v>0</v>
      </c>
    </row>
    <row r="15" spans="1:22" hidden="1" x14ac:dyDescent="0.25">
      <c r="A15" s="141">
        <f>+B15*C15</f>
        <v>0</v>
      </c>
      <c r="B15" s="141">
        <f>IF('WORKCELL CONFIGURATOR'!H10="",0,1)</f>
        <v>1</v>
      </c>
      <c r="C15" s="141">
        <f>IF('WORKCELL CONFIGURATOR'!H10="N",0,1)</f>
        <v>0</v>
      </c>
      <c r="G15" s="141"/>
      <c r="H15" s="12"/>
      <c r="I15" s="292" t="str">
        <f>+'WORKCELL CONFIGURATOR'!H10</f>
        <v>N</v>
      </c>
      <c r="J15" s="292"/>
      <c r="K15" s="182">
        <v>1</v>
      </c>
      <c r="L15" s="11">
        <f>+IFERROR(VLOOKUP(I15,MENU!B$4:I$90,$U$9,FALSE),"")</f>
        <v>0</v>
      </c>
      <c r="M15" s="247">
        <f>+IFERROR(VLOOKUP($I15,MENU!$B$4:$Y$100,14,FALSE),0)</f>
        <v>0</v>
      </c>
      <c r="N15" s="247">
        <f>+IFERROR(VLOOKUP($I15,MENU!$B$4:$Y$100,15,FALSE),0)</f>
        <v>0</v>
      </c>
      <c r="O15" s="247">
        <f>+IFERROR(VLOOKUP($I15,MENU!$B$4:$Y$100,16,FALSE),0)*G15</f>
        <v>0</v>
      </c>
      <c r="P15" s="247">
        <f>+IFERROR(VLOOKUP($I15,MENU!$B$4:$Y$100,17,FALSE),0)</f>
        <v>0</v>
      </c>
      <c r="Q15" s="247">
        <f>+IFERROR(VLOOKUP($I15,MENU!$B$4:$Y$100,18,FALSE),0)</f>
        <v>0</v>
      </c>
      <c r="R15" s="147">
        <f>+IFERROR(VLOOKUP($I15,MENU!$B$4:$Y$100,21,FALSE),0)</f>
        <v>0</v>
      </c>
      <c r="S15" s="22">
        <f t="shared" si="0"/>
        <v>0</v>
      </c>
    </row>
    <row r="16" spans="1:22" hidden="1" x14ac:dyDescent="0.25">
      <c r="A16" s="141">
        <v>0</v>
      </c>
      <c r="B16" s="141"/>
      <c r="C16" s="141"/>
      <c r="G16" s="141"/>
      <c r="H16" s="12"/>
      <c r="I16" s="292"/>
      <c r="J16" s="292"/>
      <c r="K16" s="3"/>
      <c r="L16" s="11" t="str">
        <f>+IFERROR(VLOOKUP(I16,MENU!B$4:I$90,$U$9,FALSE),"")</f>
        <v/>
      </c>
      <c r="M16" s="247">
        <f>+IFERROR(VLOOKUP($I16,MENU!$B$4:$Y$100,14,FALSE),0)</f>
        <v>0</v>
      </c>
      <c r="N16" s="247">
        <f>+IFERROR(VLOOKUP($I16,MENU!$B$4:$Y$100,15,FALSE),0)</f>
        <v>0</v>
      </c>
      <c r="O16" s="247">
        <f>+IFERROR(VLOOKUP($I16,MENU!$B$4:$Y$100,16,FALSE),0)*G16</f>
        <v>0</v>
      </c>
      <c r="P16" s="247">
        <f>+IFERROR(VLOOKUP($I16,MENU!$B$4:$Y$100,17,FALSE),0)</f>
        <v>0</v>
      </c>
      <c r="Q16" s="247">
        <f>+IFERROR(VLOOKUP($I16,MENU!$B$4:$Y$100,18,FALSE),0)</f>
        <v>0</v>
      </c>
      <c r="R16" s="147">
        <f>+IFERROR(VLOOKUP($I16,MENU!$B$4:$Y$100,21,FALSE),0)</f>
        <v>0</v>
      </c>
      <c r="S16" s="22"/>
    </row>
    <row r="17" spans="1:19" hidden="1" x14ac:dyDescent="0.25">
      <c r="A17" s="141">
        <v>0</v>
      </c>
      <c r="B17" s="141"/>
      <c r="C17" s="141"/>
      <c r="G17" s="141"/>
      <c r="H17" s="12"/>
      <c r="I17" s="292"/>
      <c r="J17" s="292"/>
      <c r="K17" s="3"/>
      <c r="L17" s="11" t="str">
        <f>+IFERROR(VLOOKUP(I17,MENU!B$4:I$90,$U$9,FALSE),"")</f>
        <v/>
      </c>
      <c r="M17" s="247">
        <f>+IFERROR(VLOOKUP($I17,MENU!$B$4:$Y$100,14,FALSE),0)</f>
        <v>0</v>
      </c>
      <c r="N17" s="247">
        <f>+IFERROR(VLOOKUP($I17,MENU!$B$4:$Y$100,15,FALSE),0)</f>
        <v>0</v>
      </c>
      <c r="O17" s="247">
        <f>+IFERROR(VLOOKUP($I17,MENU!$B$4:$Y$100,16,FALSE),0)*G17</f>
        <v>0</v>
      </c>
      <c r="P17" s="247">
        <f>+IFERROR(VLOOKUP($I17,MENU!$B$4:$Y$100,17,FALSE),0)</f>
        <v>0</v>
      </c>
      <c r="Q17" s="247">
        <f>+IFERROR(VLOOKUP($I17,MENU!$B$4:$Y$100,18,FALSE),0)</f>
        <v>0</v>
      </c>
      <c r="R17" s="147">
        <f>+IFERROR(VLOOKUP($I17,MENU!$B$4:$Y$100,21,FALSE),0)</f>
        <v>0</v>
      </c>
      <c r="S17" s="22"/>
    </row>
    <row r="18" spans="1:19" x14ac:dyDescent="0.25">
      <c r="A18" s="141">
        <f>+B18*C18</f>
        <v>1</v>
      </c>
      <c r="B18" s="141">
        <f>IF('WORKCELL CONFIGURATOR'!H13="",0,1)</f>
        <v>1</v>
      </c>
      <c r="C18" s="141">
        <f>IF('WORKCELL CONFIGURATOR'!H13="N",0,1)</f>
        <v>1</v>
      </c>
      <c r="G18" s="141"/>
      <c r="H18" s="12"/>
      <c r="I18" s="292" t="str">
        <f>+'WORKCELL CONFIGURATOR'!H13</f>
        <v>10CC Syringe</v>
      </c>
      <c r="J18" s="292"/>
      <c r="K18" s="3">
        <v>2</v>
      </c>
      <c r="L18" s="11" t="str">
        <f>+IFERROR(VLOOKUP(I18,MENU!B$4:I$90,$U$9,FALSE),"")</f>
        <v>612-2048-1</v>
      </c>
      <c r="M18" s="247">
        <f>+IFERROR(VLOOKUP($I18,MENU!$B$4:$Y$100,14,FALSE),0)</f>
        <v>0</v>
      </c>
      <c r="N18" s="247">
        <f>+IFERROR(VLOOKUP($I18,MENU!$B$4:$Y$100,15,FALSE),0)</f>
        <v>0</v>
      </c>
      <c r="O18" s="247">
        <f>+IFERROR(VLOOKUP($I18,MENU!$B$4:$Y$100,16,FALSE),0)*G18</f>
        <v>0</v>
      </c>
      <c r="P18" s="247">
        <f>+IFERROR(VLOOKUP($I18,MENU!$B$4:$Y$100,17,FALSE),0)</f>
        <v>0</v>
      </c>
      <c r="Q18" s="247">
        <f>+IFERROR(VLOOKUP($I18,MENU!$B$4:$Y$100,18,FALSE),0)</f>
        <v>0</v>
      </c>
      <c r="R18" s="147">
        <f>+IFERROR(VLOOKUP($I18,MENU!$B$4:$Y$100,21,FALSE),0)</f>
        <v>550</v>
      </c>
      <c r="S18" s="22">
        <f t="shared" si="0"/>
        <v>0</v>
      </c>
    </row>
    <row r="19" spans="1:19" hidden="1" x14ac:dyDescent="0.25">
      <c r="A19" s="141">
        <f>+B19*C19</f>
        <v>0</v>
      </c>
      <c r="B19" s="141">
        <f>IF('WORKCELL CONFIGURATOR'!H14="",0,1)</f>
        <v>0</v>
      </c>
      <c r="C19" s="141">
        <f>IF('WORKCELL CONFIGURATOR'!H14="N",0,1)</f>
        <v>1</v>
      </c>
      <c r="G19" s="141"/>
      <c r="H19" s="263" t="s">
        <v>627</v>
      </c>
      <c r="I19" s="292" t="s">
        <v>420</v>
      </c>
      <c r="J19" s="292"/>
      <c r="K19" s="3">
        <v>2</v>
      </c>
      <c r="L19" s="11" t="str">
        <f>+IFERROR(VLOOKUP(I19,MENU!B$4:I$90,$U$9,FALSE),"")</f>
        <v>612-1887-1</v>
      </c>
      <c r="M19" s="247">
        <f>+IFERROR(VLOOKUP($I19,MENU!$B$4:$Y$100,14,FALSE),0)</f>
        <v>0</v>
      </c>
      <c r="N19" s="247">
        <f>+IFERROR(VLOOKUP($I19,MENU!$B$4:$Y$100,15,FALSE),0)</f>
        <v>0</v>
      </c>
      <c r="O19" s="247">
        <f>+IFERROR(VLOOKUP($I19,MENU!$B$4:$Y$100,16,FALSE),0)*G19</f>
        <v>0</v>
      </c>
      <c r="P19" s="247">
        <f>+IFERROR(VLOOKUP($I19,MENU!$B$4:$Y$100,17,FALSE),0)</f>
        <v>0</v>
      </c>
      <c r="Q19" s="247">
        <f>+IFERROR(VLOOKUP($I19,MENU!$B$4:$Y$100,18,FALSE),0)</f>
        <v>0</v>
      </c>
      <c r="R19" s="147">
        <f>+IFERROR(VLOOKUP($I19,MENU!$B$4:$Y$100,21,FALSE),0)</f>
        <v>8760</v>
      </c>
      <c r="S19" s="22">
        <f t="shared" si="0"/>
        <v>0</v>
      </c>
    </row>
    <row r="20" spans="1:19" hidden="1" x14ac:dyDescent="0.25">
      <c r="A20" s="141">
        <f>+B20*C20</f>
        <v>0</v>
      </c>
      <c r="B20" s="141">
        <f>IF('WORKCELL CONFIGURATOR'!H15="",0,1)</f>
        <v>0</v>
      </c>
      <c r="C20" s="141">
        <f>IF('WORKCELL CONFIGURATOR'!H15="N",0,1)</f>
        <v>1</v>
      </c>
      <c r="G20" s="141"/>
      <c r="H20" s="12"/>
      <c r="I20" s="292" t="s">
        <v>440</v>
      </c>
      <c r="J20" s="292"/>
      <c r="K20" s="136">
        <v>2</v>
      </c>
      <c r="L20" s="11" t="s">
        <v>458</v>
      </c>
      <c r="M20" s="247">
        <f>+IFERROR(VLOOKUP($I20,MENU!$B$4:$Y$100,14,FALSE),0)</f>
        <v>0</v>
      </c>
      <c r="N20" s="247">
        <f>+IFERROR(VLOOKUP($I20,MENU!$B$4:$Y$100,15,FALSE),0)</f>
        <v>0</v>
      </c>
      <c r="O20" s="247">
        <f>+IFERROR(VLOOKUP($I20,MENU!$B$4:$Y$100,16,FALSE),0)*G20</f>
        <v>0</v>
      </c>
      <c r="P20" s="247">
        <f>+IFERROR(VLOOKUP($I20,MENU!$B$4:$Y$100,17,FALSE),0)</f>
        <v>0</v>
      </c>
      <c r="Q20" s="247">
        <f>+IFERROR(VLOOKUP($I20,MENU!$B$4:$Y$100,18,FALSE),0)</f>
        <v>0</v>
      </c>
      <c r="R20" s="147">
        <f>+IFERROR(VLOOKUP($I20,MENU!$B$4:$Y$100,21,FALSE),0)</f>
        <v>0</v>
      </c>
      <c r="S20" s="22">
        <f t="shared" si="0"/>
        <v>0</v>
      </c>
    </row>
    <row r="21" spans="1:19" hidden="1" x14ac:dyDescent="0.25">
      <c r="A21" s="141">
        <v>0</v>
      </c>
      <c r="B21" s="141"/>
      <c r="C21" s="141"/>
      <c r="G21" s="141"/>
      <c r="H21" s="12"/>
      <c r="I21" s="292"/>
      <c r="J21" s="292"/>
      <c r="K21" s="136"/>
      <c r="L21" s="11" t="str">
        <f>+IFERROR(VLOOKUP(I21,MENU!B$4:I$90,$U$9,FALSE),"")</f>
        <v/>
      </c>
      <c r="M21" s="247">
        <f>+IFERROR(VLOOKUP($I21,MENU!$B$4:$Y$100,14,FALSE),0)</f>
        <v>0</v>
      </c>
      <c r="N21" s="247">
        <f>+IFERROR(VLOOKUP($I21,MENU!$B$4:$Y$100,15,FALSE),0)</f>
        <v>0</v>
      </c>
      <c r="O21" s="247">
        <f>+IFERROR(VLOOKUP($I21,MENU!$B$4:$Y$100,16,FALSE),0)*G21</f>
        <v>0</v>
      </c>
      <c r="P21" s="247">
        <f>+IFERROR(VLOOKUP($I21,MENU!$B$4:$Y$100,17,FALSE),0)</f>
        <v>0</v>
      </c>
      <c r="Q21" s="247">
        <f>+IFERROR(VLOOKUP($I21,MENU!$B$4:$Y$100,18,FALSE),0)</f>
        <v>0</v>
      </c>
      <c r="R21" s="147">
        <f>+IFERROR(VLOOKUP($I21,MENU!$B$4:$Y$100,21,FALSE),0)</f>
        <v>0</v>
      </c>
      <c r="S21" s="22"/>
    </row>
    <row r="22" spans="1:19" hidden="1" x14ac:dyDescent="0.25">
      <c r="A22" s="141">
        <v>0</v>
      </c>
      <c r="B22" s="141"/>
      <c r="C22" s="141"/>
      <c r="G22" s="141"/>
      <c r="H22" s="12"/>
      <c r="I22" s="292"/>
      <c r="J22" s="292"/>
      <c r="K22" s="136"/>
      <c r="L22" s="11" t="str">
        <f>+IFERROR(VLOOKUP(I22,MENU!B$4:I$90,$U$9,FALSE),"")</f>
        <v/>
      </c>
      <c r="M22" s="247">
        <f>+IFERROR(VLOOKUP($I22,MENU!$B$4:$Y$100,14,FALSE),0)</f>
        <v>0</v>
      </c>
      <c r="N22" s="247">
        <f>+IFERROR(VLOOKUP($I22,MENU!$B$4:$Y$100,15,FALSE),0)</f>
        <v>0</v>
      </c>
      <c r="O22" s="247">
        <f>+IFERROR(VLOOKUP($I22,MENU!$B$4:$Y$100,16,FALSE),0)*G22</f>
        <v>0</v>
      </c>
      <c r="P22" s="247">
        <f>+IFERROR(VLOOKUP($I22,MENU!$B$4:$Y$100,17,FALSE),0)</f>
        <v>0</v>
      </c>
      <c r="Q22" s="247">
        <f>+IFERROR(VLOOKUP($I22,MENU!$B$4:$Y$100,18,FALSE),0)</f>
        <v>0</v>
      </c>
      <c r="R22" s="147">
        <f>+IFERROR(VLOOKUP($I22,MENU!$B$4:$Y$100,21,FALSE),0)</f>
        <v>0</v>
      </c>
      <c r="S22" s="22">
        <f t="shared" si="0"/>
        <v>0</v>
      </c>
    </row>
    <row r="23" spans="1:19" hidden="1" x14ac:dyDescent="0.25">
      <c r="A23" s="141">
        <v>0</v>
      </c>
      <c r="B23" s="141"/>
      <c r="C23" s="141"/>
      <c r="G23" s="141"/>
      <c r="H23" s="12"/>
      <c r="I23" s="292"/>
      <c r="J23" s="292"/>
      <c r="K23" s="136"/>
      <c r="L23" s="11" t="str">
        <f>+IFERROR(VLOOKUP(I23,MENU!B$4:I$90,$U$9,FALSE),"")</f>
        <v/>
      </c>
      <c r="M23" s="247">
        <f>+IFERROR(VLOOKUP($I23,MENU!$B$4:$Y$100,14,FALSE),0)</f>
        <v>0</v>
      </c>
      <c r="N23" s="247">
        <f>+IFERROR(VLOOKUP($I23,MENU!$B$4:$Y$100,15,FALSE),0)</f>
        <v>0</v>
      </c>
      <c r="O23" s="247">
        <f>+IFERROR(VLOOKUP($I23,MENU!$B$4:$Y$100,16,FALSE),0)*G23</f>
        <v>0</v>
      </c>
      <c r="P23" s="247">
        <f>+IFERROR(VLOOKUP($I23,MENU!$B$4:$Y$100,17,FALSE),0)</f>
        <v>0</v>
      </c>
      <c r="Q23" s="247">
        <f>+IFERROR(VLOOKUP($I23,MENU!$B$4:$Y$100,18,FALSE),0)</f>
        <v>0</v>
      </c>
      <c r="R23" s="147">
        <f>+IFERROR(VLOOKUP($I23,MENU!$B$4:$Y$100,21,FALSE),0)</f>
        <v>0</v>
      </c>
      <c r="S23" s="22">
        <f t="shared" si="0"/>
        <v>0</v>
      </c>
    </row>
    <row r="24" spans="1:19" x14ac:dyDescent="0.25">
      <c r="A24" s="141">
        <f>+B24*C24</f>
        <v>1</v>
      </c>
      <c r="B24" s="141">
        <f>IF('WORKCELL CONFIGURATOR'!H19="",0,1)</f>
        <v>1</v>
      </c>
      <c r="C24" s="141">
        <f>IF('WORKCELL CONFIGURATOR'!H19="N",0,1)</f>
        <v>1</v>
      </c>
      <c r="G24" s="141"/>
      <c r="H24" s="12"/>
      <c r="I24" s="292" t="str">
        <f>+'WORKCELL CONFIGURATOR'!H19</f>
        <v>Servo 4th Axis with 3 Dispense Stations and (2) Two Position Tilts</v>
      </c>
      <c r="J24" s="292"/>
      <c r="K24" s="136"/>
      <c r="L24" s="11" t="str">
        <f>+IFERROR(VLOOKUP(I24,MENU!B$4:I$90,$U$9,FALSE),"")</f>
        <v>612-1867-1</v>
      </c>
      <c r="M24" s="247">
        <f>+IFERROR(VLOOKUP($I24,MENU!$B$4:$Y$100,14,FALSE),0)</f>
        <v>-60</v>
      </c>
      <c r="N24" s="247">
        <f>+IFERROR(VLOOKUP($I24,MENU!$B$4:$Y$100,15,FALSE),0)</f>
        <v>-10</v>
      </c>
      <c r="O24" s="247">
        <f>+IFERROR(VLOOKUP($I24,MENU!$B$4:$Y$100,16,FALSE),0)*G24</f>
        <v>0</v>
      </c>
      <c r="P24" s="247">
        <f>+IFERROR(VLOOKUP($I24,MENU!$B$4:$Y$100,17,FALSE),0)</f>
        <v>1</v>
      </c>
      <c r="Q24" s="247">
        <f>+IFERROR(VLOOKUP($I24,MENU!$B$4:$Y$100,18,FALSE),0)</f>
        <v>0</v>
      </c>
      <c r="R24" s="147">
        <v>9100</v>
      </c>
      <c r="S24" s="22">
        <f t="shared" si="0"/>
        <v>0</v>
      </c>
    </row>
    <row r="25" spans="1:19" hidden="1" x14ac:dyDescent="0.25">
      <c r="A25" s="141">
        <v>0</v>
      </c>
      <c r="B25" s="141"/>
      <c r="C25" s="141"/>
      <c r="G25" s="141"/>
      <c r="H25" s="12"/>
      <c r="I25" s="292"/>
      <c r="J25" s="292"/>
      <c r="K25" s="136"/>
      <c r="L25" s="11" t="str">
        <f>+IFERROR(VLOOKUP(I25,MENU!B$4:I$90,$U$9,FALSE),"")</f>
        <v/>
      </c>
      <c r="M25" s="247">
        <f>+IFERROR(VLOOKUP($I25,MENU!$B$4:$Y$100,14,FALSE),0)</f>
        <v>0</v>
      </c>
      <c r="N25" s="247">
        <f>+IFERROR(VLOOKUP($I25,MENU!$B$4:$Y$100,15,FALSE),0)</f>
        <v>0</v>
      </c>
      <c r="O25" s="247">
        <f>+IFERROR(VLOOKUP($I25,MENU!$B$4:$Y$100,16,FALSE),0)*G25</f>
        <v>0</v>
      </c>
      <c r="P25" s="247">
        <f>+IFERROR(VLOOKUP($I25,MENU!$B$4:$Y$100,17,FALSE),0)</f>
        <v>0</v>
      </c>
      <c r="Q25" s="247">
        <f>+IFERROR(VLOOKUP($I25,MENU!$B$4:$Y$100,18,FALSE),0)</f>
        <v>0</v>
      </c>
      <c r="R25" s="147">
        <f>+IFERROR(VLOOKUP($I25,MENU!$B$4:$Y$100,21,FALSE),0)</f>
        <v>0</v>
      </c>
      <c r="S25" s="22">
        <f t="shared" si="0"/>
        <v>0</v>
      </c>
    </row>
    <row r="26" spans="1:19" x14ac:dyDescent="0.25">
      <c r="A26" s="141">
        <f>+B26*C26</f>
        <v>1</v>
      </c>
      <c r="B26" s="141">
        <f>IF('WORKCELL CONFIGURATOR'!H21="",0,1)</f>
        <v>1</v>
      </c>
      <c r="C26" s="141">
        <f>IF('WORKCELL CONFIGURATOR'!H21="N",0,1)</f>
        <v>1</v>
      </c>
      <c r="G26" s="141"/>
      <c r="H26" s="12"/>
      <c r="I26" s="292" t="str">
        <f>+'WORKCELL CONFIGURATOR'!H21</f>
        <v>FC100-CF</v>
      </c>
      <c r="J26" s="292"/>
      <c r="K26" s="136">
        <f>+'WORKCELL CONFIGURATOR'!H22</f>
        <v>1</v>
      </c>
      <c r="L26" s="11" t="str">
        <f>+IFERROR(VLOOKUP(I26,MENU!B$4:I$90,$U$9,FALSE),"")</f>
        <v>612-1869-1</v>
      </c>
      <c r="M26" s="247">
        <f>+IFERROR(VLOOKUP($I26,MENU!$B$4:$Y$100,14,FALSE),0)</f>
        <v>0</v>
      </c>
      <c r="N26" s="247">
        <f>+IFERROR(VLOOKUP($I26,MENU!$B$4:$Y$100,15,FALSE),0)</f>
        <v>0</v>
      </c>
      <c r="O26" s="247">
        <f>+IFERROR(VLOOKUP($I26,MENU!$B$4:$Y$100,16,FALSE),0)*G26</f>
        <v>0</v>
      </c>
      <c r="P26" s="247">
        <f>+IFERROR(VLOOKUP($I26,MENU!$B$4:$Y$100,17,FALSE),0)</f>
        <v>0</v>
      </c>
      <c r="Q26" s="247">
        <f>+IFERROR(VLOOKUP($I26,MENU!$B$4:$Y$100,18,FALSE),0)</f>
        <v>0</v>
      </c>
      <c r="R26" s="147">
        <v>3750</v>
      </c>
      <c r="S26" s="22">
        <f t="shared" si="0"/>
        <v>0</v>
      </c>
    </row>
    <row r="27" spans="1:19" hidden="1" x14ac:dyDescent="0.25">
      <c r="A27" s="141">
        <v>0</v>
      </c>
      <c r="B27" s="141"/>
      <c r="C27" s="141"/>
      <c r="G27" s="141"/>
      <c r="H27" s="12"/>
      <c r="I27" s="292"/>
      <c r="J27" s="292"/>
      <c r="K27" s="136"/>
      <c r="L27" s="11" t="str">
        <f>+IFERROR(VLOOKUP(I27,MENU!B$4:I$90,$U$9,FALSE),"")</f>
        <v/>
      </c>
      <c r="M27" s="247">
        <f>+IFERROR(VLOOKUP($I27,MENU!$B$4:$Y$100,14,FALSE),0)</f>
        <v>0</v>
      </c>
      <c r="N27" s="247">
        <f>+IFERROR(VLOOKUP($I27,MENU!$B$4:$Y$100,15,FALSE),0)</f>
        <v>0</v>
      </c>
      <c r="O27" s="247">
        <f>+IFERROR(VLOOKUP($I27,MENU!$B$4:$Y$100,16,FALSE),0)*G27</f>
        <v>0</v>
      </c>
      <c r="P27" s="247">
        <f>+IFERROR(VLOOKUP($I27,MENU!$B$4:$Y$100,17,FALSE),0)</f>
        <v>0</v>
      </c>
      <c r="Q27" s="247">
        <f>+IFERROR(VLOOKUP($I27,MENU!$B$4:$Y$100,18,FALSE),0)</f>
        <v>0</v>
      </c>
      <c r="R27" s="147">
        <f>+IFERROR(VLOOKUP($I27,MENU!$B$4:$Y$100,21,FALSE),0)</f>
        <v>0</v>
      </c>
      <c r="S27" s="22">
        <f t="shared" si="0"/>
        <v>0</v>
      </c>
    </row>
    <row r="28" spans="1:19" x14ac:dyDescent="0.25">
      <c r="A28" s="141">
        <f>+B28*C28</f>
        <v>1</v>
      </c>
      <c r="B28" s="141">
        <f>IF('WORKCELL CONFIGURATOR'!H23="",0,1)</f>
        <v>1</v>
      </c>
      <c r="C28" s="141">
        <f>IF('WORKCELL CONFIGURATOR'!H23="N",0,1)</f>
        <v>1</v>
      </c>
      <c r="G28" s="141"/>
      <c r="H28" s="12"/>
      <c r="I28" s="292" t="str">
        <f>+'WORKCELL CONFIGURATOR'!H23</f>
        <v>FCM100</v>
      </c>
      <c r="J28" s="292"/>
      <c r="K28" s="136">
        <f>+'WORKCELL CONFIGURATOR'!H24</f>
        <v>1</v>
      </c>
      <c r="L28" s="11" t="str">
        <f>+IFERROR(VLOOKUP(I28,MENU!B$4:I$90,$U$9,FALSE),"")</f>
        <v>612-1873-1</v>
      </c>
      <c r="M28" s="247">
        <f>+IFERROR(VLOOKUP($I28,MENU!$B$4:$Y$100,14,FALSE),0)</f>
        <v>0</v>
      </c>
      <c r="N28" s="247">
        <f>+IFERROR(VLOOKUP($I28,MENU!$B$4:$Y$100,15,FALSE),0)</f>
        <v>0</v>
      </c>
      <c r="O28" s="247">
        <f>+IFERROR(VLOOKUP($I28,MENU!$B$4:$Y$100,16,FALSE),0)*G28</f>
        <v>0</v>
      </c>
      <c r="P28" s="247">
        <f>+IFERROR(VLOOKUP($I28,MENU!$B$4:$Y$100,17,FALSE),0)</f>
        <v>0</v>
      </c>
      <c r="Q28" s="247">
        <f>+IFERROR(VLOOKUP($I28,MENU!$B$4:$Y$100,18,FALSE),0)</f>
        <v>0</v>
      </c>
      <c r="R28" s="147">
        <v>3750</v>
      </c>
      <c r="S28" s="22">
        <f t="shared" si="0"/>
        <v>0</v>
      </c>
    </row>
    <row r="29" spans="1:19" hidden="1" x14ac:dyDescent="0.25">
      <c r="A29" s="141">
        <v>0</v>
      </c>
      <c r="B29" s="141"/>
      <c r="C29" s="141"/>
      <c r="G29" s="141"/>
      <c r="H29" s="12"/>
      <c r="I29" s="292"/>
      <c r="J29" s="292"/>
      <c r="K29" s="136"/>
      <c r="L29" s="11" t="str">
        <f>+IFERROR(VLOOKUP(I29,MENU!B$4:I$90,$U$9,FALSE),"")</f>
        <v/>
      </c>
      <c r="M29" s="247">
        <f>+IFERROR(VLOOKUP($I29,MENU!$B$4:$Y$100,14,FALSE),0)</f>
        <v>0</v>
      </c>
      <c r="N29" s="247">
        <f>+IFERROR(VLOOKUP($I29,MENU!$B$4:$Y$100,15,FALSE),0)</f>
        <v>0</v>
      </c>
      <c r="O29" s="247">
        <f>+IFERROR(VLOOKUP($I29,MENU!$B$4:$Y$100,16,FALSE),0)*G29</f>
        <v>0</v>
      </c>
      <c r="P29" s="247">
        <f>+IFERROR(VLOOKUP($I29,MENU!$B$4:$Y$100,17,FALSE),0)</f>
        <v>0</v>
      </c>
      <c r="Q29" s="247">
        <f>+IFERROR(VLOOKUP($I29,MENU!$B$4:$Y$100,18,FALSE),0)</f>
        <v>0</v>
      </c>
      <c r="R29" s="147">
        <f>+IFERROR(VLOOKUP($I29,MENU!$B$4:$Y$100,21,FALSE),0)</f>
        <v>0</v>
      </c>
      <c r="S29" s="22">
        <f t="shared" si="0"/>
        <v>0</v>
      </c>
    </row>
    <row r="30" spans="1:19" x14ac:dyDescent="0.25">
      <c r="A30" s="141">
        <f>+B30*C30</f>
        <v>1</v>
      </c>
      <c r="B30" s="141">
        <f>IF('WORKCELL CONFIGURATOR'!H25="",0,1)</f>
        <v>1</v>
      </c>
      <c r="C30" s="141">
        <f>IF('WORKCELL CONFIGURATOR'!H25="N",0,1)</f>
        <v>1</v>
      </c>
      <c r="G30" s="141"/>
      <c r="H30" s="12"/>
      <c r="I30" s="292" t="str">
        <f>+'WORKCELL CONFIGURATOR'!H25</f>
        <v>FC100-MC</v>
      </c>
      <c r="J30" s="292"/>
      <c r="K30" s="136">
        <f>+'WORKCELL CONFIGURATOR'!H26</f>
        <v>2</v>
      </c>
      <c r="L30" s="11" t="str">
        <f>+IFERROR(VLOOKUP(I30,MENU!B$4:I$90,$U$9,FALSE),"")</f>
        <v>612-1874-1</v>
      </c>
      <c r="M30" s="247">
        <f>+IFERROR(VLOOKUP($I30,MENU!$B$4:$Y$100,14,FALSE),0)</f>
        <v>0</v>
      </c>
      <c r="N30" s="247">
        <f>+IFERROR(VLOOKUP($I30,MENU!$B$4:$Y$100,15,FALSE),0)</f>
        <v>0</v>
      </c>
      <c r="O30" s="247">
        <f>+IFERROR(VLOOKUP($I30,MENU!$B$4:$Y$100,16,FALSE),0)*G30</f>
        <v>0</v>
      </c>
      <c r="P30" s="247">
        <f>+IFERROR(VLOOKUP($I30,MENU!$B$4:$Y$100,17,FALSE),0)</f>
        <v>0</v>
      </c>
      <c r="Q30" s="247">
        <f>+IFERROR(VLOOKUP($I30,MENU!$B$4:$Y$100,18,FALSE),0)</f>
        <v>0</v>
      </c>
      <c r="R30" s="147">
        <v>2700</v>
      </c>
      <c r="S30" s="22">
        <f t="shared" si="0"/>
        <v>0</v>
      </c>
    </row>
    <row r="31" spans="1:19" hidden="1" x14ac:dyDescent="0.25">
      <c r="A31" s="141">
        <v>0</v>
      </c>
      <c r="B31" s="141"/>
      <c r="C31" s="141"/>
      <c r="G31" s="141"/>
      <c r="H31" s="12"/>
      <c r="I31" s="292"/>
      <c r="J31" s="292"/>
      <c r="K31" s="136"/>
      <c r="L31" s="11" t="str">
        <f>+IFERROR(VLOOKUP(I31,MENU!B$4:I$90,$U$9,FALSE),"")</f>
        <v/>
      </c>
      <c r="M31" s="247">
        <f>+IFERROR(VLOOKUP($I31,MENU!$B$4:$Y$100,14,FALSE),0)</f>
        <v>0</v>
      </c>
      <c r="N31" s="247">
        <f>+IFERROR(VLOOKUP($I31,MENU!$B$4:$Y$100,15,FALSE),0)</f>
        <v>0</v>
      </c>
      <c r="O31" s="247">
        <f>+IFERROR(VLOOKUP($I31,MENU!$B$4:$Y$100,16,FALSE),0)*G31</f>
        <v>0</v>
      </c>
      <c r="P31" s="247">
        <f>+IFERROR(VLOOKUP($I31,MENU!$B$4:$Y$100,17,FALSE),0)</f>
        <v>0</v>
      </c>
      <c r="Q31" s="247">
        <f>+IFERROR(VLOOKUP($I31,MENU!$B$4:$Y$100,18,FALSE),0)</f>
        <v>0</v>
      </c>
      <c r="R31" s="147">
        <f>+IFERROR(VLOOKUP($I31,MENU!$B$4:$Y$100,21,FALSE),0)</f>
        <v>0</v>
      </c>
      <c r="S31" s="22">
        <f t="shared" si="0"/>
        <v>0</v>
      </c>
    </row>
    <row r="32" spans="1:19" hidden="1" x14ac:dyDescent="0.25">
      <c r="A32" s="141">
        <f>+B32*C32</f>
        <v>0</v>
      </c>
      <c r="B32" s="141">
        <f>IF('WORKCELL CONFIGURATOR'!H27="",0,1)</f>
        <v>0</v>
      </c>
      <c r="C32" s="141">
        <f>IF('WORKCELL CONFIGURATOR'!H27="N",0,1)</f>
        <v>1</v>
      </c>
      <c r="G32" s="141"/>
      <c r="H32" s="12"/>
      <c r="I32" s="292">
        <f>+'WORKCELL CONFIGURATOR'!H27</f>
        <v>0</v>
      </c>
      <c r="J32" s="292"/>
      <c r="K32" s="136">
        <f>+'WORKCELL CONFIGURATOR'!H28</f>
        <v>0</v>
      </c>
      <c r="L32" s="11" t="str">
        <f>+IFERROR(VLOOKUP(I32,MENU!B$4:I$90,$U$9,FALSE),"")</f>
        <v/>
      </c>
      <c r="M32" s="247">
        <f>+IFERROR(VLOOKUP($I32,MENU!$B$4:$Y$100,14,FALSE),0)</f>
        <v>0</v>
      </c>
      <c r="N32" s="247">
        <f>+IFERROR(VLOOKUP($I32,MENU!$B$4:$Y$100,15,FALSE),0)</f>
        <v>0</v>
      </c>
      <c r="O32" s="247">
        <f>+IFERROR(VLOOKUP($I32,MENU!$B$4:$Y$100,16,FALSE),0)*G32</f>
        <v>0</v>
      </c>
      <c r="P32" s="247">
        <f>+IFERROR(VLOOKUP($I32,MENU!$B$4:$Y$100,17,FALSE),0)</f>
        <v>0</v>
      </c>
      <c r="Q32" s="247">
        <f>+IFERROR(VLOOKUP($I32,MENU!$B$4:$Y$100,18,FALSE),0)</f>
        <v>0</v>
      </c>
      <c r="R32" s="147">
        <f>+IFERROR(VLOOKUP($I32,MENU!$B$4:$Y$100,21,FALSE),0)</f>
        <v>0</v>
      </c>
      <c r="S32" s="22">
        <f t="shared" si="0"/>
        <v>0</v>
      </c>
    </row>
    <row r="33" spans="1:27" hidden="1" x14ac:dyDescent="0.25">
      <c r="A33" s="141">
        <v>0</v>
      </c>
      <c r="B33" s="141"/>
      <c r="C33" s="141"/>
      <c r="G33" s="141"/>
      <c r="H33" s="12"/>
      <c r="I33" s="292"/>
      <c r="J33" s="292"/>
      <c r="K33" s="3"/>
      <c r="L33" s="11" t="str">
        <f>+IFERROR(VLOOKUP(I33,MENU!B$4:I$90,$U$9,FALSE),"")</f>
        <v/>
      </c>
      <c r="M33" s="247">
        <f>+IFERROR(VLOOKUP($I33,MENU!$B$4:$Y$100,14,FALSE),0)</f>
        <v>0</v>
      </c>
      <c r="N33" s="247">
        <f>+IFERROR(VLOOKUP($I33,MENU!$B$4:$Y$100,15,FALSE),0)</f>
        <v>0</v>
      </c>
      <c r="O33" s="247">
        <f>+IFERROR(VLOOKUP($I33,MENU!$B$4:$Y$100,16,FALSE),0)*G33</f>
        <v>0</v>
      </c>
      <c r="P33" s="247">
        <f>+IFERROR(VLOOKUP($I33,MENU!$B$4:$Y$100,17,FALSE),0)</f>
        <v>0</v>
      </c>
      <c r="Q33" s="247">
        <f>+IFERROR(VLOOKUP($I33,MENU!$B$4:$Y$100,18,FALSE),0)</f>
        <v>0</v>
      </c>
      <c r="R33" s="147">
        <f>+IFERROR(VLOOKUP($I33,MENU!$B$4:$Y$100,21,FALSE),0)</f>
        <v>0</v>
      </c>
      <c r="S33" s="22">
        <f t="shared" si="0"/>
        <v>0</v>
      </c>
    </row>
    <row r="34" spans="1:27" hidden="1" x14ac:dyDescent="0.25">
      <c r="A34" s="141">
        <v>0</v>
      </c>
      <c r="B34" s="141"/>
      <c r="C34" s="141"/>
      <c r="G34" s="141"/>
      <c r="H34" s="12"/>
      <c r="I34" s="292"/>
      <c r="J34" s="292"/>
      <c r="K34" s="10"/>
      <c r="L34" s="11" t="str">
        <f>+IFERROR(VLOOKUP(I34,MENU!B$4:I$90,$U$9,FALSE),"")</f>
        <v/>
      </c>
      <c r="M34" s="247">
        <f>+IFERROR(VLOOKUP($I34,MENU!$B$4:$Y$100,14,FALSE),0)</f>
        <v>0</v>
      </c>
      <c r="N34" s="247">
        <f>+IFERROR(VLOOKUP($I34,MENU!$B$4:$Y$100,15,FALSE),0)</f>
        <v>0</v>
      </c>
      <c r="O34" s="247">
        <f>+IFERROR(VLOOKUP($I34,MENU!$B$4:$Y$100,16,FALSE),0)*G34</f>
        <v>0</v>
      </c>
      <c r="P34" s="247">
        <f>+IFERROR(VLOOKUP($I34,MENU!$B$4:$Y$100,17,FALSE),0)</f>
        <v>0</v>
      </c>
      <c r="Q34" s="247">
        <f>+IFERROR(VLOOKUP($I34,MENU!$B$4:$Y$100,18,FALSE),0)</f>
        <v>0</v>
      </c>
      <c r="R34" s="147">
        <f>+IFERROR(VLOOKUP($I34,MENU!$B$4:$Y$100,21,FALSE),0)</f>
        <v>0</v>
      </c>
      <c r="S34" s="22">
        <f t="shared" si="0"/>
        <v>0</v>
      </c>
    </row>
    <row r="35" spans="1:27" hidden="1" x14ac:dyDescent="0.25">
      <c r="A35" s="141">
        <v>0</v>
      </c>
      <c r="B35" s="141"/>
      <c r="C35" s="141"/>
      <c r="G35" s="141"/>
      <c r="H35" s="12"/>
      <c r="I35" s="292"/>
      <c r="J35" s="292"/>
      <c r="K35" s="10"/>
      <c r="L35" s="11" t="str">
        <f>+IFERROR(VLOOKUP(I35,MENU!B$4:I$90,$U$9,FALSE),"")</f>
        <v/>
      </c>
      <c r="M35" s="247">
        <f>+IFERROR(VLOOKUP($I35,MENU!$B$4:$Y$100,14,FALSE),0)</f>
        <v>0</v>
      </c>
      <c r="N35" s="247">
        <f>+IFERROR(VLOOKUP($I35,MENU!$B$4:$Y$100,15,FALSE),0)</f>
        <v>0</v>
      </c>
      <c r="O35" s="247">
        <f>+IFERROR(VLOOKUP($I35,MENU!$B$4:$Y$100,16,FALSE),0)*G35</f>
        <v>0</v>
      </c>
      <c r="P35" s="247">
        <f>+IFERROR(VLOOKUP($I35,MENU!$B$4:$Y$100,17,FALSE),0)</f>
        <v>0</v>
      </c>
      <c r="Q35" s="247">
        <f>+IFERROR(VLOOKUP($I35,MENU!$B$4:$Y$100,18,FALSE),0)</f>
        <v>0</v>
      </c>
      <c r="R35" s="147">
        <f>+IFERROR(VLOOKUP($I35,MENU!$B$4:$Y$100,21,FALSE),0)</f>
        <v>0</v>
      </c>
      <c r="S35" s="22">
        <f t="shared" si="0"/>
        <v>0</v>
      </c>
    </row>
    <row r="36" spans="1:27" hidden="1" x14ac:dyDescent="0.25">
      <c r="A36" s="141">
        <v>0</v>
      </c>
      <c r="B36" s="141"/>
      <c r="C36" s="141"/>
      <c r="G36" s="141"/>
      <c r="H36" s="12"/>
      <c r="I36" s="292"/>
      <c r="J36" s="292"/>
      <c r="K36" s="10"/>
      <c r="L36" s="11" t="str">
        <f>+IFERROR(VLOOKUP(I36,MENU!B$4:I$90,$U$9,FALSE),"")</f>
        <v/>
      </c>
      <c r="M36" s="247">
        <f>+IFERROR(VLOOKUP($I36,MENU!$B$4:$Y$100,14,FALSE),0)</f>
        <v>0</v>
      </c>
      <c r="N36" s="247">
        <f>+IFERROR(VLOOKUP($I36,MENU!$B$4:$Y$100,15,FALSE),0)</f>
        <v>0</v>
      </c>
      <c r="O36" s="247">
        <f>+IFERROR(VLOOKUP($I36,MENU!$B$4:$Y$100,16,FALSE),0)*G36</f>
        <v>0</v>
      </c>
      <c r="P36" s="247">
        <f>+IFERROR(VLOOKUP($I36,MENU!$B$4:$Y$100,17,FALSE),0)</f>
        <v>0</v>
      </c>
      <c r="Q36" s="247">
        <f>+IFERROR(VLOOKUP($I36,MENU!$B$4:$Y$100,18,FALSE),0)</f>
        <v>0</v>
      </c>
      <c r="R36" s="147">
        <f>+IFERROR(VLOOKUP($I36,MENU!$B$4:$Y$100,21,FALSE),0)</f>
        <v>0</v>
      </c>
      <c r="S36" s="22">
        <f t="shared" si="0"/>
        <v>0</v>
      </c>
    </row>
    <row r="37" spans="1:27" hidden="1" x14ac:dyDescent="0.25">
      <c r="A37" s="141">
        <v>0</v>
      </c>
      <c r="B37" s="141"/>
      <c r="C37" s="141"/>
      <c r="G37" s="141"/>
      <c r="H37" s="12"/>
      <c r="I37" s="292"/>
      <c r="J37" s="292"/>
      <c r="K37" s="10"/>
      <c r="L37" s="11" t="str">
        <f>+IFERROR(VLOOKUP(I37,MENU!B$4:I$90,$U$9,FALSE),"")</f>
        <v/>
      </c>
      <c r="M37" s="247">
        <f>+IFERROR(VLOOKUP($I37,MENU!$B$4:$Y$100,14,FALSE),0)</f>
        <v>0</v>
      </c>
      <c r="N37" s="247">
        <f>+IFERROR(VLOOKUP($I37,MENU!$B$4:$Y$100,15,FALSE),0)</f>
        <v>0</v>
      </c>
      <c r="O37" s="247">
        <f>+IFERROR(VLOOKUP($I37,MENU!$B$4:$Y$100,16,FALSE),0)*G37</f>
        <v>0</v>
      </c>
      <c r="P37" s="247">
        <f>+IFERROR(VLOOKUP($I37,MENU!$B$4:$Y$100,17,FALSE),0)</f>
        <v>0</v>
      </c>
      <c r="Q37" s="247">
        <f>+IFERROR(VLOOKUP($I37,MENU!$B$4:$Y$100,18,FALSE),0)</f>
        <v>0</v>
      </c>
      <c r="R37" s="147">
        <f>+IFERROR(VLOOKUP($I37,MENU!$B$4:$Y$100,21,FALSE),0)</f>
        <v>0</v>
      </c>
      <c r="S37" s="22">
        <f t="shared" si="0"/>
        <v>0</v>
      </c>
    </row>
    <row r="38" spans="1:27" hidden="1" x14ac:dyDescent="0.25">
      <c r="A38" s="141">
        <v>0</v>
      </c>
      <c r="B38" s="141"/>
      <c r="C38" s="141"/>
      <c r="G38" s="141"/>
      <c r="H38" s="12"/>
      <c r="I38" s="292"/>
      <c r="J38" s="292"/>
      <c r="K38" s="10"/>
      <c r="L38" s="11" t="str">
        <f>+IFERROR(VLOOKUP(I38,MENU!B$4:I$90,$U$9,FALSE),"")</f>
        <v/>
      </c>
      <c r="M38" s="247">
        <f>+IFERROR(VLOOKUP($I38,MENU!$B$4:$Y$100,14,FALSE),0)</f>
        <v>0</v>
      </c>
      <c r="N38" s="247">
        <f>+IFERROR(VLOOKUP($I38,MENU!$B$4:$Y$100,15,FALSE),0)</f>
        <v>0</v>
      </c>
      <c r="O38" s="247">
        <f>+IFERROR(VLOOKUP($I38,MENU!$B$4:$Y$100,16,FALSE),0)*G38</f>
        <v>0</v>
      </c>
      <c r="P38" s="247">
        <f>+IFERROR(VLOOKUP($I38,MENU!$B$4:$Y$100,17,FALSE),0)</f>
        <v>0</v>
      </c>
      <c r="Q38" s="247">
        <f>+IFERROR(VLOOKUP($I38,MENU!$B$4:$Y$100,18,FALSE),0)</f>
        <v>0</v>
      </c>
      <c r="R38" s="147">
        <f>+IFERROR(VLOOKUP($I38,MENU!$B$4:$Y$100,21,FALSE),0)</f>
        <v>0</v>
      </c>
      <c r="S38" s="22">
        <f t="shared" si="0"/>
        <v>0</v>
      </c>
    </row>
    <row r="39" spans="1:27" x14ac:dyDescent="0.25">
      <c r="A39" s="141">
        <f>+B39*C39</f>
        <v>1</v>
      </c>
      <c r="B39" s="141">
        <f>IF('WORKCELL CONFIGURATOR'!H30="",0,1)</f>
        <v>1</v>
      </c>
      <c r="C39" s="141">
        <f>IF('WORKCELL CONFIGURATOR'!H30="N",0,1)</f>
        <v>1</v>
      </c>
      <c r="G39" s="141"/>
      <c r="H39" s="12"/>
      <c r="I39" s="292" t="str">
        <f>+'WORKCELL CONFIGURATOR'!H30</f>
        <v>Edge Chain Conveyor with Auto Adjust</v>
      </c>
      <c r="J39" s="292"/>
      <c r="K39" s="3"/>
      <c r="L39" s="11" t="str">
        <f>+IFERROR(VLOOKUP(I39,MENU!B$4:I$90,$U$9,FALSE),"")</f>
        <v>612-2996-31</v>
      </c>
      <c r="M39" s="247">
        <f>+IFERROR(VLOOKUP($I39,MENU!$B$4:$Y$100,14,FALSE),0)</f>
        <v>-75</v>
      </c>
      <c r="N39" s="247">
        <f>+IFERROR(VLOOKUP($I39,MENU!$B$4:$Y$100,15,FALSE),0)</f>
        <v>0</v>
      </c>
      <c r="O39" s="247">
        <f>+IFERROR(VLOOKUP($I39,MENU!$B$4:$Y$100,16,FALSE),0)*G39</f>
        <v>0</v>
      </c>
      <c r="P39" s="247">
        <f>+IFERROR(VLOOKUP($I39,MENU!$B$4:$Y$100,17,FALSE),0)</f>
        <v>1</v>
      </c>
      <c r="Q39" s="247">
        <f>+IFERROR(VLOOKUP($I39,MENU!$B$4:$Y$100,18,FALSE),0)</f>
        <v>0</v>
      </c>
      <c r="R39" s="147">
        <v>11700</v>
      </c>
      <c r="S39" s="22">
        <f t="shared" si="0"/>
        <v>0</v>
      </c>
      <c r="U39" t="str">
        <f>L39&amp;IF(OR(I39="Edge Chain Conveyor with Auto Adjust",I39="Belt Conveyor with Auto Adjust"),IF((P68=4),"-D","-E"),"")</f>
        <v>612-2996-31-E</v>
      </c>
    </row>
    <row r="40" spans="1:27" hidden="1" x14ac:dyDescent="0.25">
      <c r="A40" s="141">
        <v>0</v>
      </c>
      <c r="B40" s="141"/>
      <c r="C40" s="141"/>
      <c r="G40" s="221"/>
      <c r="H40" s="12"/>
      <c r="I40" s="292" t="str">
        <f>+'WORKCELL CONFIGURATOR'!H31</f>
        <v>Left to Right</v>
      </c>
      <c r="J40" s="292"/>
      <c r="K40" s="3"/>
      <c r="L40" s="11" t="str">
        <f>+IFERROR(VLOOKUP(I40,MENU!B$4:I$90,$U$9,FALSE),"")</f>
        <v/>
      </c>
      <c r="M40" s="247">
        <f>+IFERROR(VLOOKUP($I40,MENU!$B$4:$Y$100,14,FALSE),0)</f>
        <v>0</v>
      </c>
      <c r="N40" s="247">
        <f>+IFERROR(VLOOKUP($I40,MENU!$B$4:$Y$100,15,FALSE),0)</f>
        <v>0</v>
      </c>
      <c r="O40" s="247">
        <f>+IFERROR(VLOOKUP($I40,MENU!$B$4:$Y$100,16,FALSE),0)*G40</f>
        <v>0</v>
      </c>
      <c r="P40" s="247">
        <f>+IFERROR(VLOOKUP($I40,MENU!$B$4:$Y$100,17,FALSE),0)</f>
        <v>0</v>
      </c>
      <c r="Q40" s="247">
        <f>+IFERROR(VLOOKUP($I40,MENU!$B$4:$Y$100,18,FALSE),0)</f>
        <v>0</v>
      </c>
      <c r="R40" s="147">
        <f>+IFERROR(VLOOKUP($I40,MENU!$B$4:$Y$100,21,FALSE),0)</f>
        <v>0</v>
      </c>
      <c r="S40" s="22">
        <f t="shared" si="0"/>
        <v>0</v>
      </c>
    </row>
    <row r="41" spans="1:27" x14ac:dyDescent="0.25">
      <c r="A41" s="221">
        <f>+B41*C41</f>
        <v>1</v>
      </c>
      <c r="B41" s="221">
        <f>IF('WORKCELL CONFIGURATOR'!H32="",0,1)</f>
        <v>1</v>
      </c>
      <c r="C41" s="221">
        <f>IF('WORKCELL CONFIGURATOR'!H32="N",0,1)</f>
        <v>1</v>
      </c>
      <c r="G41" s="221"/>
      <c r="H41" s="12"/>
      <c r="I41" s="292" t="str">
        <f>+'WORKCELL CONFIGURATOR'!H32</f>
        <v>Pin Locators</v>
      </c>
      <c r="J41" s="292"/>
      <c r="K41" s="220"/>
      <c r="L41" s="11" t="str">
        <f>+IFERROR(VLOOKUP(I41,MENU!B$4:I$90,$U$9,FALSE),"")</f>
        <v>612-3144-1</v>
      </c>
      <c r="M41" s="247">
        <f>+IFERROR(VLOOKUP($I41,MENU!$B$4:$Y$100,14,FALSE),0)</f>
        <v>-50</v>
      </c>
      <c r="N41" s="247">
        <f>+IFERROR(VLOOKUP($I41,MENU!$B$4:$Y$100,15,FALSE),0)</f>
        <v>0</v>
      </c>
      <c r="O41" s="247">
        <f>+IFERROR(VLOOKUP($I41,MENU!$B$4:$Y$100,16,FALSE),0)*G41</f>
        <v>0</v>
      </c>
      <c r="P41" s="247">
        <f>+IFERROR(VLOOKUP($I41,MENU!$B$4:$Y$100,17,FALSE),0)</f>
        <v>0</v>
      </c>
      <c r="Q41" s="247">
        <f>+IFERROR(VLOOKUP($I41,MENU!$B$4:$Y$100,18,FALSE),0)</f>
        <v>0</v>
      </c>
      <c r="R41" s="147">
        <v>2100</v>
      </c>
      <c r="S41" s="22">
        <f t="shared" ref="S41" si="1">IFERROR(G41*R41,0)</f>
        <v>0</v>
      </c>
    </row>
    <row r="42" spans="1:27" hidden="1" x14ac:dyDescent="0.25">
      <c r="A42" s="141">
        <f>+B42*C42</f>
        <v>0</v>
      </c>
      <c r="B42" s="141">
        <f>IF('WORKCELL CONFIGURATOR'!H33="",0,1)</f>
        <v>1</v>
      </c>
      <c r="C42" s="141">
        <f>IF('WORKCELL CONFIGURATOR'!H33="N",0,1)</f>
        <v>0</v>
      </c>
      <c r="G42" s="221"/>
      <c r="H42" s="12"/>
      <c r="I42" s="292" t="str">
        <f>+'WORKCELL CONFIGURATOR'!G33</f>
        <v>Barcode - Mounted on Conveyor Inlet with P Select</v>
      </c>
      <c r="J42" s="292"/>
      <c r="K42" s="3"/>
      <c r="L42" s="11" t="str">
        <f>+IFERROR(VLOOKUP(I42,MENU!B$4:I$90,$U$9,FALSE),"")</f>
        <v>612-1001-7</v>
      </c>
      <c r="M42" s="247">
        <f>+IFERROR(VLOOKUP($I42,MENU!$B$4:$Y$100,14,FALSE),0)</f>
        <v>0</v>
      </c>
      <c r="N42" s="247">
        <f>+IFERROR(VLOOKUP($I42,MENU!$B$4:$Y$100,15,FALSE),0)</f>
        <v>0</v>
      </c>
      <c r="O42" s="247">
        <f>+IFERROR(VLOOKUP($I42,MENU!$B$4:$Y$100,16,FALSE),0)*G42</f>
        <v>0</v>
      </c>
      <c r="P42" s="247">
        <f>+IFERROR(VLOOKUP($I42,MENU!$B$4:$Y$100,17,FALSE),0)</f>
        <v>0</v>
      </c>
      <c r="Q42" s="247">
        <f>+IFERROR(VLOOKUP($I42,MENU!$B$4:$Y$100,18,FALSE),0)</f>
        <v>0</v>
      </c>
      <c r="R42" s="147">
        <f>+IFERROR(VLOOKUP($I42,MENU!$B$4:$Y$100,21,FALSE),0)</f>
        <v>4330</v>
      </c>
      <c r="S42" s="22">
        <f t="shared" si="0"/>
        <v>0</v>
      </c>
    </row>
    <row r="43" spans="1:27" hidden="1" x14ac:dyDescent="0.25">
      <c r="A43" s="141">
        <v>0</v>
      </c>
      <c r="B43" s="141"/>
      <c r="C43" s="141"/>
      <c r="G43" s="221"/>
      <c r="H43" s="12"/>
      <c r="I43" s="292"/>
      <c r="J43" s="292"/>
      <c r="K43" s="3"/>
      <c r="L43" s="11" t="str">
        <f>+IFERROR(VLOOKUP(I43,MENU!B$4:I$90,$U$9,FALSE),"")</f>
        <v/>
      </c>
      <c r="M43" s="247">
        <f>+IFERROR(VLOOKUP($I43,MENU!$B$4:$Y$100,14,FALSE),0)</f>
        <v>0</v>
      </c>
      <c r="N43" s="247">
        <f>+IFERROR(VLOOKUP($I43,MENU!$B$4:$Y$100,15,FALSE),0)</f>
        <v>0</v>
      </c>
      <c r="O43" s="247">
        <f>+IFERROR(VLOOKUP($I43,MENU!$B$4:$Y$100,16,FALSE),0)*G43</f>
        <v>0</v>
      </c>
      <c r="P43" s="247">
        <f>+IFERROR(VLOOKUP($I43,MENU!$B$4:$Y$100,17,FALSE),0)</f>
        <v>0</v>
      </c>
      <c r="Q43" s="247">
        <f>+IFERROR(VLOOKUP($I43,MENU!$B$4:$Y$100,18,FALSE),0)</f>
        <v>0</v>
      </c>
      <c r="R43" s="147">
        <f>+IFERROR(VLOOKUP($I43,MENU!$B$4:$Y$100,21,FALSE),0)</f>
        <v>0</v>
      </c>
      <c r="S43" s="22">
        <f t="shared" si="0"/>
        <v>0</v>
      </c>
    </row>
    <row r="44" spans="1:27" x14ac:dyDescent="0.25">
      <c r="A44" s="141">
        <f>+B44*C44</f>
        <v>1</v>
      </c>
      <c r="B44" s="141">
        <f>IF('WORKCELL CONFIGURATOR'!H35="",0,1)</f>
        <v>1</v>
      </c>
      <c r="C44" s="141">
        <f>IF('WORKCELL CONFIGURATOR'!H35="N",0,1)</f>
        <v>1</v>
      </c>
      <c r="G44" s="141"/>
      <c r="H44" s="12"/>
      <c r="I44" s="292" t="str">
        <f>+'WORKCELL CONFIGURATOR'!H35</f>
        <v>Fiducial Camera</v>
      </c>
      <c r="J44" s="292"/>
      <c r="K44" s="3"/>
      <c r="L44" s="11" t="str">
        <f>+IFERROR(VLOOKUP(I44,MENU!B$4:I$90,$U$9,FALSE),"")</f>
        <v>612-2271-1</v>
      </c>
      <c r="M44" s="247">
        <f>+IFERROR(VLOOKUP($I44,MENU!$B$4:$Y$100,14,FALSE),0)</f>
        <v>0</v>
      </c>
      <c r="N44" s="247">
        <f>+IFERROR(VLOOKUP($I44,MENU!$B$4:$Y$100,15,FALSE),0)</f>
        <v>-85</v>
      </c>
      <c r="O44" s="247">
        <f>+IFERROR(VLOOKUP($I44,MENU!$B$4:$Y$100,16,FALSE),0)*G44</f>
        <v>0</v>
      </c>
      <c r="P44" s="247">
        <f>+IFERROR(VLOOKUP($I44,MENU!$B$4:$Y$100,17,FALSE),0)</f>
        <v>0</v>
      </c>
      <c r="Q44" s="247">
        <f>+IFERROR(VLOOKUP($I44,MENU!$B$4:$Y$100,18,FALSE),0)</f>
        <v>0</v>
      </c>
      <c r="R44" s="147">
        <v>6900</v>
      </c>
      <c r="S44" s="22">
        <f t="shared" si="0"/>
        <v>0</v>
      </c>
    </row>
    <row r="45" spans="1:27" hidden="1" x14ac:dyDescent="0.25">
      <c r="A45" s="141">
        <v>0</v>
      </c>
      <c r="B45" s="141"/>
      <c r="C45" s="141"/>
      <c r="G45" s="141"/>
      <c r="H45" s="12"/>
      <c r="I45" s="292"/>
      <c r="J45" s="292"/>
      <c r="K45" s="3"/>
      <c r="L45" s="11" t="str">
        <f>+IFERROR(VLOOKUP(I45,MENU!B$4:I$90,$U$9,FALSE),"")</f>
        <v/>
      </c>
      <c r="M45" s="247">
        <f>+IFERROR(VLOOKUP($I45,MENU!$B$4:$Y$100,14,FALSE),0)</f>
        <v>0</v>
      </c>
      <c r="N45" s="247">
        <f>+IFERROR(VLOOKUP($I45,MENU!$B$4:$Y$100,15,FALSE),0)</f>
        <v>0</v>
      </c>
      <c r="O45" s="247">
        <f>+IFERROR(VLOOKUP($I45,MENU!$B$4:$Y$100,16,FALSE),0)*G45</f>
        <v>0</v>
      </c>
      <c r="P45" s="247">
        <f>+IFERROR(VLOOKUP($I45,MENU!$B$4:$Y$100,17,FALSE),0)</f>
        <v>0</v>
      </c>
      <c r="Q45" s="247">
        <f>+IFERROR(VLOOKUP($I45,MENU!$B$4:$Y$100,18,FALSE),0)</f>
        <v>0</v>
      </c>
      <c r="R45" s="147">
        <f>+IFERROR(VLOOKUP($I45,MENU!$B$4:$Y$100,21,FALSE),0)</f>
        <v>0</v>
      </c>
      <c r="S45" s="22">
        <f t="shared" si="0"/>
        <v>0</v>
      </c>
    </row>
    <row r="46" spans="1:27" hidden="1" x14ac:dyDescent="0.25">
      <c r="A46" s="141">
        <f>+B46*C46</f>
        <v>0</v>
      </c>
      <c r="B46" s="141">
        <f>IF('WORKCELL CONFIGURATOR'!H37="",0,1)</f>
        <v>1</v>
      </c>
      <c r="C46" s="141">
        <f>IF('WORKCELL CONFIGURATOR'!H37="N",0,1)</f>
        <v>0</v>
      </c>
      <c r="G46" s="141"/>
      <c r="H46" s="12"/>
      <c r="I46" s="292">
        <f>+H46</f>
        <v>0</v>
      </c>
      <c r="J46" s="292"/>
      <c r="K46" s="136"/>
      <c r="L46" s="11" t="str">
        <f>+IFERROR(VLOOKUP(I46,MENU!B$4:I$90,$U$9,FALSE),"")</f>
        <v/>
      </c>
      <c r="M46" s="247">
        <f>+IFERROR(VLOOKUP($I46,MENU!$B$4:$Y$100,14,FALSE),0)</f>
        <v>0</v>
      </c>
      <c r="N46" s="247">
        <f>+IFERROR(VLOOKUP($I46,MENU!$B$4:$Y$100,15,FALSE),0)</f>
        <v>0</v>
      </c>
      <c r="O46" s="247">
        <f>+IFERROR(VLOOKUP($I46,MENU!$B$4:$Y$100,16,FALSE),0)*G46</f>
        <v>0</v>
      </c>
      <c r="P46" s="247">
        <f>+IFERROR(VLOOKUP($I46,MENU!$B$4:$Y$100,17,FALSE),0)</f>
        <v>0</v>
      </c>
      <c r="Q46" s="247">
        <f>+IFERROR(VLOOKUP($I46,MENU!$B$4:$Y$100,18,FALSE),0)</f>
        <v>0</v>
      </c>
      <c r="R46" s="147">
        <f>+IFERROR(VLOOKUP($I46,MENU!$B$4:$Y$100,21,FALSE),0)</f>
        <v>0</v>
      </c>
      <c r="S46" s="22">
        <f t="shared" si="0"/>
        <v>0</v>
      </c>
      <c r="X46" s="8"/>
      <c r="Y46" s="8"/>
      <c r="Z46" s="8"/>
      <c r="AA46" s="8"/>
    </row>
    <row r="47" spans="1:27" hidden="1" x14ac:dyDescent="0.25">
      <c r="A47" s="228">
        <f>+B47*C47</f>
        <v>0</v>
      </c>
      <c r="B47" s="228">
        <f>IF('WORKCELL CONFIGURATOR'!H38="",0,1)</f>
        <v>0</v>
      </c>
      <c r="C47" s="228">
        <f>IF('WORKCELL CONFIGURATOR'!H38="N",0,1)</f>
        <v>1</v>
      </c>
      <c r="G47" s="228"/>
      <c r="H47" s="12"/>
      <c r="I47" s="292">
        <f>+H47</f>
        <v>0</v>
      </c>
      <c r="J47" s="292"/>
      <c r="K47" s="239"/>
      <c r="L47" s="11" t="str">
        <f>+IFERROR(VLOOKUP(I47,MENU!B$4:I$90,$U$9,FALSE),"")</f>
        <v/>
      </c>
      <c r="M47" s="247">
        <f>+IFERROR(VLOOKUP($I47,MENU!$B$4:$Y$100,14,FALSE),0)</f>
        <v>0</v>
      </c>
      <c r="N47" s="247">
        <f>+IFERROR(VLOOKUP($I47,MENU!$B$4:$Y$100,15,FALSE),0)</f>
        <v>0</v>
      </c>
      <c r="O47" s="247">
        <f>+IFERROR(VLOOKUP($I47,MENU!$B$4:$Y$100,16,FALSE),0)*G47</f>
        <v>0</v>
      </c>
      <c r="P47" s="247">
        <f>+IFERROR(VLOOKUP($I47,MENU!$B$4:$Y$100,17,FALSE),0)</f>
        <v>0</v>
      </c>
      <c r="Q47" s="247">
        <f>+IFERROR(VLOOKUP($I47,MENU!$B$4:$Y$100,18,FALSE),0)</f>
        <v>0</v>
      </c>
      <c r="R47" s="147">
        <f>+IFERROR(VLOOKUP($I47,MENU!$B$4:$Y$100,21,FALSE),0)</f>
        <v>0</v>
      </c>
      <c r="S47" s="22">
        <f t="shared" ref="S47" si="2">IFERROR(G47*R47,0)</f>
        <v>0</v>
      </c>
      <c r="X47" s="8"/>
      <c r="Y47" s="8"/>
      <c r="Z47" s="8"/>
      <c r="AA47" s="8"/>
    </row>
    <row r="48" spans="1:27" hidden="1" x14ac:dyDescent="0.25">
      <c r="A48" s="141">
        <f>+B48*C48</f>
        <v>0</v>
      </c>
      <c r="B48" s="141">
        <f>IF('WORKCELL CONFIGURATOR'!H39="",0,1)</f>
        <v>1</v>
      </c>
      <c r="C48" s="141">
        <f>IF('WORKCELL CONFIGURATOR'!H39="N",0,1)</f>
        <v>0</v>
      </c>
      <c r="G48" s="141">
        <f>+A48</f>
        <v>0</v>
      </c>
      <c r="H48" s="12" t="str">
        <f>+'WORKCELL CONFIGURATOR'!G39</f>
        <v>Needle Calibration, 3 axis</v>
      </c>
      <c r="I48" s="292" t="str">
        <f t="shared" ref="I48:I49" si="3">+H48</f>
        <v>Needle Calibration, 3 axis</v>
      </c>
      <c r="J48" s="292"/>
      <c r="K48" s="136"/>
      <c r="L48" s="11" t="str">
        <f>+IFERROR(VLOOKUP(I48,MENU!B$4:I$90,$U$9,FALSE),"")</f>
        <v>112-4922</v>
      </c>
      <c r="M48" s="247">
        <f>+IFERROR(VLOOKUP($I48,MENU!$B$4:$Y$100,14,FALSE),0)</f>
        <v>0</v>
      </c>
      <c r="N48" s="247">
        <f>+IFERROR(VLOOKUP($I48,MENU!$B$4:$Y$100,15,FALSE),0)</f>
        <v>0</v>
      </c>
      <c r="O48" s="247">
        <f>+IFERROR(VLOOKUP($I48,MENU!$B$4:$Y$100,16,FALSE),0)*G48</f>
        <v>0</v>
      </c>
      <c r="P48" s="247">
        <f>+IFERROR(VLOOKUP($I48,MENU!$B$4:$Y$100,17,FALSE),0)</f>
        <v>0</v>
      </c>
      <c r="Q48" s="247">
        <f>+IFERROR(VLOOKUP($I48,MENU!$B$4:$Y$100,18,FALSE),0)</f>
        <v>0</v>
      </c>
      <c r="R48" s="147">
        <f>+IFERROR(VLOOKUP($I48,MENU!$B$4:$Y$100,21,FALSE),0)</f>
        <v>5250</v>
      </c>
      <c r="S48" s="22">
        <f t="shared" si="0"/>
        <v>0</v>
      </c>
      <c r="X48" s="8"/>
      <c r="Y48" s="8"/>
      <c r="Z48" s="8"/>
      <c r="AA48" s="8"/>
    </row>
    <row r="49" spans="1:27" x14ac:dyDescent="0.25">
      <c r="A49" s="141">
        <f>+B49*C49</f>
        <v>1</v>
      </c>
      <c r="B49" s="141">
        <f>IF('WORKCELL CONFIGURATOR'!H40="",0,1)</f>
        <v>1</v>
      </c>
      <c r="C49" s="141">
        <f>IF('WORKCELL CONFIGURATOR'!H40="N",0,1)</f>
        <v>1</v>
      </c>
      <c r="G49" s="141">
        <f>+A49</f>
        <v>1</v>
      </c>
      <c r="H49" s="156" t="str">
        <f>+'WORKCELL CONFIGURATOR'!G40</f>
        <v>Black Light</v>
      </c>
      <c r="I49" s="293" t="str">
        <f t="shared" si="3"/>
        <v>Black Light</v>
      </c>
      <c r="J49" s="293"/>
      <c r="K49" s="139"/>
      <c r="L49" s="31" t="str">
        <f>+IFERROR(VLOOKUP(I49,MENU!B$4:I$90,$U$9,FALSE),"")</f>
        <v>622-0252-1</v>
      </c>
      <c r="M49" s="247">
        <f>+IFERROR(VLOOKUP($I49,MENU!$B$4:$Y$100,14,FALSE),0)</f>
        <v>0</v>
      </c>
      <c r="N49" s="247">
        <f>+IFERROR(VLOOKUP($I49,MENU!$B$4:$Y$100,15,FALSE),0)</f>
        <v>0</v>
      </c>
      <c r="O49" s="247">
        <f>+IFERROR(VLOOKUP($I49,MENU!$B$4:$Y$100,16,FALSE),0)*G49</f>
        <v>0</v>
      </c>
      <c r="P49" s="247">
        <f>+IFERROR(VLOOKUP($I49,MENU!$B$4:$Y$100,17,FALSE),0)</f>
        <v>0</v>
      </c>
      <c r="Q49" s="247">
        <f>+IFERROR(VLOOKUP($I49,MENU!$B$4:$Y$100,18,FALSE),0)</f>
        <v>0</v>
      </c>
      <c r="R49" s="147">
        <v>550</v>
      </c>
      <c r="S49" s="22">
        <f t="shared" si="0"/>
        <v>550</v>
      </c>
      <c r="X49" s="8"/>
      <c r="Y49" s="8"/>
      <c r="Z49" s="8"/>
      <c r="AA49" s="8"/>
    </row>
    <row r="50" spans="1:27" ht="15.75" hidden="1" thickBot="1" x14ac:dyDescent="0.3">
      <c r="A50" s="115">
        <f>IF('WORKCELL CONFIGURATOR'!H$42="Y",1,0)</f>
        <v>0</v>
      </c>
      <c r="G50" s="153"/>
      <c r="H50" s="154"/>
      <c r="I50" s="306"/>
      <c r="J50" s="306"/>
      <c r="K50" s="151"/>
      <c r="L50" s="152"/>
      <c r="N50" s="148"/>
      <c r="O50" s="11"/>
      <c r="P50" s="247"/>
      <c r="Q50" s="141"/>
      <c r="R50" s="147"/>
      <c r="S50" s="22"/>
      <c r="X50" s="8"/>
      <c r="Y50" s="8"/>
      <c r="Z50" s="8"/>
      <c r="AA50" s="8"/>
    </row>
    <row r="51" spans="1:27" ht="21.75" hidden="1" thickBot="1" x14ac:dyDescent="0.4">
      <c r="A51" s="115">
        <f>IF('WORKCELL CONFIGURATOR'!H$42="Y",1,0)</f>
        <v>0</v>
      </c>
      <c r="G51" s="158"/>
      <c r="H51" s="155"/>
      <c r="I51" s="307"/>
      <c r="J51" s="307"/>
      <c r="K51" s="149"/>
      <c r="L51" s="150" t="str">
        <f>+IFERROR(VLOOKUP(I51,MENU!B$4:I$90,$U$9,FALSE),"")</f>
        <v/>
      </c>
      <c r="N51" s="148"/>
      <c r="O51" s="11"/>
      <c r="P51" s="11"/>
      <c r="Q51" s="141"/>
      <c r="R51" s="147"/>
      <c r="S51" s="22"/>
      <c r="X51" s="8"/>
      <c r="Y51" s="8"/>
      <c r="Z51" s="8"/>
      <c r="AA51" s="8"/>
    </row>
    <row r="52" spans="1:27" hidden="1" x14ac:dyDescent="0.25">
      <c r="A52" s="141">
        <f>IF('WORKCELL CONFIGURATOR'!H$42="Y",1,0)</f>
        <v>0</v>
      </c>
      <c r="G52" s="124">
        <f>IF('WORKCELL CONFIGURATOR'!H$42="Y",1,0)</f>
        <v>0</v>
      </c>
      <c r="H52" s="12" t="str">
        <f>+'WORKCELL CONFIGURATOR'!G42</f>
        <v>Spare Parts</v>
      </c>
      <c r="I52" s="292"/>
      <c r="J52" s="292"/>
      <c r="K52" s="136"/>
      <c r="L52" s="11" t="str">
        <f>+IFERROR(VLOOKUP('WORKCELL CONFIGURATOR'!H4,MENU!B4:K5,10,FALSE),"")</f>
        <v>612-1957-1</v>
      </c>
      <c r="M52" s="148"/>
      <c r="N52" s="148"/>
      <c r="O52" s="11"/>
      <c r="P52" s="11"/>
      <c r="Q52" s="141"/>
      <c r="R52" s="147">
        <f>+MENU!V90</f>
        <v>3190</v>
      </c>
      <c r="S52" s="22">
        <f t="shared" si="0"/>
        <v>0</v>
      </c>
      <c r="X52" s="8"/>
      <c r="Y52" s="8"/>
      <c r="Z52" s="8"/>
      <c r="AA52" s="8"/>
    </row>
    <row r="53" spans="1:27" hidden="1" x14ac:dyDescent="0.25">
      <c r="A53" s="243">
        <f t="shared" ref="A53:A59" si="4">+B53*C53*D53</f>
        <v>0</v>
      </c>
      <c r="B53" s="141">
        <f>IF('WORKCELL CONFIGURATOR'!H$42="Y",1,0)</f>
        <v>0</v>
      </c>
      <c r="C53">
        <f>IF('WORKCELL CONFIGURATOR'!H8="",0,1)</f>
        <v>1</v>
      </c>
      <c r="D53">
        <f>IF('WORKCELL CONFIGURATOR'!H8="N",0,1)</f>
        <v>1</v>
      </c>
      <c r="G53" s="141">
        <f t="shared" ref="G53:G59" si="5">+A53</f>
        <v>0</v>
      </c>
      <c r="H53" s="12" t="str">
        <f>+'WORKCELL CONFIGURATOR'!G8</f>
        <v>Material Reservoir - 1</v>
      </c>
      <c r="I53" s="292"/>
      <c r="J53" s="292"/>
      <c r="K53" s="136"/>
      <c r="L53" s="11" t="str">
        <f>+IFERROR(VLOOKUP(I53,MENU!B$4:K$90,10,FALSE),"")</f>
        <v/>
      </c>
      <c r="M53" s="148"/>
      <c r="N53" s="148"/>
      <c r="O53" s="11"/>
      <c r="P53" s="11"/>
      <c r="Q53" s="141"/>
      <c r="R53" s="147"/>
      <c r="S53" s="22"/>
      <c r="X53" s="8"/>
      <c r="Y53" s="8"/>
      <c r="Z53" s="8"/>
      <c r="AA53" s="8"/>
    </row>
    <row r="54" spans="1:27" hidden="1" x14ac:dyDescent="0.25">
      <c r="A54" s="243">
        <f t="shared" si="4"/>
        <v>0</v>
      </c>
      <c r="B54" s="141">
        <f>IF('WORKCELL CONFIGURATOR'!H$42="Y",1,0)</f>
        <v>0</v>
      </c>
      <c r="C54">
        <f>IF('WORKCELL CONFIGURATOR'!H13="",0,1)</f>
        <v>1</v>
      </c>
      <c r="D54">
        <f>IF('WORKCELL CONFIGURATOR'!H13="N",0,1)</f>
        <v>1</v>
      </c>
      <c r="G54" s="141">
        <f t="shared" si="5"/>
        <v>0</v>
      </c>
      <c r="H54" s="12" t="str">
        <f>+'WORKCELL CONFIGURATOR'!G13</f>
        <v>Material Reservoir - 2</v>
      </c>
      <c r="I54" s="292"/>
      <c r="J54" s="292"/>
      <c r="K54" s="136"/>
      <c r="L54" s="11" t="str">
        <f>+IFERROR(VLOOKUP(I54,MENU!B$4:K$90,10,FALSE),"")</f>
        <v/>
      </c>
      <c r="M54" s="148"/>
      <c r="N54" s="148"/>
      <c r="O54" s="11"/>
      <c r="P54" s="11"/>
      <c r="Q54" s="141"/>
      <c r="R54" s="147"/>
      <c r="S54" s="22"/>
      <c r="X54" s="8"/>
      <c r="Y54" s="8"/>
      <c r="Z54" s="8"/>
      <c r="AA54" s="8"/>
    </row>
    <row r="55" spans="1:27" hidden="1" x14ac:dyDescent="0.25">
      <c r="A55" s="243">
        <f t="shared" si="4"/>
        <v>0</v>
      </c>
      <c r="B55" s="141">
        <f>IF('WORKCELL CONFIGURATOR'!H$42="Y",1,0)</f>
        <v>0</v>
      </c>
      <c r="C55">
        <f>IF('WORKCELL CONFIGURATOR'!H10="",0,1)</f>
        <v>1</v>
      </c>
      <c r="D55">
        <f>IF('WORKCELL CONFIGURATOR'!H10="N",0,1)</f>
        <v>0</v>
      </c>
      <c r="G55" s="141">
        <f t="shared" si="5"/>
        <v>0</v>
      </c>
      <c r="H55" s="12" t="str">
        <f>+'WORKCELL CONFIGURATOR'!G10</f>
        <v>Solvent Flush - 1</v>
      </c>
      <c r="I55" s="292" t="str">
        <f>+'WORKCELL CONFIGURATOR'!H10</f>
        <v>N</v>
      </c>
      <c r="J55" s="292"/>
      <c r="K55" s="136"/>
      <c r="L55" s="11">
        <f>+IFERROR(VLOOKUP(I55,MENU!B$4:K$90,10,FALSE),"")</f>
        <v>0</v>
      </c>
      <c r="M55" s="148"/>
      <c r="N55" s="148"/>
      <c r="O55" s="11"/>
      <c r="P55" s="11"/>
      <c r="Q55" s="141"/>
      <c r="R55" s="147"/>
      <c r="S55" s="22"/>
    </row>
    <row r="56" spans="1:27" hidden="1" x14ac:dyDescent="0.25">
      <c r="A56" s="243">
        <f t="shared" si="4"/>
        <v>0</v>
      </c>
      <c r="B56" s="141">
        <f>IF('WORKCELL CONFIGURATOR'!H$42="Y",1,0)</f>
        <v>0</v>
      </c>
      <c r="C56">
        <f>IF('WORKCELL CONFIGURATOR'!H21="",0,1)</f>
        <v>1</v>
      </c>
      <c r="D56">
        <f>IF('WORKCELL CONFIGURATOR'!H21="N",0,1)</f>
        <v>1</v>
      </c>
      <c r="G56" s="141">
        <f t="shared" si="5"/>
        <v>0</v>
      </c>
      <c r="H56" s="12" t="str">
        <f>+'WORKCELL CONFIGURATOR'!G21</f>
        <v>Station 1</v>
      </c>
      <c r="I56" s="292" t="str">
        <f>+'WORKCELL CONFIGURATOR'!H21</f>
        <v>FC100-CF</v>
      </c>
      <c r="J56" s="292"/>
      <c r="K56" s="136"/>
      <c r="L56" s="11" t="str">
        <f>+IFERROR(VLOOKUP(I56,MENU!B$4:K$90,10,FALSE),"")</f>
        <v>612-1961-1</v>
      </c>
      <c r="M56" s="148"/>
      <c r="N56" s="148"/>
      <c r="O56" s="11"/>
      <c r="P56" s="11"/>
      <c r="Q56" s="141"/>
      <c r="R56" s="147"/>
      <c r="S56" s="22"/>
    </row>
    <row r="57" spans="1:27" hidden="1" x14ac:dyDescent="0.25">
      <c r="A57" s="243">
        <f t="shared" si="4"/>
        <v>0</v>
      </c>
      <c r="B57" s="141">
        <f>IF('WORKCELL CONFIGURATOR'!H$42="Y",1,0)</f>
        <v>0</v>
      </c>
      <c r="C57">
        <f>IF('WORKCELL CONFIGURATOR'!H23="",0,1)</f>
        <v>1</v>
      </c>
      <c r="D57">
        <f>IF('WORKCELL CONFIGURATOR'!H23="N",0,1)</f>
        <v>1</v>
      </c>
      <c r="G57" s="141">
        <f t="shared" si="5"/>
        <v>0</v>
      </c>
      <c r="H57" s="12"/>
      <c r="I57" s="292" t="str">
        <f>+'WORKCELL CONFIGURATOR'!H23</f>
        <v>FCM100</v>
      </c>
      <c r="J57" s="292"/>
      <c r="K57" s="136"/>
      <c r="L57" s="11" t="str">
        <f>+IFERROR(VLOOKUP(I57,MENU!B$4:K$90,10,FALSE),"")</f>
        <v>612-1965-1</v>
      </c>
      <c r="M57" s="148"/>
      <c r="N57" s="148"/>
      <c r="O57" s="11"/>
      <c r="P57" s="11"/>
      <c r="Q57" s="141"/>
      <c r="R57" s="147"/>
      <c r="S57" s="22"/>
    </row>
    <row r="58" spans="1:27" hidden="1" x14ac:dyDescent="0.25">
      <c r="A58" s="243">
        <f t="shared" si="4"/>
        <v>0</v>
      </c>
      <c r="B58" s="141">
        <f>IF('WORKCELL CONFIGURATOR'!H$42="Y",1,0)</f>
        <v>0</v>
      </c>
      <c r="C58">
        <f>IF('WORKCELL CONFIGURATOR'!H25="",0,1)</f>
        <v>1</v>
      </c>
      <c r="D58">
        <f>IF('WORKCELL CONFIGURATOR'!H25="N",0,1)</f>
        <v>1</v>
      </c>
      <c r="G58" s="141">
        <f t="shared" si="5"/>
        <v>0</v>
      </c>
      <c r="H58" s="12"/>
      <c r="I58" s="292" t="str">
        <f>+'WORKCELL CONFIGURATOR'!H25</f>
        <v>FC100-MC</v>
      </c>
      <c r="J58" s="292"/>
      <c r="K58" s="136"/>
      <c r="L58" s="11" t="str">
        <f>+IFERROR(VLOOKUP(I58,MENU!B$4:K$90,10,FALSE),"")</f>
        <v>612-1966-1</v>
      </c>
      <c r="M58" s="148"/>
      <c r="N58" s="148"/>
      <c r="O58" s="11"/>
      <c r="P58" s="11"/>
      <c r="Q58" s="141"/>
      <c r="R58" s="147"/>
      <c r="S58" s="22"/>
    </row>
    <row r="59" spans="1:27" hidden="1" x14ac:dyDescent="0.25">
      <c r="A59" s="243">
        <f t="shared" si="4"/>
        <v>0</v>
      </c>
      <c r="B59" s="141">
        <f>IF('WORKCELL CONFIGURATOR'!H$42="Y",1,0)</f>
        <v>0</v>
      </c>
      <c r="C59">
        <f>IF('WORKCELL CONFIGURATOR'!H27="",0,1)</f>
        <v>0</v>
      </c>
      <c r="D59">
        <f>IF('WORKCELL CONFIGURATOR'!H27="N",0,1)</f>
        <v>1</v>
      </c>
      <c r="G59" s="141">
        <f t="shared" si="5"/>
        <v>0</v>
      </c>
      <c r="H59" s="12"/>
      <c r="I59" s="292">
        <f>+'WORKCELL CONFIGURATOR'!H27</f>
        <v>0</v>
      </c>
      <c r="J59" s="292"/>
      <c r="K59" s="136"/>
      <c r="L59" s="11" t="str">
        <f>+IFERROR(VLOOKUP(I59,MENU!B$4:K$90,10,FALSE),"")</f>
        <v/>
      </c>
      <c r="M59" s="148"/>
      <c r="N59" s="148"/>
      <c r="O59" s="11"/>
      <c r="P59" s="11"/>
      <c r="Q59" s="141"/>
      <c r="R59" s="147"/>
      <c r="S59" s="22"/>
    </row>
    <row r="60" spans="1:27" ht="15.75" hidden="1" thickBot="1" x14ac:dyDescent="0.3">
      <c r="A60" s="40">
        <f>IF(MAX($G$62:$G$66)&gt;0,1,0)</f>
        <v>0</v>
      </c>
      <c r="G60" s="153"/>
      <c r="H60" s="154"/>
      <c r="I60" s="306"/>
      <c r="J60" s="306"/>
      <c r="K60" s="151"/>
      <c r="L60" s="152"/>
      <c r="N60" s="148"/>
      <c r="O60" s="11"/>
      <c r="P60" s="11"/>
      <c r="Q60" s="198"/>
      <c r="R60" s="147"/>
      <c r="S60" s="22"/>
    </row>
    <row r="61" spans="1:27" ht="21.75" hidden="1" thickBot="1" x14ac:dyDescent="0.4">
      <c r="A61" s="40">
        <f>IF(MAX($G$62:$G$66)&gt;0,1,0)</f>
        <v>0</v>
      </c>
      <c r="G61" s="158" t="s">
        <v>521</v>
      </c>
      <c r="H61" s="155"/>
      <c r="I61" s="307"/>
      <c r="J61" s="307"/>
      <c r="K61" s="149"/>
      <c r="L61" s="150" t="str">
        <f>+IFERROR(VLOOKUP(I61,MENU!B$4:I$90,$U$9,FALSE),"")</f>
        <v/>
      </c>
      <c r="M61" s="198"/>
      <c r="N61" s="148"/>
      <c r="O61" s="11"/>
      <c r="P61" s="11"/>
      <c r="Q61" s="198"/>
      <c r="R61" s="147"/>
      <c r="S61" s="22"/>
    </row>
    <row r="62" spans="1:27" hidden="1" x14ac:dyDescent="0.25">
      <c r="A62" s="39">
        <f>+G62</f>
        <v>0</v>
      </c>
      <c r="G62" s="40">
        <f>IF('WORKCELL CONFIGURATOR'!$H$43="Y",1,0)</f>
        <v>0</v>
      </c>
      <c r="H62" s="12"/>
      <c r="I62" s="292"/>
      <c r="J62" s="292"/>
      <c r="K62" s="197"/>
      <c r="L62" s="25" t="str">
        <f>+MENU!G91</f>
        <v>612-2358-1</v>
      </c>
      <c r="M62" s="148"/>
      <c r="N62" s="148"/>
      <c r="O62" s="11"/>
      <c r="P62" s="11"/>
      <c r="Q62" s="198"/>
      <c r="R62" s="147">
        <f>+MENU!V91</f>
        <v>4940</v>
      </c>
      <c r="S62" s="22">
        <f>+G62*R62</f>
        <v>0</v>
      </c>
      <c r="T62" s="198"/>
    </row>
    <row r="63" spans="1:27" hidden="1" x14ac:dyDescent="0.25">
      <c r="A63" s="39">
        <f t="shared" ref="A63:A66" si="6">+G63</f>
        <v>0</v>
      </c>
      <c r="G63" s="141">
        <f>+IF(OR(I63="N",I63=0),0,1)</f>
        <v>0</v>
      </c>
      <c r="H63" s="12" t="str">
        <f>+'WORKCELL CONFIGURATOR'!G44</f>
        <v>Unmounted 1</v>
      </c>
      <c r="I63" s="292" t="str">
        <f>+'WORKCELL CONFIGURATOR'!H44</f>
        <v>N</v>
      </c>
      <c r="J63" s="292"/>
      <c r="K63" s="136"/>
      <c r="L63" s="11" t="str">
        <f>+IFERROR(VLOOKUP($I63,MENU!$B93:$I100,$U$9,FALSE),"")</f>
        <v/>
      </c>
      <c r="M63" s="148"/>
      <c r="N63" s="148"/>
      <c r="O63" s="11"/>
      <c r="P63" s="11"/>
      <c r="Q63" s="203"/>
      <c r="R63" s="147" t="str">
        <f>+IFERROR(VLOOKUP($I63,MENU!$B93:$V100,22,FALSE),"")</f>
        <v/>
      </c>
      <c r="S63" s="22">
        <f>IFERROR(G63*R63,0)</f>
        <v>0</v>
      </c>
      <c r="T63" s="203"/>
    </row>
    <row r="64" spans="1:27" hidden="1" x14ac:dyDescent="0.25">
      <c r="A64" s="39">
        <f t="shared" si="6"/>
        <v>0</v>
      </c>
      <c r="G64" s="203">
        <f t="shared" ref="G64:G66" si="7">+IF(OR(I64="N",I64=0),0,1)</f>
        <v>0</v>
      </c>
      <c r="H64" s="12" t="str">
        <f>+'WORKCELL CONFIGURATOR'!G45</f>
        <v>Unmounted 2</v>
      </c>
      <c r="I64" s="292">
        <f>+'WORKCELL CONFIGURATOR'!H45</f>
        <v>0</v>
      </c>
      <c r="J64" s="292"/>
      <c r="K64" s="136"/>
      <c r="L64" s="11" t="str">
        <f>+IFERROR(VLOOKUP($I64,MENU!$B94:$I101,$U$9,FALSE),"")</f>
        <v/>
      </c>
      <c r="M64" s="148"/>
      <c r="N64" s="148"/>
      <c r="O64" s="11"/>
      <c r="P64" s="11"/>
      <c r="Q64" s="203"/>
      <c r="R64" s="147" t="str">
        <f>+IFERROR(VLOOKUP($I64,MENU!$B94:$V101,22,FALSE),"")</f>
        <v/>
      </c>
      <c r="S64" s="22">
        <f t="shared" ref="S64:S66" si="8">IFERROR(G64*R64,0)</f>
        <v>0</v>
      </c>
      <c r="T64" s="203"/>
    </row>
    <row r="65" spans="1:20" hidden="1" x14ac:dyDescent="0.25">
      <c r="A65" s="39">
        <f t="shared" si="6"/>
        <v>0</v>
      </c>
      <c r="G65" s="203">
        <f t="shared" si="7"/>
        <v>0</v>
      </c>
      <c r="H65" s="12" t="str">
        <f>+'WORKCELL CONFIGURATOR'!G46</f>
        <v>Unmounted 3</v>
      </c>
      <c r="I65" s="292">
        <f>+'WORKCELL CONFIGURATOR'!H46</f>
        <v>0</v>
      </c>
      <c r="J65" s="292"/>
      <c r="K65" s="136"/>
      <c r="L65" s="11" t="str">
        <f>+IFERROR(VLOOKUP($I65,MENU!$B95:$I101,$U$9,FALSE),"")</f>
        <v/>
      </c>
      <c r="M65" s="148"/>
      <c r="N65" s="148"/>
      <c r="O65" s="11"/>
      <c r="P65" s="11"/>
      <c r="Q65" s="203"/>
      <c r="R65" s="147" t="str">
        <f>+IFERROR(VLOOKUP($I65,MENU!$B95:$V101,22,FALSE),"")</f>
        <v/>
      </c>
      <c r="S65" s="22">
        <f t="shared" si="8"/>
        <v>0</v>
      </c>
      <c r="T65" s="203"/>
    </row>
    <row r="66" spans="1:20" hidden="1" x14ac:dyDescent="0.25">
      <c r="A66" s="39">
        <f t="shared" si="6"/>
        <v>0</v>
      </c>
      <c r="G66" s="203">
        <f t="shared" si="7"/>
        <v>0</v>
      </c>
      <c r="H66" s="12" t="str">
        <f>+'WORKCELL CONFIGURATOR'!G47</f>
        <v>Unmounted 4</v>
      </c>
      <c r="I66" s="292">
        <f>+'WORKCELL CONFIGURATOR'!H47</f>
        <v>0</v>
      </c>
      <c r="J66" s="292"/>
      <c r="K66" s="136"/>
      <c r="L66" s="11" t="str">
        <f>+IFERROR(VLOOKUP($I66,MENU!$B96:$I101,$U$9,FALSE),"")</f>
        <v/>
      </c>
      <c r="M66" s="148"/>
      <c r="N66" s="148"/>
      <c r="O66" s="11"/>
      <c r="P66" s="11"/>
      <c r="Q66" s="203"/>
      <c r="R66" s="147" t="str">
        <f>+IFERROR(VLOOKUP($I66,MENU!$B96:$V101,22,FALSE),"")</f>
        <v/>
      </c>
      <c r="S66" s="22">
        <f t="shared" si="8"/>
        <v>0</v>
      </c>
      <c r="T66" s="203"/>
    </row>
    <row r="67" spans="1:20" x14ac:dyDescent="0.25">
      <c r="A67" s="40">
        <v>1</v>
      </c>
      <c r="G67" s="141"/>
      <c r="H67" s="12"/>
      <c r="I67" s="292"/>
      <c r="J67" s="292"/>
      <c r="K67" s="136"/>
      <c r="L67" s="11"/>
      <c r="N67" s="148"/>
      <c r="O67" s="11"/>
      <c r="P67" s="11"/>
      <c r="Q67" s="141"/>
      <c r="R67" s="147"/>
      <c r="S67" s="22"/>
    </row>
    <row r="68" spans="1:20" x14ac:dyDescent="0.25">
      <c r="G68" s="305" t="s">
        <v>331</v>
      </c>
      <c r="H68" s="305"/>
      <c r="I68" s="305"/>
      <c r="J68" s="305"/>
      <c r="K68" s="305" t="s">
        <v>216</v>
      </c>
      <c r="L68" s="305"/>
      <c r="M68" s="244">
        <f>SUM(M9:M49)</f>
        <v>326</v>
      </c>
      <c r="N68" s="244">
        <f t="shared" ref="N68:P68" si="9">SUM(N9:N49)</f>
        <v>380</v>
      </c>
      <c r="O68" s="244">
        <f t="shared" si="9"/>
        <v>0</v>
      </c>
      <c r="P68" s="244">
        <f t="shared" si="9"/>
        <v>5</v>
      </c>
      <c r="Q68" s="244">
        <f>+SUM(Q9:Q49)</f>
        <v>4</v>
      </c>
      <c r="R68" s="22"/>
      <c r="S68" s="23">
        <f>SUM(S9:S67)</f>
        <v>35050</v>
      </c>
    </row>
    <row r="69" spans="1:20" x14ac:dyDescent="0.25">
      <c r="G69" s="305"/>
      <c r="H69" s="305"/>
      <c r="I69" s="305"/>
      <c r="J69" s="305"/>
      <c r="K69" s="305"/>
      <c r="L69" s="305"/>
      <c r="R69" s="22"/>
      <c r="S69" s="22"/>
    </row>
    <row r="70" spans="1:20" x14ac:dyDescent="0.25">
      <c r="G70" s="305" t="s">
        <v>332</v>
      </c>
      <c r="H70" s="305"/>
      <c r="I70" s="305"/>
      <c r="J70" s="305"/>
      <c r="K70" s="305" t="s">
        <v>216</v>
      </c>
      <c r="L70" s="305"/>
      <c r="O70" s="245" t="s">
        <v>609</v>
      </c>
      <c r="P70" s="246">
        <f>IF(P68&gt;4,8,4)</f>
        <v>8</v>
      </c>
      <c r="R70" s="22"/>
      <c r="S70" s="22"/>
    </row>
    <row r="71" spans="1:20" x14ac:dyDescent="0.25">
      <c r="G71" s="305"/>
      <c r="H71" s="305"/>
      <c r="I71" s="305"/>
      <c r="J71" s="305"/>
      <c r="K71" s="305"/>
      <c r="L71" s="305"/>
      <c r="R71" s="22"/>
      <c r="S71" s="22"/>
    </row>
    <row r="72" spans="1:20" x14ac:dyDescent="0.25">
      <c r="G72" s="305" t="s">
        <v>330</v>
      </c>
      <c r="H72" s="305"/>
      <c r="I72" s="305"/>
      <c r="J72" s="305"/>
      <c r="K72" s="305" t="s">
        <v>216</v>
      </c>
      <c r="L72" s="305"/>
      <c r="R72" s="22"/>
      <c r="S72" s="22"/>
    </row>
    <row r="73" spans="1:20" x14ac:dyDescent="0.25">
      <c r="G73" s="305"/>
      <c r="H73" s="305"/>
      <c r="I73" s="305"/>
      <c r="J73" s="305"/>
      <c r="K73" s="305"/>
      <c r="L73" s="305"/>
      <c r="R73" s="22"/>
      <c r="S73" s="22"/>
    </row>
    <row r="74" spans="1:20" x14ac:dyDescent="0.25">
      <c r="G74" s="21"/>
      <c r="H74" s="12"/>
      <c r="I74" s="11"/>
      <c r="R74" s="22"/>
      <c r="S74" s="22"/>
    </row>
    <row r="75" spans="1:20" x14ac:dyDescent="0.25">
      <c r="G75" s="21"/>
      <c r="H75" s="12"/>
      <c r="I75" s="11"/>
      <c r="R75" s="22"/>
      <c r="S75" s="22"/>
    </row>
    <row r="76" spans="1:20" x14ac:dyDescent="0.25">
      <c r="G76" s="21"/>
      <c r="H76" s="12"/>
      <c r="I76" s="11"/>
      <c r="R76" s="22"/>
      <c r="S76" s="22"/>
    </row>
    <row r="77" spans="1:20" x14ac:dyDescent="0.25">
      <c r="G77" s="21"/>
      <c r="H77" s="12"/>
      <c r="I77" s="11"/>
      <c r="R77" s="22"/>
      <c r="S77" s="22"/>
    </row>
    <row r="78" spans="1:20" x14ac:dyDescent="0.25">
      <c r="G78" s="21"/>
      <c r="H78" s="12"/>
      <c r="I78" s="11"/>
      <c r="R78" s="22"/>
      <c r="S78" s="22"/>
    </row>
    <row r="79" spans="1:20" x14ac:dyDescent="0.25">
      <c r="G79" s="21"/>
      <c r="H79" s="12"/>
      <c r="I79" s="11"/>
      <c r="R79" s="22"/>
      <c r="S79" s="22"/>
    </row>
    <row r="80" spans="1:20" x14ac:dyDescent="0.25">
      <c r="G80" s="21"/>
      <c r="H80" s="12"/>
      <c r="I80" s="11"/>
      <c r="R80" s="22"/>
      <c r="S80" s="22"/>
    </row>
    <row r="81" spans="7:19" x14ac:dyDescent="0.25">
      <c r="G81" s="21"/>
      <c r="H81" s="12"/>
      <c r="I81" s="11"/>
      <c r="R81" s="22"/>
      <c r="S81" s="22"/>
    </row>
    <row r="82" spans="7:19" x14ac:dyDescent="0.25">
      <c r="G82" s="21"/>
      <c r="H82" s="12"/>
      <c r="I82" s="11"/>
      <c r="R82" s="22"/>
      <c r="S82" s="22"/>
    </row>
    <row r="83" spans="7:19" x14ac:dyDescent="0.25">
      <c r="G83" s="21"/>
      <c r="H83" s="12"/>
      <c r="I83" s="11"/>
      <c r="R83" s="22"/>
      <c r="S83" s="22"/>
    </row>
    <row r="84" spans="7:19" x14ac:dyDescent="0.25">
      <c r="G84" s="21"/>
      <c r="H84" s="12"/>
      <c r="I84" s="11"/>
      <c r="R84" s="22"/>
      <c r="S84" s="22"/>
    </row>
    <row r="85" spans="7:19" x14ac:dyDescent="0.25">
      <c r="G85" s="21"/>
      <c r="H85" s="12"/>
      <c r="I85" s="11"/>
      <c r="R85" s="22"/>
      <c r="S85" s="22"/>
    </row>
    <row r="86" spans="7:19" x14ac:dyDescent="0.25">
      <c r="G86" s="21"/>
      <c r="H86" s="12"/>
      <c r="I86" s="11"/>
      <c r="R86" s="22"/>
      <c r="S86" s="22"/>
    </row>
    <row r="87" spans="7:19" x14ac:dyDescent="0.25">
      <c r="G87" s="21"/>
      <c r="H87" s="12"/>
      <c r="I87" s="11"/>
      <c r="R87" s="22"/>
      <c r="S87" s="22"/>
    </row>
    <row r="88" spans="7:19" x14ac:dyDescent="0.25">
      <c r="H88" s="12"/>
      <c r="I88" s="11"/>
      <c r="R88" s="22"/>
      <c r="S88" s="22"/>
    </row>
    <row r="89" spans="7:19" x14ac:dyDescent="0.25">
      <c r="H89" s="12"/>
      <c r="I89" s="11"/>
      <c r="R89" s="22"/>
      <c r="S89" s="22"/>
    </row>
    <row r="90" spans="7:19" x14ac:dyDescent="0.25">
      <c r="H90" s="12"/>
      <c r="I90" s="11"/>
      <c r="R90" s="22"/>
      <c r="S90" s="22"/>
    </row>
    <row r="91" spans="7:19" x14ac:dyDescent="0.25">
      <c r="I91" s="11"/>
      <c r="R91" s="22"/>
      <c r="S91" s="22"/>
    </row>
    <row r="92" spans="7:19" x14ac:dyDescent="0.25">
      <c r="I92" s="11"/>
      <c r="R92" s="22"/>
      <c r="S92" s="22"/>
    </row>
    <row r="93" spans="7:19" x14ac:dyDescent="0.25">
      <c r="I93" s="11"/>
      <c r="R93" s="22"/>
      <c r="S93" s="22"/>
    </row>
    <row r="94" spans="7:19" x14ac:dyDescent="0.25">
      <c r="I94" s="11"/>
      <c r="R94" s="22"/>
      <c r="S94" s="22"/>
    </row>
    <row r="95" spans="7:19" x14ac:dyDescent="0.25">
      <c r="I95" s="11"/>
      <c r="R95" s="22"/>
      <c r="S95" s="22"/>
    </row>
    <row r="96" spans="7:19" x14ac:dyDescent="0.25">
      <c r="I96" s="11"/>
      <c r="R96" s="22"/>
      <c r="S96" s="22"/>
    </row>
    <row r="97" spans="9:19" x14ac:dyDescent="0.25">
      <c r="I97" s="11"/>
      <c r="R97" s="22"/>
      <c r="S97" s="22"/>
    </row>
    <row r="98" spans="9:19" x14ac:dyDescent="0.25">
      <c r="I98" s="11"/>
      <c r="R98" s="22"/>
      <c r="S98" s="22"/>
    </row>
    <row r="99" spans="9:19" x14ac:dyDescent="0.25">
      <c r="I99" s="11"/>
    </row>
  </sheetData>
  <mergeCells count="79">
    <mergeCell ref="I59:J59"/>
    <mergeCell ref="I45:J45"/>
    <mergeCell ref="I46:J46"/>
    <mergeCell ref="I48:J48"/>
    <mergeCell ref="I38:J38"/>
    <mergeCell ref="I39:J39"/>
    <mergeCell ref="I47:J47"/>
    <mergeCell ref="I30:J30"/>
    <mergeCell ref="I40:J40"/>
    <mergeCell ref="I42:J42"/>
    <mergeCell ref="I43:J43"/>
    <mergeCell ref="I44:J44"/>
    <mergeCell ref="I41:J41"/>
    <mergeCell ref="I25:J25"/>
    <mergeCell ref="I26:J26"/>
    <mergeCell ref="I27:J27"/>
    <mergeCell ref="I28:J28"/>
    <mergeCell ref="I29:J29"/>
    <mergeCell ref="I8:J8"/>
    <mergeCell ref="I9:J9"/>
    <mergeCell ref="I10:J10"/>
    <mergeCell ref="I11:J11"/>
    <mergeCell ref="I12:J12"/>
    <mergeCell ref="I13:J13"/>
    <mergeCell ref="I14:J14"/>
    <mergeCell ref="I15:J15"/>
    <mergeCell ref="I16:J16"/>
    <mergeCell ref="I17:J17"/>
    <mergeCell ref="I67:J67"/>
    <mergeCell ref="I50:J50"/>
    <mergeCell ref="I54:J54"/>
    <mergeCell ref="I55:J55"/>
    <mergeCell ref="I56:J56"/>
    <mergeCell ref="I57:J57"/>
    <mergeCell ref="I61:J61"/>
    <mergeCell ref="I62:J62"/>
    <mergeCell ref="I60:J60"/>
    <mergeCell ref="I51:J51"/>
    <mergeCell ref="I52:J52"/>
    <mergeCell ref="I63:J63"/>
    <mergeCell ref="I64:J64"/>
    <mergeCell ref="I65:J65"/>
    <mergeCell ref="I66:J66"/>
    <mergeCell ref="I58:J58"/>
    <mergeCell ref="K72:L73"/>
    <mergeCell ref="G68:J69"/>
    <mergeCell ref="K68:L69"/>
    <mergeCell ref="G70:J71"/>
    <mergeCell ref="K70:L71"/>
    <mergeCell ref="G72:J73"/>
    <mergeCell ref="I2:J2"/>
    <mergeCell ref="I3:J3"/>
    <mergeCell ref="G1:S1"/>
    <mergeCell ref="G2:H2"/>
    <mergeCell ref="G3:H3"/>
    <mergeCell ref="G4:H4"/>
    <mergeCell ref="J4:K4"/>
    <mergeCell ref="G6:H6"/>
    <mergeCell ref="G5:H5"/>
    <mergeCell ref="G7:H7"/>
    <mergeCell ref="J5:K5"/>
    <mergeCell ref="J6:K6"/>
    <mergeCell ref="J7:K7"/>
    <mergeCell ref="I18:J18"/>
    <mergeCell ref="I19:J19"/>
    <mergeCell ref="I31:J31"/>
    <mergeCell ref="I32:J32"/>
    <mergeCell ref="I53:J53"/>
    <mergeCell ref="I33:J33"/>
    <mergeCell ref="I34:J34"/>
    <mergeCell ref="I35:J35"/>
    <mergeCell ref="I36:J36"/>
    <mergeCell ref="I49:J49"/>
    <mergeCell ref="I37:J37"/>
    <mergeCell ref="I20:J20"/>
    <mergeCell ref="I21:J21"/>
    <mergeCell ref="I22:J22"/>
    <mergeCell ref="I23:J23"/>
    <mergeCell ref="I24:J24"/>
  </mergeCells>
  <printOptions horizontalCentered="1" gridLines="1"/>
  <pageMargins left="0.4" right="0.4" top="0.4" bottom="0.4" header="0" footer="0.3"/>
  <pageSetup scale="73"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4"/>
  <sheetViews>
    <sheetView zoomScaleNormal="100" workbookViewId="0">
      <selection activeCell="AC69" sqref="AC69"/>
    </sheetView>
  </sheetViews>
  <sheetFormatPr defaultRowHeight="15" x14ac:dyDescent="0.25"/>
  <cols>
    <col min="6" max="6" width="9.140625" customWidth="1"/>
  </cols>
  <sheetData>
    <row r="1" spans="1:22" ht="15" customHeight="1" x14ac:dyDescent="0.25">
      <c r="A1" s="322" t="s">
        <v>208</v>
      </c>
      <c r="B1" s="323"/>
      <c r="C1" s="323"/>
      <c r="D1" s="323"/>
      <c r="E1" s="323"/>
      <c r="F1" s="323"/>
      <c r="G1" s="323"/>
      <c r="H1" s="323"/>
      <c r="I1" s="323"/>
      <c r="J1" s="323"/>
      <c r="K1" s="324"/>
      <c r="L1" s="320" t="s">
        <v>296</v>
      </c>
      <c r="M1" s="320"/>
      <c r="N1" s="320"/>
      <c r="O1" s="320"/>
      <c r="P1" s="320"/>
      <c r="Q1" s="320"/>
      <c r="R1" s="320"/>
      <c r="S1" s="320"/>
      <c r="T1" s="320"/>
      <c r="U1" s="320"/>
      <c r="V1" s="320"/>
    </row>
    <row r="2" spans="1:22" ht="15" customHeight="1" x14ac:dyDescent="0.25">
      <c r="A2" s="325"/>
      <c r="B2" s="326"/>
      <c r="C2" s="326"/>
      <c r="D2" s="326"/>
      <c r="E2" s="326"/>
      <c r="F2" s="326"/>
      <c r="G2" s="326"/>
      <c r="H2" s="326"/>
      <c r="I2" s="326"/>
      <c r="J2" s="326"/>
      <c r="K2" s="327"/>
      <c r="L2" s="320"/>
      <c r="M2" s="320"/>
      <c r="N2" s="320"/>
      <c r="O2" s="320"/>
      <c r="P2" s="320"/>
      <c r="Q2" s="320"/>
      <c r="R2" s="320"/>
      <c r="S2" s="320"/>
      <c r="T2" s="320"/>
      <c r="U2" s="320"/>
      <c r="V2" s="320"/>
    </row>
    <row r="3" spans="1:22" ht="14.45" x14ac:dyDescent="0.3">
      <c r="A3" s="51" t="s">
        <v>210</v>
      </c>
      <c r="B3" s="321" t="str">
        <f>+'WORKCELL CONFIGURATOR'!$H$4</f>
        <v>Delta 6</v>
      </c>
      <c r="C3" s="321"/>
      <c r="D3" s="321"/>
      <c r="E3" s="321"/>
      <c r="F3" s="52" t="s">
        <v>212</v>
      </c>
      <c r="G3" s="321" t="str">
        <f>+'WORKCELL CONFIGURATOR'!$H$57</f>
        <v>Sunburst EMS</v>
      </c>
      <c r="H3" s="321"/>
      <c r="I3" s="321"/>
      <c r="J3" s="321"/>
      <c r="K3" s="321"/>
      <c r="L3" s="51" t="s">
        <v>210</v>
      </c>
      <c r="M3" s="321" t="str">
        <f>+'WORKCELL CONFIGURATOR'!$H$4</f>
        <v>Delta 6</v>
      </c>
      <c r="N3" s="321"/>
      <c r="O3" s="321"/>
      <c r="P3" s="321"/>
      <c r="Q3" s="52" t="s">
        <v>212</v>
      </c>
      <c r="R3" s="321" t="str">
        <f>+'WORKCELL CONFIGURATOR'!$H$57</f>
        <v>Sunburst EMS</v>
      </c>
      <c r="S3" s="321"/>
      <c r="T3" s="321"/>
      <c r="U3" s="321"/>
      <c r="V3" s="321"/>
    </row>
    <row r="4" spans="1:22" ht="14.45" x14ac:dyDescent="0.3">
      <c r="A4" s="51" t="s">
        <v>211</v>
      </c>
      <c r="B4" s="321" t="str">
        <f>+'WORKCELL BOM'!$L$2</f>
        <v>SUNB4723</v>
      </c>
      <c r="C4" s="321"/>
      <c r="D4" s="321"/>
      <c r="E4" s="321"/>
      <c r="F4" s="52" t="s">
        <v>213</v>
      </c>
      <c r="G4" s="321" t="str">
        <f>+'WORKCELL BOM'!$L$3</f>
        <v>S1088</v>
      </c>
      <c r="H4" s="321"/>
      <c r="I4" s="321"/>
      <c r="J4" s="321"/>
      <c r="K4" s="321"/>
      <c r="L4" s="51" t="s">
        <v>211</v>
      </c>
      <c r="M4" s="321" t="str">
        <f>+'WORKCELL BOM'!$L$2</f>
        <v>SUNB4723</v>
      </c>
      <c r="N4" s="321"/>
      <c r="O4" s="321"/>
      <c r="P4" s="321"/>
      <c r="Q4" s="52" t="s">
        <v>213</v>
      </c>
      <c r="R4" s="321" t="str">
        <f>+'WORKCELL BOM'!$L$3</f>
        <v>S1088</v>
      </c>
      <c r="S4" s="321"/>
      <c r="T4" s="321"/>
      <c r="U4" s="321"/>
      <c r="V4" s="321"/>
    </row>
    <row r="6" spans="1:22" x14ac:dyDescent="0.25">
      <c r="A6" s="59" t="s">
        <v>560</v>
      </c>
      <c r="B6" s="60"/>
      <c r="C6" s="60"/>
      <c r="D6" s="60"/>
      <c r="E6" s="60"/>
      <c r="F6" s="60"/>
      <c r="G6" s="60"/>
      <c r="H6" s="60"/>
      <c r="I6" s="60"/>
      <c r="J6" s="60"/>
      <c r="K6" s="61"/>
      <c r="L6" s="320" t="s">
        <v>218</v>
      </c>
      <c r="M6" s="320"/>
      <c r="N6" s="320"/>
      <c r="O6" s="320"/>
      <c r="P6" s="320"/>
      <c r="Q6" s="320"/>
      <c r="R6" s="320"/>
      <c r="S6" s="320"/>
      <c r="T6" s="320"/>
      <c r="U6" s="320"/>
      <c r="V6" s="320"/>
    </row>
    <row r="7" spans="1:22" x14ac:dyDescent="0.25">
      <c r="A7" s="56" t="s">
        <v>220</v>
      </c>
      <c r="B7" s="310" t="s">
        <v>221</v>
      </c>
      <c r="C7" s="310"/>
      <c r="D7" s="310"/>
      <c r="E7" s="310"/>
      <c r="F7" s="58" t="s">
        <v>220</v>
      </c>
      <c r="G7" s="310" t="s">
        <v>225</v>
      </c>
      <c r="H7" s="310"/>
      <c r="I7" s="310"/>
      <c r="J7" s="310"/>
      <c r="K7" s="30"/>
      <c r="L7" s="320"/>
      <c r="M7" s="320"/>
      <c r="N7" s="320"/>
      <c r="O7" s="320"/>
      <c r="P7" s="320"/>
      <c r="Q7" s="320"/>
      <c r="R7" s="320"/>
      <c r="S7" s="320"/>
      <c r="T7" s="320"/>
      <c r="U7" s="320"/>
      <c r="V7" s="320"/>
    </row>
    <row r="8" spans="1:22" ht="14.45" x14ac:dyDescent="0.3">
      <c r="A8" s="56" t="s">
        <v>220</v>
      </c>
      <c r="B8" s="310" t="s">
        <v>222</v>
      </c>
      <c r="C8" s="310"/>
      <c r="D8" s="310"/>
      <c r="E8" s="310"/>
      <c r="F8" s="58" t="s">
        <v>220</v>
      </c>
      <c r="G8" s="310" t="s">
        <v>226</v>
      </c>
      <c r="H8" s="310"/>
      <c r="I8" s="310"/>
      <c r="J8" s="310"/>
      <c r="K8" s="30"/>
      <c r="L8" s="50" t="s">
        <v>215</v>
      </c>
      <c r="M8" s="50" t="s">
        <v>216</v>
      </c>
      <c r="N8" s="50" t="s">
        <v>545</v>
      </c>
      <c r="O8" s="328" t="s">
        <v>106</v>
      </c>
      <c r="P8" s="329"/>
      <c r="Q8" s="329"/>
      <c r="R8" s="329"/>
      <c r="S8" s="329"/>
      <c r="T8" s="330"/>
      <c r="U8" s="50" t="s">
        <v>217</v>
      </c>
      <c r="V8" s="50" t="s">
        <v>216</v>
      </c>
    </row>
    <row r="9" spans="1:22" ht="14.45" x14ac:dyDescent="0.3">
      <c r="A9" s="56" t="s">
        <v>220</v>
      </c>
      <c r="B9" s="310" t="s">
        <v>223</v>
      </c>
      <c r="C9" s="310"/>
      <c r="D9" s="310"/>
      <c r="E9" s="310"/>
      <c r="F9" s="58" t="s">
        <v>220</v>
      </c>
      <c r="G9" s="310" t="s">
        <v>227</v>
      </c>
      <c r="H9" s="310"/>
      <c r="I9" s="310"/>
      <c r="J9" s="310"/>
      <c r="K9" s="30"/>
      <c r="L9" s="49"/>
      <c r="M9" s="49"/>
      <c r="N9" s="206"/>
      <c r="O9" s="268"/>
      <c r="P9" s="269"/>
      <c r="Q9" s="269"/>
      <c r="R9" s="269"/>
      <c r="S9" s="269"/>
      <c r="T9" s="270"/>
      <c r="U9" s="49"/>
      <c r="V9" s="49"/>
    </row>
    <row r="10" spans="1:22" ht="14.45" x14ac:dyDescent="0.3">
      <c r="A10" s="56" t="s">
        <v>220</v>
      </c>
      <c r="B10" s="310" t="s">
        <v>224</v>
      </c>
      <c r="C10" s="310"/>
      <c r="D10" s="310"/>
      <c r="E10" s="310"/>
      <c r="F10" s="58" t="s">
        <v>220</v>
      </c>
      <c r="G10" s="310" t="s">
        <v>228</v>
      </c>
      <c r="H10" s="310"/>
      <c r="I10" s="310"/>
      <c r="J10" s="310"/>
      <c r="K10" s="30"/>
      <c r="L10" s="49"/>
      <c r="M10" s="49"/>
      <c r="N10" s="206"/>
      <c r="O10" s="268"/>
      <c r="P10" s="269"/>
      <c r="Q10" s="269"/>
      <c r="R10" s="269"/>
      <c r="S10" s="269"/>
      <c r="T10" s="270"/>
      <c r="U10" s="49"/>
      <c r="V10" s="49"/>
    </row>
    <row r="11" spans="1:22" ht="14.45" x14ac:dyDescent="0.3">
      <c r="A11" s="62" t="s">
        <v>304</v>
      </c>
      <c r="B11" s="63"/>
      <c r="C11" s="63"/>
      <c r="D11" s="63"/>
      <c r="E11" s="63"/>
      <c r="F11" s="60"/>
      <c r="G11" s="60"/>
      <c r="H11" s="60"/>
      <c r="I11" s="60"/>
      <c r="J11" s="60"/>
      <c r="K11" s="61"/>
      <c r="L11" s="49"/>
      <c r="M11" s="49"/>
      <c r="N11" s="206"/>
      <c r="O11" s="268"/>
      <c r="P11" s="269"/>
      <c r="Q11" s="269"/>
      <c r="R11" s="269"/>
      <c r="S11" s="269"/>
      <c r="T11" s="270"/>
      <c r="U11" s="49"/>
      <c r="V11" s="49"/>
    </row>
    <row r="12" spans="1:22" x14ac:dyDescent="0.25">
      <c r="A12" s="317" t="s">
        <v>230</v>
      </c>
      <c r="B12" s="318" t="s">
        <v>232</v>
      </c>
      <c r="C12" s="318"/>
      <c r="D12" s="318"/>
      <c r="E12" s="318"/>
      <c r="G12" s="317" t="s">
        <v>233</v>
      </c>
      <c r="H12" s="318" t="s">
        <v>232</v>
      </c>
      <c r="I12" s="318"/>
      <c r="J12" s="318"/>
      <c r="K12" s="318"/>
      <c r="L12" s="49"/>
      <c r="M12" s="49"/>
      <c r="N12" s="206"/>
      <c r="O12" s="268"/>
      <c r="P12" s="269"/>
      <c r="Q12" s="269"/>
      <c r="R12" s="269"/>
      <c r="S12" s="269"/>
      <c r="T12" s="270"/>
      <c r="U12" s="49"/>
      <c r="V12" s="49"/>
    </row>
    <row r="13" spans="1:22" x14ac:dyDescent="0.25">
      <c r="A13" s="317"/>
      <c r="B13" s="318"/>
      <c r="C13" s="318"/>
      <c r="D13" s="318"/>
      <c r="E13" s="318"/>
      <c r="G13" s="317"/>
      <c r="H13" s="318"/>
      <c r="I13" s="318"/>
      <c r="J13" s="318"/>
      <c r="K13" s="318"/>
      <c r="L13" s="49"/>
      <c r="M13" s="49"/>
      <c r="N13" s="206"/>
      <c r="O13" s="268"/>
      <c r="P13" s="269"/>
      <c r="Q13" s="269"/>
      <c r="R13" s="269"/>
      <c r="S13" s="269"/>
      <c r="T13" s="270"/>
      <c r="U13" s="49"/>
      <c r="V13" s="49"/>
    </row>
    <row r="14" spans="1:22" x14ac:dyDescent="0.25">
      <c r="A14" s="317" t="s">
        <v>231</v>
      </c>
      <c r="B14" s="318" t="s">
        <v>232</v>
      </c>
      <c r="C14" s="318"/>
      <c r="D14" s="318"/>
      <c r="E14" s="318"/>
      <c r="G14" s="317" t="s">
        <v>234</v>
      </c>
      <c r="H14" s="318" t="s">
        <v>232</v>
      </c>
      <c r="I14" s="318"/>
      <c r="J14" s="318"/>
      <c r="K14" s="318"/>
      <c r="L14" s="49"/>
      <c r="M14" s="49"/>
      <c r="N14" s="206"/>
      <c r="O14" s="268"/>
      <c r="P14" s="269"/>
      <c r="Q14" s="269"/>
      <c r="R14" s="269"/>
      <c r="S14" s="269"/>
      <c r="T14" s="270"/>
      <c r="U14" s="49"/>
      <c r="V14" s="49"/>
    </row>
    <row r="15" spans="1:22" x14ac:dyDescent="0.25">
      <c r="A15" s="317"/>
      <c r="B15" s="318"/>
      <c r="C15" s="318"/>
      <c r="D15" s="318"/>
      <c r="E15" s="318"/>
      <c r="G15" s="317"/>
      <c r="H15" s="318"/>
      <c r="I15" s="318"/>
      <c r="J15" s="318"/>
      <c r="K15" s="318"/>
      <c r="L15" s="49"/>
      <c r="M15" s="49"/>
      <c r="N15" s="206"/>
      <c r="O15" s="268"/>
      <c r="P15" s="269"/>
      <c r="Q15" s="269"/>
      <c r="R15" s="269"/>
      <c r="S15" s="269"/>
      <c r="T15" s="270"/>
      <c r="U15" s="49"/>
      <c r="V15" s="49"/>
    </row>
    <row r="16" spans="1:22" x14ac:dyDescent="0.25">
      <c r="A16" s="311" t="s">
        <v>229</v>
      </c>
      <c r="B16" s="312"/>
      <c r="C16" s="312"/>
      <c r="D16" s="312"/>
      <c r="E16" s="312"/>
      <c r="F16" s="312"/>
      <c r="G16" s="312"/>
      <c r="H16" s="313"/>
      <c r="I16" s="311" t="s">
        <v>166</v>
      </c>
      <c r="J16" s="312"/>
      <c r="K16" s="313"/>
      <c r="L16" s="49"/>
      <c r="M16" s="49"/>
      <c r="N16" s="206"/>
      <c r="O16" s="268"/>
      <c r="P16" s="269"/>
      <c r="Q16" s="269"/>
      <c r="R16" s="269"/>
      <c r="S16" s="269"/>
      <c r="T16" s="270"/>
      <c r="U16" s="49"/>
      <c r="V16" s="49"/>
    </row>
    <row r="17" spans="1:22" x14ac:dyDescent="0.25">
      <c r="A17" s="314"/>
      <c r="B17" s="315"/>
      <c r="C17" s="315"/>
      <c r="D17" s="315"/>
      <c r="E17" s="315"/>
      <c r="F17" s="315"/>
      <c r="G17" s="315"/>
      <c r="H17" s="316"/>
      <c r="I17" s="314"/>
      <c r="J17" s="315"/>
      <c r="K17" s="316"/>
      <c r="L17" s="49"/>
      <c r="M17" s="49"/>
      <c r="N17" s="206"/>
      <c r="O17" s="268"/>
      <c r="P17" s="269"/>
      <c r="Q17" s="269"/>
      <c r="R17" s="269"/>
      <c r="S17" s="269"/>
      <c r="T17" s="270"/>
      <c r="U17" s="49"/>
      <c r="V17" s="49"/>
    </row>
    <row r="18" spans="1:22" x14ac:dyDescent="0.25">
      <c r="L18" s="49"/>
      <c r="M18" s="49"/>
      <c r="N18" s="206"/>
      <c r="O18" s="268"/>
      <c r="P18" s="269"/>
      <c r="Q18" s="269"/>
      <c r="R18" s="269"/>
      <c r="S18" s="269"/>
      <c r="T18" s="270"/>
      <c r="U18" s="49"/>
      <c r="V18" s="49"/>
    </row>
    <row r="19" spans="1:22" x14ac:dyDescent="0.25">
      <c r="A19" s="68" t="s">
        <v>241</v>
      </c>
      <c r="B19" s="69"/>
      <c r="C19" s="69"/>
      <c r="D19" s="69"/>
      <c r="E19" s="69"/>
      <c r="F19" s="69"/>
      <c r="G19" s="69"/>
      <c r="H19" s="69"/>
      <c r="I19" s="69"/>
      <c r="J19" s="69"/>
      <c r="K19" s="70"/>
      <c r="L19" s="49"/>
      <c r="M19" s="49"/>
      <c r="N19" s="206"/>
      <c r="O19" s="268"/>
      <c r="P19" s="269"/>
      <c r="Q19" s="269"/>
      <c r="R19" s="269"/>
      <c r="S19" s="269"/>
      <c r="T19" s="270"/>
      <c r="U19" s="49"/>
      <c r="V19" s="49"/>
    </row>
    <row r="20" spans="1:22" x14ac:dyDescent="0.25">
      <c r="A20" s="56" t="s">
        <v>220</v>
      </c>
      <c r="B20" s="319" t="s">
        <v>251</v>
      </c>
      <c r="C20" s="319"/>
      <c r="D20" s="319"/>
      <c r="E20" s="319"/>
      <c r="F20" s="58" t="s">
        <v>220</v>
      </c>
      <c r="G20" s="57" t="s">
        <v>246</v>
      </c>
      <c r="H20" s="57"/>
      <c r="I20" s="57"/>
      <c r="J20" s="57"/>
      <c r="K20" s="30"/>
      <c r="L20" s="49"/>
      <c r="M20" s="49"/>
      <c r="N20" s="206"/>
      <c r="O20" s="268"/>
      <c r="P20" s="269"/>
      <c r="Q20" s="269"/>
      <c r="R20" s="269"/>
      <c r="S20" s="269"/>
      <c r="T20" s="270"/>
      <c r="U20" s="49"/>
      <c r="V20" s="49"/>
    </row>
    <row r="21" spans="1:22" x14ac:dyDescent="0.25">
      <c r="A21" s="56" t="s">
        <v>220</v>
      </c>
      <c r="B21" s="310" t="s">
        <v>243</v>
      </c>
      <c r="C21" s="310"/>
      <c r="D21" s="310"/>
      <c r="E21" s="310"/>
      <c r="F21" s="58" t="s">
        <v>220</v>
      </c>
      <c r="G21" s="310" t="s">
        <v>247</v>
      </c>
      <c r="H21" s="310"/>
      <c r="I21" s="310"/>
      <c r="J21" s="310"/>
      <c r="K21" s="30"/>
      <c r="L21" s="49"/>
      <c r="M21" s="49"/>
      <c r="N21" s="206"/>
      <c r="O21" s="268"/>
      <c r="P21" s="269"/>
      <c r="Q21" s="269"/>
      <c r="R21" s="269"/>
      <c r="S21" s="269"/>
      <c r="T21" s="270"/>
      <c r="U21" s="49"/>
      <c r="V21" s="49"/>
    </row>
    <row r="22" spans="1:22" x14ac:dyDescent="0.25">
      <c r="A22" s="56" t="s">
        <v>220</v>
      </c>
      <c r="B22" s="310" t="s">
        <v>244</v>
      </c>
      <c r="C22" s="310"/>
      <c r="D22" s="310"/>
      <c r="E22" s="310"/>
      <c r="F22" s="58" t="s">
        <v>220</v>
      </c>
      <c r="G22" s="57" t="s">
        <v>248</v>
      </c>
      <c r="H22" s="57"/>
      <c r="I22" s="57"/>
      <c r="J22" s="57"/>
      <c r="K22" s="30"/>
      <c r="L22" s="49"/>
      <c r="M22" s="49"/>
      <c r="N22" s="206"/>
      <c r="O22" s="268"/>
      <c r="P22" s="269"/>
      <c r="Q22" s="269"/>
      <c r="R22" s="269"/>
      <c r="S22" s="269"/>
      <c r="T22" s="270"/>
      <c r="U22" s="49"/>
      <c r="V22" s="49"/>
    </row>
    <row r="23" spans="1:22" x14ac:dyDescent="0.25">
      <c r="A23" s="56" t="s">
        <v>220</v>
      </c>
      <c r="B23" s="310" t="s">
        <v>245</v>
      </c>
      <c r="C23" s="310"/>
      <c r="D23" s="310"/>
      <c r="E23" s="310"/>
      <c r="F23" s="58" t="s">
        <v>220</v>
      </c>
      <c r="G23" s="57" t="s">
        <v>273</v>
      </c>
      <c r="H23" s="57"/>
      <c r="I23" s="57"/>
      <c r="J23" s="57"/>
      <c r="K23" s="30"/>
      <c r="L23" s="49"/>
      <c r="M23" s="49"/>
      <c r="N23" s="206"/>
      <c r="O23" s="268"/>
      <c r="P23" s="269"/>
      <c r="Q23" s="269"/>
      <c r="R23" s="269"/>
      <c r="S23" s="269"/>
      <c r="T23" s="270"/>
      <c r="U23" s="49"/>
      <c r="V23" s="49"/>
    </row>
    <row r="24" spans="1:22" x14ac:dyDescent="0.25">
      <c r="A24" s="56" t="s">
        <v>220</v>
      </c>
      <c r="B24" s="310" t="s">
        <v>249</v>
      </c>
      <c r="C24" s="310"/>
      <c r="D24" s="310"/>
      <c r="E24" s="310"/>
      <c r="F24" s="58" t="s">
        <v>220</v>
      </c>
      <c r="G24" s="57" t="s">
        <v>250</v>
      </c>
      <c r="H24" s="57"/>
      <c r="I24" s="57"/>
      <c r="J24" s="57"/>
      <c r="K24" s="30"/>
      <c r="L24" s="49"/>
      <c r="M24" s="49"/>
      <c r="N24" s="206"/>
      <c r="O24" s="268"/>
      <c r="P24" s="269"/>
      <c r="Q24" s="269"/>
      <c r="R24" s="269"/>
      <c r="S24" s="269"/>
      <c r="T24" s="270"/>
      <c r="U24" s="49"/>
      <c r="V24" s="49"/>
    </row>
    <row r="25" spans="1:22" x14ac:dyDescent="0.25">
      <c r="A25" s="68" t="s">
        <v>242</v>
      </c>
      <c r="B25" s="69"/>
      <c r="C25" s="69"/>
      <c r="D25" s="69"/>
      <c r="E25" s="69"/>
      <c r="F25" s="69"/>
      <c r="G25" s="69"/>
      <c r="H25" s="69"/>
      <c r="I25" s="69"/>
      <c r="J25" s="69"/>
      <c r="K25" s="70"/>
      <c r="L25" s="49"/>
      <c r="M25" s="49"/>
      <c r="N25" s="206"/>
      <c r="O25" s="268"/>
      <c r="P25" s="269"/>
      <c r="Q25" s="269"/>
      <c r="R25" s="269"/>
      <c r="S25" s="269"/>
      <c r="T25" s="270"/>
      <c r="U25" s="49"/>
      <c r="V25" s="49"/>
    </row>
    <row r="26" spans="1:22" x14ac:dyDescent="0.25">
      <c r="A26" s="56" t="s">
        <v>220</v>
      </c>
      <c r="B26" s="57" t="s">
        <v>252</v>
      </c>
      <c r="C26" s="57"/>
      <c r="D26" s="57"/>
      <c r="E26" s="57"/>
      <c r="F26" s="58" t="s">
        <v>220</v>
      </c>
      <c r="G26" s="57" t="s">
        <v>275</v>
      </c>
      <c r="H26" s="57"/>
      <c r="I26" s="57"/>
      <c r="J26" s="57"/>
      <c r="K26" s="30"/>
      <c r="L26" s="49"/>
      <c r="M26" s="49"/>
      <c r="N26" s="206"/>
      <c r="O26" s="268"/>
      <c r="P26" s="269"/>
      <c r="Q26" s="269"/>
      <c r="R26" s="269"/>
      <c r="S26" s="269"/>
      <c r="T26" s="270"/>
      <c r="U26" s="49"/>
      <c r="V26" s="49"/>
    </row>
    <row r="27" spans="1:22" x14ac:dyDescent="0.25">
      <c r="A27" s="56" t="s">
        <v>220</v>
      </c>
      <c r="B27" s="71" t="s">
        <v>253</v>
      </c>
      <c r="C27" s="57"/>
      <c r="D27" s="57"/>
      <c r="E27" s="57"/>
      <c r="F27" s="58" t="s">
        <v>220</v>
      </c>
      <c r="G27" s="57" t="s">
        <v>255</v>
      </c>
      <c r="H27" s="57"/>
      <c r="I27" s="57"/>
      <c r="J27" s="57"/>
      <c r="K27" s="30"/>
      <c r="L27" s="49"/>
      <c r="M27" s="49"/>
      <c r="N27" s="206"/>
      <c r="O27" s="268"/>
      <c r="P27" s="269"/>
      <c r="Q27" s="269"/>
      <c r="R27" s="269"/>
      <c r="S27" s="269"/>
      <c r="T27" s="270"/>
      <c r="U27" s="49"/>
      <c r="V27" s="49"/>
    </row>
    <row r="28" spans="1:22" x14ac:dyDescent="0.25">
      <c r="A28" s="56" t="s">
        <v>220</v>
      </c>
      <c r="B28" s="71" t="s">
        <v>276</v>
      </c>
      <c r="C28" s="57"/>
      <c r="D28" s="57"/>
      <c r="E28" s="57"/>
      <c r="F28" s="58" t="s">
        <v>220</v>
      </c>
      <c r="G28" s="71" t="s">
        <v>256</v>
      </c>
      <c r="H28" s="57"/>
      <c r="I28" s="57"/>
      <c r="J28" s="57"/>
      <c r="K28" s="30"/>
      <c r="L28" s="49"/>
      <c r="M28" s="49"/>
      <c r="N28" s="206"/>
      <c r="O28" s="268"/>
      <c r="P28" s="269"/>
      <c r="Q28" s="269"/>
      <c r="R28" s="269"/>
      <c r="S28" s="269"/>
      <c r="T28" s="270"/>
      <c r="U28" s="49"/>
      <c r="V28" s="49"/>
    </row>
    <row r="29" spans="1:22" x14ac:dyDescent="0.25">
      <c r="A29" s="58" t="s">
        <v>220</v>
      </c>
      <c r="B29" s="57" t="s">
        <v>254</v>
      </c>
      <c r="C29" s="57"/>
      <c r="D29" s="57"/>
      <c r="E29" s="57"/>
      <c r="F29" s="58" t="s">
        <v>220</v>
      </c>
      <c r="G29" s="71" t="s">
        <v>257</v>
      </c>
      <c r="H29" s="57"/>
      <c r="I29" s="57"/>
      <c r="J29" s="57"/>
      <c r="K29" s="30"/>
      <c r="L29" s="49"/>
      <c r="M29" s="49"/>
      <c r="N29" s="206"/>
      <c r="O29" s="268"/>
      <c r="P29" s="269"/>
      <c r="Q29" s="269"/>
      <c r="R29" s="269"/>
      <c r="S29" s="269"/>
      <c r="T29" s="270"/>
      <c r="U29" s="49"/>
      <c r="V29" s="49"/>
    </row>
    <row r="30" spans="1:22" x14ac:dyDescent="0.25">
      <c r="A30" s="58" t="s">
        <v>220</v>
      </c>
      <c r="B30" s="57" t="s">
        <v>274</v>
      </c>
      <c r="C30" s="8"/>
      <c r="D30" s="8"/>
      <c r="E30" s="8"/>
      <c r="H30" s="8"/>
      <c r="I30" s="8"/>
      <c r="J30" s="8"/>
      <c r="K30" s="30"/>
      <c r="L30" s="331" t="s">
        <v>278</v>
      </c>
      <c r="M30" s="331"/>
      <c r="N30" s="331"/>
      <c r="O30" s="331"/>
      <c r="P30" s="331"/>
      <c r="Q30" s="331"/>
      <c r="R30" s="331"/>
      <c r="S30" s="331"/>
      <c r="T30" s="331" t="s">
        <v>216</v>
      </c>
      <c r="U30" s="331"/>
      <c r="V30" s="331"/>
    </row>
    <row r="31" spans="1:22" x14ac:dyDescent="0.25">
      <c r="C31" s="8"/>
      <c r="D31" s="8"/>
      <c r="E31" s="8"/>
      <c r="H31" s="8"/>
      <c r="I31" s="8"/>
      <c r="J31" s="8"/>
      <c r="K31" s="30"/>
      <c r="L31" s="331"/>
      <c r="M31" s="331"/>
      <c r="N31" s="331"/>
      <c r="O31" s="331"/>
      <c r="P31" s="331"/>
      <c r="Q31" s="331"/>
      <c r="R31" s="331"/>
      <c r="S31" s="331"/>
      <c r="T31" s="331"/>
      <c r="U31" s="331"/>
      <c r="V31" s="331"/>
    </row>
    <row r="32" spans="1:22" x14ac:dyDescent="0.25">
      <c r="A32" s="338" t="s">
        <v>258</v>
      </c>
      <c r="B32" s="339"/>
      <c r="C32" s="340" t="s">
        <v>259</v>
      </c>
      <c r="D32" s="340"/>
      <c r="E32" s="340"/>
      <c r="F32" s="340"/>
      <c r="G32" s="340"/>
      <c r="H32" s="340"/>
      <c r="I32" s="311" t="s">
        <v>166</v>
      </c>
      <c r="J32" s="312"/>
      <c r="K32" s="313"/>
      <c r="L32" s="331" t="s">
        <v>279</v>
      </c>
      <c r="M32" s="331"/>
      <c r="N32" s="331"/>
      <c r="O32" s="331"/>
      <c r="P32" s="331"/>
      <c r="Q32" s="331"/>
      <c r="R32" s="331"/>
      <c r="S32" s="331"/>
      <c r="T32" s="331" t="s">
        <v>216</v>
      </c>
      <c r="U32" s="331"/>
      <c r="V32" s="331"/>
    </row>
    <row r="33" spans="1:22" x14ac:dyDescent="0.25">
      <c r="A33" s="338"/>
      <c r="B33" s="339"/>
      <c r="C33" s="340"/>
      <c r="D33" s="340"/>
      <c r="E33" s="340"/>
      <c r="F33" s="340"/>
      <c r="G33" s="340"/>
      <c r="H33" s="340"/>
      <c r="I33" s="314"/>
      <c r="J33" s="315"/>
      <c r="K33" s="316"/>
      <c r="L33" s="331"/>
      <c r="M33" s="331"/>
      <c r="N33" s="331"/>
      <c r="O33" s="331"/>
      <c r="P33" s="331"/>
      <c r="Q33" s="331"/>
      <c r="R33" s="331"/>
      <c r="S33" s="331"/>
      <c r="T33" s="331"/>
      <c r="U33" s="331"/>
      <c r="V33" s="331"/>
    </row>
    <row r="34" spans="1:22" x14ac:dyDescent="0.25">
      <c r="A34" s="311" t="s">
        <v>260</v>
      </c>
      <c r="B34" s="312"/>
      <c r="C34" s="312"/>
      <c r="D34" s="312"/>
      <c r="E34" s="312"/>
      <c r="F34" s="312"/>
      <c r="G34" s="312"/>
      <c r="H34" s="313"/>
      <c r="I34" s="311" t="s">
        <v>166</v>
      </c>
      <c r="J34" s="312"/>
      <c r="K34" s="313"/>
      <c r="L34" s="331" t="s">
        <v>301</v>
      </c>
      <c r="M34" s="331"/>
      <c r="N34" s="331"/>
      <c r="O34" s="331"/>
      <c r="P34" s="331"/>
      <c r="Q34" s="331"/>
      <c r="R34" s="331"/>
      <c r="S34" s="331"/>
      <c r="T34" s="331" t="s">
        <v>216</v>
      </c>
      <c r="U34" s="331"/>
      <c r="V34" s="331"/>
    </row>
    <row r="35" spans="1:22" x14ac:dyDescent="0.25">
      <c r="A35" s="314"/>
      <c r="B35" s="315"/>
      <c r="C35" s="315"/>
      <c r="D35" s="315"/>
      <c r="E35" s="315"/>
      <c r="F35" s="315"/>
      <c r="G35" s="315"/>
      <c r="H35" s="316"/>
      <c r="I35" s="314"/>
      <c r="J35" s="315"/>
      <c r="K35" s="316"/>
      <c r="L35" s="331"/>
      <c r="M35" s="331"/>
      <c r="N35" s="331"/>
      <c r="O35" s="331"/>
      <c r="P35" s="331"/>
      <c r="Q35" s="331"/>
      <c r="R35" s="331"/>
      <c r="S35" s="331"/>
      <c r="T35" s="331"/>
      <c r="U35" s="331"/>
      <c r="V35" s="331"/>
    </row>
    <row r="36" spans="1:22" x14ac:dyDescent="0.25">
      <c r="L36" s="73" t="s">
        <v>297</v>
      </c>
      <c r="M36" s="74"/>
      <c r="N36" s="74"/>
      <c r="O36" s="82"/>
      <c r="P36" s="82"/>
      <c r="Q36" s="82"/>
      <c r="R36" s="82"/>
      <c r="S36" s="82"/>
      <c r="T36" s="82"/>
      <c r="U36" s="74"/>
      <c r="V36" s="75"/>
    </row>
    <row r="37" spans="1:22" ht="15" customHeight="1" x14ac:dyDescent="0.25">
      <c r="A37" s="64" t="s">
        <v>219</v>
      </c>
      <c r="B37" s="65"/>
      <c r="C37" s="65"/>
      <c r="D37" s="65"/>
      <c r="E37" s="65"/>
      <c r="F37" s="65"/>
      <c r="G37" s="65"/>
      <c r="H37" s="65"/>
      <c r="I37" s="65"/>
      <c r="J37" s="65"/>
      <c r="K37" s="66"/>
      <c r="L37" s="354" t="s">
        <v>303</v>
      </c>
      <c r="M37" s="355"/>
      <c r="N37" s="355"/>
      <c r="O37" s="355"/>
      <c r="P37" s="355"/>
      <c r="Q37" s="355"/>
      <c r="R37" s="355"/>
      <c r="S37" s="355"/>
      <c r="T37" s="355"/>
      <c r="U37" s="355"/>
      <c r="V37" s="356"/>
    </row>
    <row r="38" spans="1:22" ht="15" customHeight="1" x14ac:dyDescent="0.25">
      <c r="A38" s="56" t="s">
        <v>220</v>
      </c>
      <c r="B38" s="310" t="s">
        <v>235</v>
      </c>
      <c r="C38" s="310"/>
      <c r="D38" s="310"/>
      <c r="E38" s="310"/>
      <c r="F38" s="58" t="s">
        <v>220</v>
      </c>
      <c r="G38" s="310" t="s">
        <v>238</v>
      </c>
      <c r="H38" s="310"/>
      <c r="I38" s="310"/>
      <c r="J38" s="310"/>
      <c r="K38" s="30"/>
      <c r="L38" s="357"/>
      <c r="M38" s="358"/>
      <c r="N38" s="358"/>
      <c r="O38" s="358"/>
      <c r="P38" s="358"/>
      <c r="Q38" s="358"/>
      <c r="R38" s="358"/>
      <c r="S38" s="358"/>
      <c r="T38" s="358"/>
      <c r="U38" s="358"/>
      <c r="V38" s="359"/>
    </row>
    <row r="39" spans="1:22" ht="15" customHeight="1" x14ac:dyDescent="0.25">
      <c r="A39" s="56" t="s">
        <v>220</v>
      </c>
      <c r="B39" s="310" t="s">
        <v>236</v>
      </c>
      <c r="C39" s="310"/>
      <c r="D39" s="310"/>
      <c r="E39" s="310"/>
      <c r="F39" s="58" t="s">
        <v>220</v>
      </c>
      <c r="G39" s="310" t="s">
        <v>240</v>
      </c>
      <c r="H39" s="310"/>
      <c r="I39" s="310"/>
      <c r="J39" s="310"/>
      <c r="K39" s="30"/>
      <c r="L39" s="357"/>
      <c r="M39" s="358"/>
      <c r="N39" s="358"/>
      <c r="O39" s="358"/>
      <c r="P39" s="358"/>
      <c r="Q39" s="358"/>
      <c r="R39" s="358"/>
      <c r="S39" s="358"/>
      <c r="T39" s="358"/>
      <c r="U39" s="358"/>
      <c r="V39" s="359"/>
    </row>
    <row r="40" spans="1:22" x14ac:dyDescent="0.25">
      <c r="A40" s="78" t="s">
        <v>220</v>
      </c>
      <c r="B40" s="342" t="s">
        <v>237</v>
      </c>
      <c r="C40" s="342"/>
      <c r="D40" s="342"/>
      <c r="E40" s="342"/>
      <c r="F40" s="79" t="s">
        <v>220</v>
      </c>
      <c r="G40" s="342" t="s">
        <v>239</v>
      </c>
      <c r="H40" s="342"/>
      <c r="I40" s="342"/>
      <c r="J40" s="342"/>
      <c r="K40" s="33"/>
      <c r="L40" s="360"/>
      <c r="M40" s="361"/>
      <c r="N40" s="361"/>
      <c r="O40" s="361"/>
      <c r="P40" s="361"/>
      <c r="Q40" s="361"/>
      <c r="R40" s="361"/>
      <c r="S40" s="361"/>
      <c r="T40" s="361"/>
      <c r="U40" s="361"/>
      <c r="V40" s="362"/>
    </row>
    <row r="41" spans="1:22" x14ac:dyDescent="0.25">
      <c r="A41" s="311" t="s">
        <v>229</v>
      </c>
      <c r="B41" s="312"/>
      <c r="C41" s="312"/>
      <c r="D41" s="312"/>
      <c r="E41" s="312"/>
      <c r="F41" s="312"/>
      <c r="G41" s="312"/>
      <c r="H41" s="313"/>
      <c r="I41" s="311" t="s">
        <v>166</v>
      </c>
      <c r="J41" s="312"/>
      <c r="K41" s="313"/>
      <c r="L41" s="363" t="s">
        <v>212</v>
      </c>
      <c r="M41" s="335" t="str">
        <f>+'WORKCELL CONFIGURATOR'!$H$57</f>
        <v>Sunburst EMS</v>
      </c>
      <c r="N41" s="335"/>
      <c r="O41" s="335"/>
      <c r="P41" s="335"/>
      <c r="Q41" s="335"/>
      <c r="R41" s="371" t="s">
        <v>298</v>
      </c>
      <c r="S41" s="371"/>
      <c r="T41" s="371"/>
      <c r="U41" s="371"/>
      <c r="V41" s="371"/>
    </row>
    <row r="42" spans="1:22" x14ac:dyDescent="0.25">
      <c r="A42" s="314"/>
      <c r="B42" s="315"/>
      <c r="C42" s="315"/>
      <c r="D42" s="315"/>
      <c r="E42" s="315"/>
      <c r="F42" s="315"/>
      <c r="G42" s="315"/>
      <c r="H42" s="316"/>
      <c r="I42" s="314"/>
      <c r="J42" s="315"/>
      <c r="K42" s="316"/>
      <c r="L42" s="364"/>
      <c r="M42" s="335"/>
      <c r="N42" s="335"/>
      <c r="O42" s="335"/>
      <c r="P42" s="335"/>
      <c r="Q42" s="335"/>
      <c r="R42" s="371"/>
      <c r="S42" s="371"/>
      <c r="T42" s="371"/>
      <c r="U42" s="371"/>
      <c r="V42" s="371"/>
    </row>
    <row r="43" spans="1:22" x14ac:dyDescent="0.25">
      <c r="L43" s="365" t="s">
        <v>480</v>
      </c>
      <c r="M43" s="366"/>
      <c r="N43" s="366"/>
      <c r="O43" s="366"/>
      <c r="P43" s="366"/>
      <c r="Q43" s="367"/>
      <c r="R43" s="371" t="s">
        <v>299</v>
      </c>
      <c r="S43" s="371"/>
      <c r="T43" s="371"/>
      <c r="U43" s="371"/>
      <c r="V43" s="371"/>
    </row>
    <row r="44" spans="1:22" x14ac:dyDescent="0.25">
      <c r="L44" s="368"/>
      <c r="M44" s="369"/>
      <c r="N44" s="369"/>
      <c r="O44" s="369"/>
      <c r="P44" s="369"/>
      <c r="Q44" s="370"/>
      <c r="R44" s="371"/>
      <c r="S44" s="371"/>
      <c r="T44" s="371"/>
      <c r="U44" s="371"/>
      <c r="V44" s="371"/>
    </row>
    <row r="45" spans="1:22" x14ac:dyDescent="0.25">
      <c r="L45" s="365" t="s">
        <v>216</v>
      </c>
      <c r="M45" s="366"/>
      <c r="N45" s="366"/>
      <c r="O45" s="366"/>
      <c r="P45" s="366"/>
      <c r="Q45" s="367"/>
      <c r="R45" s="371" t="s">
        <v>300</v>
      </c>
      <c r="S45" s="371"/>
      <c r="T45" s="371"/>
      <c r="U45" s="371"/>
      <c r="V45" s="371"/>
    </row>
    <row r="46" spans="1:22" x14ac:dyDescent="0.25">
      <c r="A46" s="67"/>
      <c r="B46" s="67"/>
      <c r="C46" s="67"/>
      <c r="D46" s="67"/>
      <c r="E46" s="67"/>
      <c r="F46" s="67"/>
      <c r="G46" s="67"/>
      <c r="H46" s="67"/>
      <c r="I46" s="67"/>
      <c r="J46" s="67"/>
      <c r="K46" s="67"/>
      <c r="L46" s="368"/>
      <c r="M46" s="369"/>
      <c r="N46" s="369"/>
      <c r="O46" s="369"/>
      <c r="P46" s="369"/>
      <c r="Q46" s="370"/>
      <c r="R46" s="371"/>
      <c r="S46" s="371"/>
      <c r="T46" s="371"/>
      <c r="U46" s="371"/>
      <c r="V46" s="371"/>
    </row>
    <row r="47" spans="1:22" x14ac:dyDescent="0.25">
      <c r="A47" s="55" t="s">
        <v>481</v>
      </c>
      <c r="B47" s="53"/>
      <c r="C47" s="53"/>
      <c r="D47" s="53"/>
      <c r="E47" s="53"/>
      <c r="F47" s="53"/>
      <c r="G47" s="53"/>
      <c r="H47" s="53"/>
      <c r="I47" s="53"/>
      <c r="J47" s="53"/>
      <c r="K47" s="54" t="s">
        <v>214</v>
      </c>
      <c r="L47" s="55" t="s">
        <v>481</v>
      </c>
      <c r="M47" s="53"/>
      <c r="N47" s="53"/>
      <c r="O47" s="53"/>
      <c r="P47" s="53"/>
      <c r="Q47" s="53"/>
      <c r="R47" s="53"/>
      <c r="S47" s="53"/>
      <c r="T47" s="53"/>
      <c r="U47" s="53"/>
      <c r="V47" s="54" t="s">
        <v>214</v>
      </c>
    </row>
    <row r="48" spans="1:22" ht="15" customHeight="1" x14ac:dyDescent="0.25">
      <c r="A48" s="336" t="s">
        <v>209</v>
      </c>
      <c r="B48" s="336"/>
      <c r="C48" s="336"/>
      <c r="D48" s="336"/>
      <c r="E48" s="336"/>
      <c r="F48" s="336"/>
      <c r="G48" s="336"/>
      <c r="H48" s="336"/>
      <c r="I48" s="336"/>
      <c r="J48" s="336"/>
      <c r="K48" s="336"/>
      <c r="L48" s="337" t="s">
        <v>307</v>
      </c>
      <c r="M48" s="337"/>
      <c r="N48" s="337"/>
      <c r="O48" s="337"/>
      <c r="P48" s="337"/>
      <c r="Q48" s="337"/>
      <c r="R48" s="337"/>
      <c r="S48" s="337"/>
      <c r="T48" s="337"/>
      <c r="U48" s="337"/>
      <c r="V48" s="337"/>
    </row>
    <row r="49" spans="1:22" ht="15" customHeight="1" x14ac:dyDescent="0.25">
      <c r="A49" s="336"/>
      <c r="B49" s="336"/>
      <c r="C49" s="336"/>
      <c r="D49" s="336"/>
      <c r="E49" s="336"/>
      <c r="F49" s="336"/>
      <c r="G49" s="336"/>
      <c r="H49" s="336"/>
      <c r="I49" s="336"/>
      <c r="J49" s="336"/>
      <c r="K49" s="336"/>
      <c r="L49" s="337"/>
      <c r="M49" s="337"/>
      <c r="N49" s="337"/>
      <c r="O49" s="337"/>
      <c r="P49" s="337"/>
      <c r="Q49" s="337"/>
      <c r="R49" s="337"/>
      <c r="S49" s="337"/>
      <c r="T49" s="337"/>
      <c r="U49" s="337"/>
      <c r="V49" s="337"/>
    </row>
    <row r="50" spans="1:22" x14ac:dyDescent="0.25">
      <c r="A50" s="51" t="s">
        <v>210</v>
      </c>
      <c r="B50" s="321" t="str">
        <f>+'WORKCELL CONFIGURATOR'!$H$4</f>
        <v>Delta 6</v>
      </c>
      <c r="C50" s="321"/>
      <c r="D50" s="321"/>
      <c r="E50" s="321"/>
      <c r="F50" s="52" t="s">
        <v>212</v>
      </c>
      <c r="G50" s="321" t="str">
        <f>+'WORKCELL CONFIGURATOR'!$H$57</f>
        <v>Sunburst EMS</v>
      </c>
      <c r="H50" s="321"/>
      <c r="I50" s="321"/>
      <c r="J50" s="321"/>
      <c r="K50" s="321"/>
      <c r="L50" s="51" t="s">
        <v>210</v>
      </c>
      <c r="M50" s="321" t="str">
        <f>+'WORKCELL CONFIGURATOR'!$H$4</f>
        <v>Delta 6</v>
      </c>
      <c r="N50" s="321"/>
      <c r="O50" s="321"/>
      <c r="P50" s="321"/>
      <c r="Q50" s="52" t="s">
        <v>212</v>
      </c>
      <c r="R50" s="321" t="str">
        <f>+'WORKCELL CONFIGURATOR'!$H$57</f>
        <v>Sunburst EMS</v>
      </c>
      <c r="S50" s="321"/>
      <c r="T50" s="321"/>
      <c r="U50" s="321"/>
      <c r="V50" s="321"/>
    </row>
    <row r="51" spans="1:22" x14ac:dyDescent="0.25">
      <c r="A51" s="51" t="s">
        <v>211</v>
      </c>
      <c r="B51" s="321" t="str">
        <f>+'WORKCELL BOM'!$L$2</f>
        <v>SUNB4723</v>
      </c>
      <c r="C51" s="321"/>
      <c r="D51" s="321"/>
      <c r="E51" s="321"/>
      <c r="F51" s="52" t="s">
        <v>213</v>
      </c>
      <c r="G51" s="321" t="str">
        <f>+'WORKCELL BOM'!$L$3</f>
        <v>S1088</v>
      </c>
      <c r="H51" s="321"/>
      <c r="I51" s="321"/>
      <c r="J51" s="321"/>
      <c r="K51" s="321"/>
      <c r="L51" s="51" t="s">
        <v>211</v>
      </c>
      <c r="M51" s="321" t="str">
        <f>+'WORKCELL BOM'!$L$2</f>
        <v>SUNB4723</v>
      </c>
      <c r="N51" s="321"/>
      <c r="O51" s="321"/>
      <c r="P51" s="321"/>
      <c r="Q51" s="52" t="s">
        <v>213</v>
      </c>
      <c r="R51" s="321" t="str">
        <f>+'WORKCELL BOM'!$L$3</f>
        <v>S1088</v>
      </c>
      <c r="S51" s="321"/>
      <c r="T51" s="321"/>
      <c r="U51" s="321"/>
      <c r="V51" s="321"/>
    </row>
    <row r="53" spans="1:22" x14ac:dyDescent="0.25">
      <c r="A53" s="59" t="s">
        <v>305</v>
      </c>
      <c r="B53" s="63"/>
      <c r="C53" s="63"/>
      <c r="D53" s="63"/>
      <c r="E53" s="63"/>
      <c r="F53" s="60"/>
      <c r="G53" s="60"/>
      <c r="H53" s="60"/>
      <c r="I53" s="60"/>
      <c r="J53" s="60"/>
      <c r="K53" s="61"/>
    </row>
    <row r="54" spans="1:22" x14ac:dyDescent="0.25">
      <c r="A54" s="29"/>
      <c r="B54" s="8"/>
      <c r="C54" s="8"/>
      <c r="D54" s="8"/>
      <c r="E54" s="8"/>
      <c r="F54" s="8"/>
      <c r="G54" s="8"/>
      <c r="H54" s="8"/>
      <c r="I54" s="8"/>
      <c r="J54" s="8"/>
      <c r="K54" s="30"/>
      <c r="L54" s="86" t="s">
        <v>309</v>
      </c>
      <c r="M54" s="87"/>
      <c r="N54" s="87"/>
      <c r="O54" s="87"/>
      <c r="P54" s="87"/>
      <c r="Q54" s="88"/>
      <c r="R54" s="88"/>
      <c r="S54" s="88"/>
      <c r="T54" s="88"/>
      <c r="U54" s="88"/>
      <c r="V54" s="89"/>
    </row>
    <row r="55" spans="1:22" x14ac:dyDescent="0.25">
      <c r="A55" s="56" t="s">
        <v>220</v>
      </c>
      <c r="B55" s="310" t="s">
        <v>280</v>
      </c>
      <c r="C55" s="310"/>
      <c r="D55" s="310"/>
      <c r="E55" s="310"/>
      <c r="F55" s="58" t="s">
        <v>220</v>
      </c>
      <c r="G55" s="310" t="s">
        <v>287</v>
      </c>
      <c r="H55" s="310"/>
      <c r="I55" s="310"/>
      <c r="J55" s="310"/>
      <c r="K55" s="30"/>
      <c r="L55" s="372" t="s">
        <v>312</v>
      </c>
      <c r="M55" s="373"/>
      <c r="N55" s="373"/>
      <c r="O55" s="373"/>
      <c r="P55" s="373"/>
      <c r="Q55" s="373"/>
      <c r="R55" s="373"/>
      <c r="S55" s="374"/>
      <c r="T55" s="372" t="s">
        <v>216</v>
      </c>
      <c r="U55" s="373"/>
      <c r="V55" s="374"/>
    </row>
    <row r="56" spans="1:22" x14ac:dyDescent="0.25">
      <c r="A56" s="56" t="s">
        <v>220</v>
      </c>
      <c r="B56" s="57" t="s">
        <v>281</v>
      </c>
      <c r="C56" s="57"/>
      <c r="D56" s="57"/>
      <c r="E56" s="57"/>
      <c r="F56" s="58" t="s">
        <v>220</v>
      </c>
      <c r="G56" s="57" t="s">
        <v>282</v>
      </c>
      <c r="H56" s="57"/>
      <c r="I56" s="57"/>
      <c r="J56" s="57"/>
      <c r="K56" s="30"/>
      <c r="L56" s="375"/>
      <c r="M56" s="376"/>
      <c r="N56" s="376"/>
      <c r="O56" s="376"/>
      <c r="P56" s="376"/>
      <c r="Q56" s="376"/>
      <c r="R56" s="376"/>
      <c r="S56" s="377"/>
      <c r="T56" s="375"/>
      <c r="U56" s="376"/>
      <c r="V56" s="377"/>
    </row>
    <row r="57" spans="1:22" x14ac:dyDescent="0.25">
      <c r="A57" s="56" t="s">
        <v>220</v>
      </c>
      <c r="B57" s="57" t="s">
        <v>286</v>
      </c>
      <c r="C57" s="57"/>
      <c r="D57" s="57"/>
      <c r="E57" s="57"/>
      <c r="F57" s="58" t="s">
        <v>220</v>
      </c>
      <c r="G57" s="57" t="s">
        <v>283</v>
      </c>
      <c r="H57" s="8"/>
      <c r="I57" s="8"/>
      <c r="J57" s="8"/>
      <c r="K57" s="30"/>
      <c r="L57" s="372" t="s">
        <v>313</v>
      </c>
      <c r="M57" s="373"/>
      <c r="N57" s="373"/>
      <c r="O57" s="373"/>
      <c r="P57" s="373"/>
      <c r="Q57" s="373"/>
      <c r="R57" s="373"/>
      <c r="S57" s="374"/>
      <c r="T57" s="372" t="s">
        <v>216</v>
      </c>
      <c r="U57" s="373"/>
      <c r="V57" s="374"/>
    </row>
    <row r="58" spans="1:22" x14ac:dyDescent="0.25">
      <c r="A58" s="56" t="s">
        <v>220</v>
      </c>
      <c r="B58" s="57" t="s">
        <v>295</v>
      </c>
      <c r="C58" s="57"/>
      <c r="D58" s="57"/>
      <c r="E58" s="57"/>
      <c r="F58" s="8"/>
      <c r="G58" s="8"/>
      <c r="H58" s="8"/>
      <c r="I58" s="8"/>
      <c r="J58" s="8"/>
      <c r="K58" s="30"/>
      <c r="L58" s="375"/>
      <c r="M58" s="376"/>
      <c r="N58" s="376"/>
      <c r="O58" s="376"/>
      <c r="P58" s="376"/>
      <c r="Q58" s="376"/>
      <c r="R58" s="376"/>
      <c r="S58" s="377"/>
      <c r="T58" s="375"/>
      <c r="U58" s="376"/>
      <c r="V58" s="377"/>
    </row>
    <row r="59" spans="1:22" x14ac:dyDescent="0.25">
      <c r="A59" s="29"/>
      <c r="B59" s="8"/>
      <c r="C59" s="8"/>
      <c r="D59" s="8"/>
      <c r="E59" s="8"/>
      <c r="F59" s="8"/>
      <c r="G59" s="8"/>
      <c r="H59" s="8"/>
      <c r="I59" s="8"/>
      <c r="J59" s="8"/>
      <c r="K59" s="30"/>
    </row>
    <row r="60" spans="1:22" x14ac:dyDescent="0.25">
      <c r="A60" s="311" t="s">
        <v>229</v>
      </c>
      <c r="B60" s="312"/>
      <c r="C60" s="312"/>
      <c r="D60" s="312"/>
      <c r="E60" s="312"/>
      <c r="F60" s="312"/>
      <c r="G60" s="312"/>
      <c r="H60" s="313"/>
      <c r="I60" s="311" t="s">
        <v>166</v>
      </c>
      <c r="J60" s="312"/>
      <c r="K60" s="313"/>
    </row>
    <row r="61" spans="1:22" x14ac:dyDescent="0.25">
      <c r="A61" s="314"/>
      <c r="B61" s="315"/>
      <c r="C61" s="315"/>
      <c r="D61" s="315"/>
      <c r="E61" s="315"/>
      <c r="F61" s="315"/>
      <c r="G61" s="315"/>
      <c r="H61" s="316"/>
      <c r="I61" s="314"/>
      <c r="J61" s="315"/>
      <c r="K61" s="316"/>
      <c r="L61" s="86" t="s">
        <v>308</v>
      </c>
      <c r="M61" s="87"/>
      <c r="N61" s="87"/>
      <c r="O61" s="87"/>
      <c r="P61" s="87"/>
      <c r="Q61" s="88"/>
      <c r="R61" s="88"/>
      <c r="S61" s="88"/>
      <c r="T61" s="88"/>
      <c r="U61" s="88"/>
      <c r="V61" s="89"/>
    </row>
    <row r="62" spans="1:22" x14ac:dyDescent="0.25">
      <c r="L62" s="85" t="s">
        <v>263</v>
      </c>
      <c r="M62" s="74"/>
      <c r="N62" s="74"/>
      <c r="O62" s="74"/>
      <c r="P62" s="75"/>
      <c r="Q62" s="8"/>
      <c r="R62" s="85" t="s">
        <v>266</v>
      </c>
      <c r="S62" s="74"/>
      <c r="T62" s="74"/>
      <c r="U62" s="74"/>
      <c r="V62" s="75"/>
    </row>
    <row r="63" spans="1:22" x14ac:dyDescent="0.25">
      <c r="A63" s="68" t="s">
        <v>306</v>
      </c>
      <c r="B63" s="69"/>
      <c r="C63" s="69"/>
      <c r="D63" s="69"/>
      <c r="E63" s="69"/>
      <c r="F63" s="69"/>
      <c r="G63" s="69"/>
      <c r="H63" s="69"/>
      <c r="I63" s="69"/>
      <c r="J63" s="69"/>
      <c r="K63" s="70"/>
      <c r="L63" s="84" t="s">
        <v>261</v>
      </c>
      <c r="M63" s="341" t="s">
        <v>262</v>
      </c>
      <c r="N63" s="341"/>
      <c r="O63" s="341" t="s">
        <v>213</v>
      </c>
      <c r="P63" s="341"/>
      <c r="Q63" s="8"/>
      <c r="R63" s="341" t="s">
        <v>267</v>
      </c>
      <c r="S63" s="341" t="s">
        <v>272</v>
      </c>
      <c r="T63" s="341"/>
      <c r="U63" s="353" t="s">
        <v>277</v>
      </c>
      <c r="V63" s="353"/>
    </row>
    <row r="64" spans="1:22" x14ac:dyDescent="0.25">
      <c r="A64" s="338" t="s">
        <v>288</v>
      </c>
      <c r="B64" s="339"/>
      <c r="C64" s="332"/>
      <c r="D64" s="332"/>
      <c r="E64" s="332"/>
      <c r="F64" s="8"/>
      <c r="G64" s="333" t="s">
        <v>290</v>
      </c>
      <c r="H64" s="334"/>
      <c r="I64" s="332"/>
      <c r="J64" s="332"/>
      <c r="K64" s="332"/>
      <c r="L64" s="83">
        <v>1</v>
      </c>
      <c r="M64" s="335"/>
      <c r="N64" s="335"/>
      <c r="O64" s="335" t="str">
        <f>+IF(M64="N/A","N/A","")</f>
        <v/>
      </c>
      <c r="P64" s="335"/>
      <c r="Q64" s="8"/>
      <c r="R64" s="339"/>
      <c r="S64" s="339"/>
      <c r="T64" s="339"/>
      <c r="U64" s="338"/>
      <c r="V64" s="338"/>
    </row>
    <row r="65" spans="1:22" x14ac:dyDescent="0.25">
      <c r="A65" s="339"/>
      <c r="B65" s="339"/>
      <c r="C65" s="332"/>
      <c r="D65" s="332"/>
      <c r="E65" s="332"/>
      <c r="F65" s="8"/>
      <c r="G65" s="334"/>
      <c r="H65" s="334"/>
      <c r="I65" s="332"/>
      <c r="J65" s="332"/>
      <c r="K65" s="332"/>
      <c r="L65" s="83">
        <v>2</v>
      </c>
      <c r="M65" s="335"/>
      <c r="N65" s="335"/>
      <c r="O65" s="335"/>
      <c r="P65" s="335"/>
      <c r="Q65" s="8"/>
      <c r="R65" s="83" t="s">
        <v>268</v>
      </c>
      <c r="S65" s="340"/>
      <c r="T65" s="340"/>
      <c r="U65" s="351" t="str">
        <f>+IF('WORKCELL CONFIGURATOR'!H9="Y","","N/A")</f>
        <v/>
      </c>
      <c r="V65" s="352"/>
    </row>
    <row r="66" spans="1:22" x14ac:dyDescent="0.25">
      <c r="A66" s="338" t="s">
        <v>289</v>
      </c>
      <c r="B66" s="339"/>
      <c r="C66" s="332"/>
      <c r="D66" s="332"/>
      <c r="E66" s="332"/>
      <c r="F66" s="8"/>
      <c r="G66" s="8"/>
      <c r="H66" s="8"/>
      <c r="I66" s="8"/>
      <c r="J66" s="8"/>
      <c r="K66" s="30"/>
      <c r="L66" s="83">
        <v>3</v>
      </c>
      <c r="M66" s="335"/>
      <c r="N66" s="335"/>
      <c r="O66" s="335"/>
      <c r="P66" s="335"/>
      <c r="Q66" s="8"/>
      <c r="R66" s="83" t="s">
        <v>269</v>
      </c>
      <c r="S66" s="339"/>
      <c r="T66" s="339"/>
      <c r="U66" s="351" t="str">
        <f>+IF('WORKCELL CONFIGURATOR'!H14="Y","","N/A")</f>
        <v>N/A</v>
      </c>
      <c r="V66" s="352"/>
    </row>
    <row r="67" spans="1:22" x14ac:dyDescent="0.25">
      <c r="A67" s="339"/>
      <c r="B67" s="339"/>
      <c r="C67" s="332"/>
      <c r="D67" s="332"/>
      <c r="E67" s="332"/>
      <c r="F67" s="8"/>
      <c r="G67" s="8"/>
      <c r="H67" s="8"/>
      <c r="I67" s="8"/>
      <c r="J67" s="8"/>
      <c r="K67" s="30"/>
      <c r="L67" s="157">
        <v>4</v>
      </c>
      <c r="M67" s="335"/>
      <c r="N67" s="335"/>
      <c r="O67" s="335"/>
      <c r="P67" s="335"/>
      <c r="Q67" s="8"/>
      <c r="R67" s="83" t="s">
        <v>270</v>
      </c>
      <c r="S67" s="339"/>
      <c r="T67" s="339"/>
      <c r="U67" s="72"/>
      <c r="V67" s="81"/>
    </row>
    <row r="68" spans="1:22" x14ac:dyDescent="0.25">
      <c r="A68" s="29"/>
      <c r="B68" s="8"/>
      <c r="C68" s="8"/>
      <c r="D68" s="8"/>
      <c r="E68" s="8"/>
      <c r="F68" s="8"/>
      <c r="G68" s="8"/>
      <c r="H68" s="8"/>
      <c r="I68" s="8"/>
      <c r="J68" s="8"/>
      <c r="K68" s="30"/>
      <c r="L68" s="29"/>
      <c r="M68" s="8"/>
      <c r="N68" s="8"/>
      <c r="O68" s="8"/>
      <c r="P68" s="8"/>
      <c r="Q68" s="8"/>
      <c r="R68" s="83" t="s">
        <v>271</v>
      </c>
      <c r="S68" s="332" t="str">
        <f>+IF('WORKCELL CONFIGURATOR'!H4=3,"N/A","")</f>
        <v/>
      </c>
      <c r="T68" s="332"/>
      <c r="U68" s="13"/>
      <c r="V68" s="90"/>
    </row>
    <row r="69" spans="1:22" x14ac:dyDescent="0.25">
      <c r="A69" s="56" t="s">
        <v>220</v>
      </c>
      <c r="B69" s="57" t="s">
        <v>291</v>
      </c>
      <c r="C69" s="57"/>
      <c r="D69" s="57"/>
      <c r="E69" s="8"/>
      <c r="F69" s="58" t="s">
        <v>220</v>
      </c>
      <c r="G69" s="57" t="s">
        <v>294</v>
      </c>
      <c r="H69" s="8"/>
      <c r="I69" s="57"/>
      <c r="J69" s="57"/>
      <c r="K69" s="30"/>
      <c r="L69" s="85" t="s">
        <v>264</v>
      </c>
      <c r="M69" s="74"/>
      <c r="N69" s="74"/>
      <c r="O69" s="74"/>
      <c r="P69" s="75"/>
      <c r="Q69" s="8"/>
      <c r="R69" s="231" t="s">
        <v>581</v>
      </c>
      <c r="S69" s="332" t="str">
        <f>+IF('WORKCELL CONFIGURATOR'!H5=3,"N/A","")</f>
        <v/>
      </c>
      <c r="T69" s="332"/>
      <c r="U69" s="13"/>
      <c r="V69" s="90"/>
    </row>
    <row r="70" spans="1:22" x14ac:dyDescent="0.25">
      <c r="A70" s="56"/>
      <c r="B70" s="57"/>
      <c r="C70" s="57"/>
      <c r="D70" s="57"/>
      <c r="E70" s="8"/>
      <c r="F70" s="8"/>
      <c r="G70" s="8"/>
      <c r="H70" s="8"/>
      <c r="I70" s="8"/>
      <c r="J70" s="8"/>
      <c r="K70" s="30"/>
      <c r="L70" s="84" t="s">
        <v>261</v>
      </c>
      <c r="M70" s="341" t="s">
        <v>262</v>
      </c>
      <c r="N70" s="341"/>
      <c r="O70" s="341" t="s">
        <v>213</v>
      </c>
      <c r="P70" s="341"/>
      <c r="Q70" s="8"/>
      <c r="R70" s="231" t="s">
        <v>582</v>
      </c>
      <c r="S70" s="332" t="str">
        <f>+IF('WORKCELL CONFIGURATOR'!H6=3,"N/A","")</f>
        <v/>
      </c>
      <c r="T70" s="332"/>
      <c r="U70" s="13"/>
      <c r="V70" s="90"/>
    </row>
    <row r="71" spans="1:22" x14ac:dyDescent="0.25">
      <c r="A71" s="311" t="s">
        <v>229</v>
      </c>
      <c r="B71" s="312"/>
      <c r="C71" s="312"/>
      <c r="D71" s="312"/>
      <c r="E71" s="312"/>
      <c r="F71" s="312"/>
      <c r="G71" s="312"/>
      <c r="H71" s="313"/>
      <c r="I71" s="311" t="s">
        <v>166</v>
      </c>
      <c r="J71" s="312"/>
      <c r="K71" s="313"/>
      <c r="L71" s="83">
        <v>1</v>
      </c>
      <c r="M71" s="335"/>
      <c r="N71" s="335"/>
      <c r="O71" s="335"/>
      <c r="P71" s="335"/>
      <c r="Q71" s="8"/>
      <c r="R71" s="13"/>
      <c r="S71" s="13"/>
      <c r="T71" s="13"/>
      <c r="U71" s="13"/>
      <c r="V71" s="90"/>
    </row>
    <row r="72" spans="1:22" x14ac:dyDescent="0.25">
      <c r="A72" s="314"/>
      <c r="B72" s="315"/>
      <c r="C72" s="315"/>
      <c r="D72" s="315"/>
      <c r="E72" s="315"/>
      <c r="F72" s="315"/>
      <c r="G72" s="315"/>
      <c r="H72" s="316"/>
      <c r="I72" s="314"/>
      <c r="J72" s="315"/>
      <c r="K72" s="316"/>
      <c r="L72" s="83">
        <v>2</v>
      </c>
      <c r="M72" s="335"/>
      <c r="N72" s="335"/>
      <c r="O72" s="335"/>
      <c r="P72" s="335"/>
      <c r="Q72" s="8"/>
      <c r="R72" s="8"/>
      <c r="S72" s="8"/>
      <c r="T72" s="8"/>
      <c r="U72" s="8"/>
      <c r="V72" s="30"/>
    </row>
    <row r="73" spans="1:22" x14ac:dyDescent="0.25">
      <c r="L73" s="83">
        <v>3</v>
      </c>
      <c r="M73" s="335"/>
      <c r="N73" s="335"/>
      <c r="O73" s="335"/>
      <c r="P73" s="335"/>
      <c r="Q73" s="8"/>
      <c r="R73" s="8"/>
      <c r="S73" s="8"/>
      <c r="T73" s="8"/>
      <c r="U73" s="8"/>
      <c r="V73" s="30"/>
    </row>
    <row r="74" spans="1:22" x14ac:dyDescent="0.25">
      <c r="A74" s="76" t="s">
        <v>352</v>
      </c>
      <c r="B74" s="77"/>
      <c r="C74" s="77"/>
      <c r="D74" s="77"/>
      <c r="E74" s="77"/>
      <c r="F74" s="77"/>
      <c r="G74" s="77"/>
      <c r="H74" s="77"/>
      <c r="I74" s="77"/>
      <c r="J74" s="77"/>
      <c r="K74" s="80"/>
      <c r="L74" s="157">
        <v>4</v>
      </c>
      <c r="M74" s="335"/>
      <c r="N74" s="335"/>
      <c r="O74" s="335"/>
      <c r="P74" s="335"/>
      <c r="Q74" s="8"/>
      <c r="R74" s="85" t="s">
        <v>10</v>
      </c>
      <c r="S74" s="74"/>
      <c r="T74" s="74"/>
      <c r="U74" s="74"/>
      <c r="V74" s="75"/>
    </row>
    <row r="75" spans="1:22" x14ac:dyDescent="0.25">
      <c r="A75" s="29"/>
      <c r="B75" s="8"/>
      <c r="C75" s="8"/>
      <c r="D75" s="8"/>
      <c r="E75" s="8"/>
      <c r="F75" s="8"/>
      <c r="G75" s="8"/>
      <c r="H75" s="8"/>
      <c r="I75" s="8"/>
      <c r="J75" s="8"/>
      <c r="K75" s="30"/>
      <c r="L75" s="29"/>
      <c r="M75" s="8"/>
      <c r="N75" s="8"/>
      <c r="O75" s="8"/>
      <c r="P75" s="8"/>
      <c r="Q75" s="8"/>
      <c r="R75" s="343" t="s">
        <v>292</v>
      </c>
      <c r="S75" s="343"/>
      <c r="T75" s="344" t="str">
        <f>+IF('WORKCELL CONFIGURATOR'!H35="N","N/A","")</f>
        <v/>
      </c>
      <c r="U75" s="345"/>
      <c r="V75" s="346"/>
    </row>
    <row r="76" spans="1:22" x14ac:dyDescent="0.25">
      <c r="A76" s="56" t="s">
        <v>220</v>
      </c>
      <c r="B76" s="57" t="s">
        <v>285</v>
      </c>
      <c r="C76" s="57"/>
      <c r="D76" s="57"/>
      <c r="E76" s="57"/>
      <c r="F76" s="58" t="s">
        <v>220</v>
      </c>
      <c r="G76" s="72" t="s">
        <v>284</v>
      </c>
      <c r="H76" s="8"/>
      <c r="I76" s="72"/>
      <c r="J76" s="8"/>
      <c r="K76" s="30"/>
      <c r="L76" s="85" t="s">
        <v>265</v>
      </c>
      <c r="M76" s="74"/>
      <c r="N76" s="74"/>
      <c r="O76" s="74"/>
      <c r="P76" s="75"/>
      <c r="Q76" s="8"/>
      <c r="R76" s="343"/>
      <c r="S76" s="343"/>
      <c r="T76" s="347"/>
      <c r="U76" s="348"/>
      <c r="V76" s="349"/>
    </row>
    <row r="77" spans="1:22" x14ac:dyDescent="0.25">
      <c r="A77" s="56" t="s">
        <v>220</v>
      </c>
      <c r="B77" s="57" t="s">
        <v>302</v>
      </c>
      <c r="C77" s="57"/>
      <c r="D77" s="57"/>
      <c r="E77" s="57"/>
      <c r="F77" s="56"/>
      <c r="G77" s="57"/>
      <c r="H77" s="57"/>
      <c r="I77" s="57"/>
      <c r="J77" s="8"/>
      <c r="K77" s="81"/>
      <c r="L77" s="84" t="s">
        <v>185</v>
      </c>
      <c r="M77" s="350" t="s">
        <v>213</v>
      </c>
      <c r="N77" s="350"/>
      <c r="O77" s="350"/>
      <c r="P77" s="350"/>
      <c r="Q77" s="8"/>
      <c r="R77" s="343" t="s">
        <v>293</v>
      </c>
      <c r="S77" s="343"/>
      <c r="T77" s="344" t="str">
        <f>+IF('WORKCELL CONFIGURATOR'!H35="N","N/A","")</f>
        <v/>
      </c>
      <c r="U77" s="345"/>
      <c r="V77" s="346"/>
    </row>
    <row r="78" spans="1:22" x14ac:dyDescent="0.25">
      <c r="A78" s="29"/>
      <c r="B78" s="8"/>
      <c r="C78" s="8"/>
      <c r="D78" s="8"/>
      <c r="E78" s="8"/>
      <c r="F78" s="8"/>
      <c r="G78" s="8"/>
      <c r="H78" s="8"/>
      <c r="I78" s="8"/>
      <c r="J78" s="72"/>
      <c r="K78" s="30"/>
      <c r="L78" s="83"/>
      <c r="M78" s="339"/>
      <c r="N78" s="339"/>
      <c r="O78" s="339"/>
      <c r="P78" s="339"/>
      <c r="Q78" s="35"/>
      <c r="R78" s="343"/>
      <c r="S78" s="343"/>
      <c r="T78" s="347"/>
      <c r="U78" s="348"/>
      <c r="V78" s="349"/>
    </row>
    <row r="79" spans="1:22" x14ac:dyDescent="0.25">
      <c r="A79" s="311" t="s">
        <v>229</v>
      </c>
      <c r="B79" s="312"/>
      <c r="C79" s="312"/>
      <c r="D79" s="312"/>
      <c r="E79" s="312"/>
      <c r="F79" s="312"/>
      <c r="G79" s="312"/>
      <c r="H79" s="313"/>
      <c r="I79" s="311" t="s">
        <v>166</v>
      </c>
      <c r="J79" s="312"/>
      <c r="K79" s="313"/>
    </row>
    <row r="80" spans="1:22" x14ac:dyDescent="0.25">
      <c r="A80" s="314"/>
      <c r="B80" s="315"/>
      <c r="C80" s="315"/>
      <c r="D80" s="315"/>
      <c r="E80" s="315"/>
      <c r="F80" s="315"/>
      <c r="G80" s="315"/>
      <c r="H80" s="316"/>
      <c r="I80" s="314"/>
      <c r="J80" s="315"/>
      <c r="K80" s="316"/>
    </row>
    <row r="94" spans="1:22" x14ac:dyDescent="0.25">
      <c r="A94" s="55" t="s">
        <v>481</v>
      </c>
      <c r="B94" s="53"/>
      <c r="C94" s="53"/>
      <c r="D94" s="53"/>
      <c r="E94" s="53"/>
      <c r="F94" s="53"/>
      <c r="G94" s="53"/>
      <c r="H94" s="53"/>
      <c r="I94" s="53"/>
      <c r="J94" s="53"/>
      <c r="K94" s="54" t="s">
        <v>214</v>
      </c>
      <c r="L94" s="55" t="s">
        <v>583</v>
      </c>
      <c r="M94" s="53"/>
      <c r="N94" s="53"/>
      <c r="O94" s="53"/>
      <c r="P94" s="53"/>
      <c r="Q94" s="53"/>
      <c r="R94" s="53"/>
      <c r="S94" s="53"/>
      <c r="T94" s="53"/>
      <c r="U94" s="53"/>
      <c r="V94" s="54" t="s">
        <v>214</v>
      </c>
    </row>
  </sheetData>
  <mergeCells count="150">
    <mergeCell ref="A79:H80"/>
    <mergeCell ref="I79:K80"/>
    <mergeCell ref="A71:H72"/>
    <mergeCell ref="I71:K72"/>
    <mergeCell ref="L34:S35"/>
    <mergeCell ref="T34:V35"/>
    <mergeCell ref="L37:V40"/>
    <mergeCell ref="L41:L42"/>
    <mergeCell ref="M41:Q42"/>
    <mergeCell ref="L43:Q44"/>
    <mergeCell ref="R41:V42"/>
    <mergeCell ref="R43:V44"/>
    <mergeCell ref="R45:V46"/>
    <mergeCell ref="L45:Q46"/>
    <mergeCell ref="L55:S56"/>
    <mergeCell ref="T55:V56"/>
    <mergeCell ref="L57:S58"/>
    <mergeCell ref="T57:V58"/>
    <mergeCell ref="R75:S76"/>
    <mergeCell ref="T75:V76"/>
    <mergeCell ref="I60:K61"/>
    <mergeCell ref="A64:B65"/>
    <mergeCell ref="C64:E65"/>
    <mergeCell ref="A66:B67"/>
    <mergeCell ref="M70:N70"/>
    <mergeCell ref="O70:P70"/>
    <mergeCell ref="S67:T67"/>
    <mergeCell ref="S68:T68"/>
    <mergeCell ref="S66:T66"/>
    <mergeCell ref="U66:V66"/>
    <mergeCell ref="S63:T64"/>
    <mergeCell ref="U63:V64"/>
    <mergeCell ref="R63:R64"/>
    <mergeCell ref="S65:T65"/>
    <mergeCell ref="U65:V65"/>
    <mergeCell ref="M65:N65"/>
    <mergeCell ref="M66:N66"/>
    <mergeCell ref="O66:P66"/>
    <mergeCell ref="O65:P65"/>
    <mergeCell ref="O64:P64"/>
    <mergeCell ref="M67:N67"/>
    <mergeCell ref="O67:P67"/>
    <mergeCell ref="S69:T69"/>
    <mergeCell ref="S70:T70"/>
    <mergeCell ref="R77:S78"/>
    <mergeCell ref="T77:V78"/>
    <mergeCell ref="M73:N73"/>
    <mergeCell ref="O73:P73"/>
    <mergeCell ref="M77:P77"/>
    <mergeCell ref="M78:P78"/>
    <mergeCell ref="M71:N71"/>
    <mergeCell ref="O71:P71"/>
    <mergeCell ref="M72:N72"/>
    <mergeCell ref="O72:P72"/>
    <mergeCell ref="M74:N74"/>
    <mergeCell ref="O74:P74"/>
    <mergeCell ref="C32:H33"/>
    <mergeCell ref="M63:N63"/>
    <mergeCell ref="O63:P63"/>
    <mergeCell ref="B51:E51"/>
    <mergeCell ref="G51:K51"/>
    <mergeCell ref="B39:E39"/>
    <mergeCell ref="G39:J39"/>
    <mergeCell ref="B40:E40"/>
    <mergeCell ref="G40:J40"/>
    <mergeCell ref="A41:H42"/>
    <mergeCell ref="I41:K42"/>
    <mergeCell ref="M50:P50"/>
    <mergeCell ref="C66:E67"/>
    <mergeCell ref="G64:H65"/>
    <mergeCell ref="I64:K65"/>
    <mergeCell ref="R50:V50"/>
    <mergeCell ref="T30:V31"/>
    <mergeCell ref="T32:V33"/>
    <mergeCell ref="M51:P51"/>
    <mergeCell ref="R51:V51"/>
    <mergeCell ref="B50:E50"/>
    <mergeCell ref="G50:K50"/>
    <mergeCell ref="M64:N64"/>
    <mergeCell ref="B55:E55"/>
    <mergeCell ref="G55:J55"/>
    <mergeCell ref="A60:H61"/>
    <mergeCell ref="A34:H35"/>
    <mergeCell ref="I34:K35"/>
    <mergeCell ref="A48:K49"/>
    <mergeCell ref="B38:E38"/>
    <mergeCell ref="G38:J38"/>
    <mergeCell ref="L32:S33"/>
    <mergeCell ref="L48:V49"/>
    <mergeCell ref="I32:K33"/>
    <mergeCell ref="A32:A33"/>
    <mergeCell ref="B32:B33"/>
    <mergeCell ref="B23:E23"/>
    <mergeCell ref="L6:V7"/>
    <mergeCell ref="O9:T9"/>
    <mergeCell ref="O10:T10"/>
    <mergeCell ref="O11:T11"/>
    <mergeCell ref="O8:T8"/>
    <mergeCell ref="O14:T14"/>
    <mergeCell ref="B7:E7"/>
    <mergeCell ref="L30:S31"/>
    <mergeCell ref="O16:T16"/>
    <mergeCell ref="O17:T17"/>
    <mergeCell ref="O18:T18"/>
    <mergeCell ref="B8:E8"/>
    <mergeCell ref="B9:E9"/>
    <mergeCell ref="B10:E10"/>
    <mergeCell ref="G7:J7"/>
    <mergeCell ref="O25:T25"/>
    <mergeCell ref="O26:T26"/>
    <mergeCell ref="O27:T27"/>
    <mergeCell ref="O28:T28"/>
    <mergeCell ref="O29:T29"/>
    <mergeCell ref="O19:T19"/>
    <mergeCell ref="O20:T20"/>
    <mergeCell ref="O21:T21"/>
    <mergeCell ref="L1:V2"/>
    <mergeCell ref="B3:E3"/>
    <mergeCell ref="B4:E4"/>
    <mergeCell ref="G3:K3"/>
    <mergeCell ref="G4:K4"/>
    <mergeCell ref="M3:P3"/>
    <mergeCell ref="R3:V3"/>
    <mergeCell ref="M4:P4"/>
    <mergeCell ref="R4:V4"/>
    <mergeCell ref="A1:K2"/>
    <mergeCell ref="O22:T22"/>
    <mergeCell ref="G8:J8"/>
    <mergeCell ref="G9:J9"/>
    <mergeCell ref="G10:J10"/>
    <mergeCell ref="A16:H17"/>
    <mergeCell ref="I16:K17"/>
    <mergeCell ref="O23:T23"/>
    <mergeCell ref="O24:T24"/>
    <mergeCell ref="O12:T12"/>
    <mergeCell ref="O13:T13"/>
    <mergeCell ref="O15:T15"/>
    <mergeCell ref="A14:A15"/>
    <mergeCell ref="B14:E15"/>
    <mergeCell ref="G14:G15"/>
    <mergeCell ref="H14:K15"/>
    <mergeCell ref="A12:A13"/>
    <mergeCell ref="G12:G13"/>
    <mergeCell ref="B12:E13"/>
    <mergeCell ref="H12:K13"/>
    <mergeCell ref="B20:E20"/>
    <mergeCell ref="B21:E21"/>
    <mergeCell ref="B22:E22"/>
    <mergeCell ref="G21:J21"/>
    <mergeCell ref="B24:E24"/>
  </mergeCells>
  <dataValidations count="1">
    <dataValidation type="list" allowBlank="1" showInputMessage="1" showErrorMessage="1" sqref="N9:N29">
      <formula1>DEPT</formula1>
    </dataValidation>
  </dataValidations>
  <printOptions horizontalCentered="1" verticalCentered="1"/>
  <pageMargins left="0.25" right="0.25"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K17"/>
  <sheetViews>
    <sheetView workbookViewId="0">
      <selection activeCell="H54" sqref="H54"/>
    </sheetView>
  </sheetViews>
  <sheetFormatPr defaultRowHeight="15" x14ac:dyDescent="0.25"/>
  <cols>
    <col min="1" max="1" width="12.140625" customWidth="1"/>
    <col min="2" max="3" width="9.140625" customWidth="1"/>
    <col min="4" max="4" width="10.5703125" customWidth="1"/>
    <col min="7" max="7" width="9.140625" customWidth="1"/>
    <col min="8" max="8" width="14.7109375" customWidth="1"/>
    <col min="9" max="9" width="10.85546875" customWidth="1"/>
    <col min="10" max="10" width="9.140625" customWidth="1"/>
    <col min="11" max="11" width="9.85546875" bestFit="1" customWidth="1"/>
  </cols>
  <sheetData>
    <row r="1" spans="1:11" ht="20.45" thickBot="1" x14ac:dyDescent="0.45">
      <c r="A1" s="92" t="s">
        <v>315</v>
      </c>
      <c r="B1" s="92"/>
      <c r="C1" s="92"/>
      <c r="D1" s="92"/>
      <c r="E1" s="92"/>
      <c r="F1" s="92"/>
      <c r="G1" s="92"/>
      <c r="H1" s="92"/>
      <c r="I1" s="93"/>
      <c r="J1" s="92"/>
      <c r="K1" s="92"/>
    </row>
    <row r="2" spans="1:11" thickTop="1" x14ac:dyDescent="0.3"/>
    <row r="3" spans="1:11" ht="28.9" x14ac:dyDescent="0.3">
      <c r="A3" s="3" t="s">
        <v>329</v>
      </c>
      <c r="B3" s="3" t="s">
        <v>213</v>
      </c>
      <c r="C3" s="3" t="s">
        <v>210</v>
      </c>
      <c r="D3" s="3" t="s">
        <v>587</v>
      </c>
      <c r="E3" s="3" t="s">
        <v>216</v>
      </c>
      <c r="F3" s="3" t="s">
        <v>12</v>
      </c>
      <c r="G3" s="3" t="s">
        <v>316</v>
      </c>
      <c r="H3" s="9" t="s">
        <v>321</v>
      </c>
      <c r="I3" s="3" t="s">
        <v>317</v>
      </c>
      <c r="J3" s="3" t="s">
        <v>318</v>
      </c>
      <c r="K3" s="3" t="s">
        <v>319</v>
      </c>
    </row>
    <row r="4" spans="1:11" ht="24.75" customHeight="1" x14ac:dyDescent="0.25">
      <c r="A4" s="3" t="str">
        <f>+'WORKCELL BOM'!L2</f>
        <v>SUNB4723</v>
      </c>
      <c r="B4" s="3" t="str">
        <f>+'WORKCELL BOM'!L3</f>
        <v>S1088</v>
      </c>
      <c r="C4" s="3" t="str">
        <f>+'WORKCELL CONFIGURATOR'!H4</f>
        <v>Delta 6</v>
      </c>
      <c r="D4" s="3" t="str">
        <f>+CONCATENATE("123-",'WORKCELL CONFIGURATOR'!I53)</f>
        <v>123-S1088</v>
      </c>
      <c r="E4" s="94">
        <f ca="1">+TODAY()</f>
        <v>42782</v>
      </c>
      <c r="F4" s="3" t="str">
        <f>+IF('WORKCELL CONFIGURATOR'!H5=Data!C5,"200-240V","100-120V")</f>
        <v>100-120V</v>
      </c>
      <c r="G4" s="3" t="s">
        <v>322</v>
      </c>
      <c r="H4" s="3" t="s">
        <v>323</v>
      </c>
      <c r="I4" s="3" t="s">
        <v>324</v>
      </c>
      <c r="J4" s="3" t="s">
        <v>325</v>
      </c>
      <c r="K4" s="3" t="s">
        <v>326</v>
      </c>
    </row>
    <row r="16" spans="1:11" ht="20.25" thickBot="1" x14ac:dyDescent="0.35">
      <c r="A16" s="92" t="s">
        <v>506</v>
      </c>
      <c r="B16" s="92"/>
      <c r="C16" s="92"/>
      <c r="D16" s="92"/>
      <c r="E16" s="92"/>
      <c r="F16" s="92"/>
      <c r="G16" s="92"/>
      <c r="H16" s="92"/>
      <c r="I16" s="93"/>
      <c r="J16" s="92"/>
      <c r="K16" s="92"/>
    </row>
    <row r="17" ht="15.75" thickTop="1" x14ac:dyDescent="0.25"/>
  </sheetData>
  <pageMargins left="0.7" right="0.7" top="0.75" bottom="0.75" header="0.3" footer="0.3"/>
  <pageSetup scale="81" orientation="portrait" r:id="rId1"/>
  <drawing r:id="rId2"/>
  <legacyDrawing r:id="rId3"/>
  <controls>
    <mc:AlternateContent xmlns:mc="http://schemas.openxmlformats.org/markup-compatibility/2006">
      <mc:Choice Requires="x14">
        <control shapeId="3074" r:id="rId4" name="CommandButton1">
          <controlPr defaultSize="0" autoLine="0" r:id="rId5">
            <anchor moveWithCells="1">
              <from>
                <xdr:col>2</xdr:col>
                <xdr:colOff>428625</xdr:colOff>
                <xdr:row>18</xdr:row>
                <xdr:rowOff>9525</xdr:rowOff>
              </from>
              <to>
                <xdr:col>6</xdr:col>
                <xdr:colOff>333375</xdr:colOff>
                <xdr:row>22</xdr:row>
                <xdr:rowOff>142875</xdr:rowOff>
              </to>
            </anchor>
          </controlPr>
        </control>
      </mc:Choice>
      <mc:Fallback>
        <control shapeId="3074" r:id="rId4" name="CommandButton1"/>
      </mc:Fallback>
    </mc:AlternateContent>
    <mc:AlternateContent xmlns:mc="http://schemas.openxmlformats.org/markup-compatibility/2006">
      <mc:Choice Requires="x14">
        <control shapeId="3073" r:id="rId6" name="Button 1">
          <controlPr defaultSize="0" print="0" autoFill="0" autoPict="0" macro="[0]!Mail_Range">
            <anchor moveWithCells="1" sizeWithCells="1">
              <from>
                <xdr:col>3</xdr:col>
                <xdr:colOff>266700</xdr:colOff>
                <xdr:row>7</xdr:row>
                <xdr:rowOff>114300</xdr:rowOff>
              </from>
              <to>
                <xdr:col>5</xdr:col>
                <xdr:colOff>600075</xdr:colOff>
                <xdr:row>11</xdr:row>
                <xdr:rowOff>142875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1"/>
  <sheetViews>
    <sheetView workbookViewId="0">
      <selection activeCell="J48" sqref="J48"/>
    </sheetView>
  </sheetViews>
  <sheetFormatPr defaultRowHeight="15" x14ac:dyDescent="0.25"/>
  <cols>
    <col min="1" max="2" width="24.42578125" customWidth="1"/>
    <col min="3" max="3" width="22" bestFit="1" customWidth="1"/>
    <col min="4" max="4" width="22.7109375" bestFit="1" customWidth="1"/>
    <col min="5" max="6" width="21" customWidth="1"/>
    <col min="7" max="7" width="29.28515625" bestFit="1" customWidth="1"/>
  </cols>
  <sheetData>
    <row r="1" spans="1:7" ht="40.15" thickBot="1" x14ac:dyDescent="0.35">
      <c r="A1" s="18" t="s">
        <v>99</v>
      </c>
      <c r="B1" s="19" t="s">
        <v>105</v>
      </c>
      <c r="C1" s="18" t="s">
        <v>18</v>
      </c>
      <c r="D1" s="20" t="s">
        <v>19</v>
      </c>
      <c r="E1" s="18" t="s">
        <v>98</v>
      </c>
      <c r="F1" s="18" t="s">
        <v>574</v>
      </c>
      <c r="G1" s="18" t="s">
        <v>20</v>
      </c>
    </row>
    <row r="2" spans="1:7" thickTop="1" x14ac:dyDescent="0.3">
      <c r="A2" s="6" t="s">
        <v>21</v>
      </c>
      <c r="B2" s="6" t="s">
        <v>21</v>
      </c>
      <c r="C2" s="6" t="s">
        <v>21</v>
      </c>
      <c r="D2" s="14" t="s">
        <v>22</v>
      </c>
      <c r="E2" t="s">
        <v>23</v>
      </c>
      <c r="G2" s="6"/>
    </row>
    <row r="3" spans="1:7" ht="14.45" x14ac:dyDescent="0.3">
      <c r="A3" s="6" t="s">
        <v>25</v>
      </c>
      <c r="B3" s="6" t="s">
        <v>102</v>
      </c>
      <c r="C3" s="6" t="s">
        <v>21</v>
      </c>
      <c r="D3" s="14" t="s">
        <v>24</v>
      </c>
      <c r="E3" t="s">
        <v>23</v>
      </c>
      <c r="G3" s="6"/>
    </row>
    <row r="4" spans="1:7" ht="14.45" x14ac:dyDescent="0.3">
      <c r="A4" s="6" t="s">
        <v>37</v>
      </c>
      <c r="B4" s="6" t="s">
        <v>37</v>
      </c>
      <c r="C4" s="6" t="s">
        <v>21</v>
      </c>
      <c r="D4" s="14" t="s">
        <v>100</v>
      </c>
      <c r="G4" s="6"/>
    </row>
    <row r="5" spans="1:7" ht="14.45" x14ac:dyDescent="0.3">
      <c r="A5" s="6" t="s">
        <v>101</v>
      </c>
      <c r="B5" s="6" t="s">
        <v>103</v>
      </c>
      <c r="C5" s="6" t="s">
        <v>25</v>
      </c>
      <c r="D5" s="14" t="s">
        <v>26</v>
      </c>
      <c r="E5" t="s">
        <v>27</v>
      </c>
      <c r="G5" s="6"/>
    </row>
    <row r="6" spans="1:7" ht="14.45" x14ac:dyDescent="0.3">
      <c r="A6" s="6" t="s">
        <v>50</v>
      </c>
      <c r="B6" s="6" t="s">
        <v>50</v>
      </c>
      <c r="C6" s="6" t="s">
        <v>25</v>
      </c>
      <c r="D6" s="14" t="s">
        <v>28</v>
      </c>
      <c r="E6" t="s">
        <v>27</v>
      </c>
      <c r="G6" s="6"/>
    </row>
    <row r="7" spans="1:7" ht="14.45" x14ac:dyDescent="0.3">
      <c r="A7" s="6" t="s">
        <v>57</v>
      </c>
      <c r="B7" s="6" t="s">
        <v>104</v>
      </c>
      <c r="C7" s="6" t="s">
        <v>25</v>
      </c>
      <c r="D7" s="14" t="s">
        <v>29</v>
      </c>
      <c r="E7" t="s">
        <v>27</v>
      </c>
      <c r="G7" s="6"/>
    </row>
    <row r="8" spans="1:7" ht="14.45" x14ac:dyDescent="0.3">
      <c r="A8" t="s">
        <v>60</v>
      </c>
      <c r="B8" t="s">
        <v>60</v>
      </c>
      <c r="C8" s="6" t="s">
        <v>25</v>
      </c>
      <c r="D8" s="14" t="s">
        <v>30</v>
      </c>
      <c r="E8" t="s">
        <v>27</v>
      </c>
      <c r="G8" s="6"/>
    </row>
    <row r="9" spans="1:7" ht="14.45" x14ac:dyDescent="0.3">
      <c r="A9" t="s">
        <v>88</v>
      </c>
      <c r="B9" t="s">
        <v>88</v>
      </c>
      <c r="C9" s="6" t="s">
        <v>25</v>
      </c>
      <c r="D9" s="14" t="s">
        <v>31</v>
      </c>
      <c r="E9" t="s">
        <v>32</v>
      </c>
      <c r="G9" s="6" t="s">
        <v>33</v>
      </c>
    </row>
    <row r="10" spans="1:7" ht="14.45" x14ac:dyDescent="0.3">
      <c r="A10" t="s">
        <v>100</v>
      </c>
      <c r="B10" t="s">
        <v>100</v>
      </c>
      <c r="C10" s="6" t="s">
        <v>25</v>
      </c>
      <c r="D10" s="14" t="s">
        <v>34</v>
      </c>
      <c r="E10" t="s">
        <v>27</v>
      </c>
      <c r="G10" s="6" t="s">
        <v>35</v>
      </c>
    </row>
    <row r="11" spans="1:7" ht="14.45" x14ac:dyDescent="0.3">
      <c r="A11" s="6"/>
      <c r="B11" s="6"/>
      <c r="C11" s="6" t="s">
        <v>25</v>
      </c>
      <c r="D11" s="14" t="s">
        <v>36</v>
      </c>
      <c r="E11" t="s">
        <v>27</v>
      </c>
      <c r="G11" s="6" t="s">
        <v>35</v>
      </c>
    </row>
    <row r="12" spans="1:7" ht="14.45" x14ac:dyDescent="0.3">
      <c r="B12" s="6"/>
      <c r="C12" s="6" t="s">
        <v>25</v>
      </c>
      <c r="D12" s="14" t="s">
        <v>100</v>
      </c>
      <c r="G12" s="6"/>
    </row>
    <row r="13" spans="1:7" x14ac:dyDescent="0.25">
      <c r="C13" s="6" t="s">
        <v>37</v>
      </c>
      <c r="D13" s="14" t="s">
        <v>38</v>
      </c>
      <c r="E13" t="s">
        <v>27</v>
      </c>
      <c r="G13" s="6"/>
    </row>
    <row r="14" spans="1:7" x14ac:dyDescent="0.25">
      <c r="B14" s="6"/>
      <c r="C14" s="6" t="s">
        <v>37</v>
      </c>
      <c r="D14" s="14" t="s">
        <v>39</v>
      </c>
      <c r="E14" t="s">
        <v>27</v>
      </c>
      <c r="G14" s="6"/>
    </row>
    <row r="15" spans="1:7" x14ac:dyDescent="0.25">
      <c r="B15" s="6"/>
      <c r="C15" s="6" t="s">
        <v>37</v>
      </c>
      <c r="D15" s="14" t="s">
        <v>40</v>
      </c>
      <c r="E15" t="s">
        <v>27</v>
      </c>
      <c r="G15" s="6"/>
    </row>
    <row r="16" spans="1:7" x14ac:dyDescent="0.25">
      <c r="B16" s="6"/>
      <c r="C16" s="6" t="s">
        <v>37</v>
      </c>
      <c r="D16" s="14" t="s">
        <v>41</v>
      </c>
      <c r="E16" t="s">
        <v>27</v>
      </c>
      <c r="G16" s="6"/>
    </row>
    <row r="17" spans="1:7" x14ac:dyDescent="0.25">
      <c r="B17" s="6"/>
      <c r="C17" s="6" t="s">
        <v>37</v>
      </c>
      <c r="D17" s="14" t="s">
        <v>42</v>
      </c>
      <c r="E17" t="s">
        <v>27</v>
      </c>
      <c r="G17" s="6"/>
    </row>
    <row r="18" spans="1:7" x14ac:dyDescent="0.25">
      <c r="A18" s="6"/>
      <c r="B18" s="6"/>
      <c r="C18" s="6" t="s">
        <v>37</v>
      </c>
      <c r="D18" s="14" t="s">
        <v>43</v>
      </c>
      <c r="E18" t="s">
        <v>27</v>
      </c>
      <c r="G18" s="6"/>
    </row>
    <row r="19" spans="1:7" x14ac:dyDescent="0.25">
      <c r="B19" s="6"/>
      <c r="C19" s="6" t="s">
        <v>37</v>
      </c>
      <c r="D19" s="14" t="s">
        <v>44</v>
      </c>
      <c r="E19" t="s">
        <v>27</v>
      </c>
      <c r="G19" s="6"/>
    </row>
    <row r="20" spans="1:7" x14ac:dyDescent="0.25">
      <c r="B20" s="6"/>
      <c r="C20" s="6" t="s">
        <v>37</v>
      </c>
      <c r="D20" s="14" t="s">
        <v>100</v>
      </c>
      <c r="G20" s="6"/>
    </row>
    <row r="21" spans="1:7" x14ac:dyDescent="0.25">
      <c r="C21" s="6" t="s">
        <v>101</v>
      </c>
      <c r="D21" s="14" t="s">
        <v>45</v>
      </c>
      <c r="E21" t="s">
        <v>23</v>
      </c>
      <c r="G21" s="6"/>
    </row>
    <row r="22" spans="1:7" x14ac:dyDescent="0.25">
      <c r="B22" s="6"/>
      <c r="C22" s="6" t="s">
        <v>101</v>
      </c>
      <c r="D22" s="14" t="s">
        <v>46</v>
      </c>
      <c r="E22" t="s">
        <v>23</v>
      </c>
      <c r="G22" s="6"/>
    </row>
    <row r="23" spans="1:7" x14ac:dyDescent="0.25">
      <c r="A23" s="6"/>
      <c r="B23" s="6"/>
      <c r="C23" s="6" t="s">
        <v>101</v>
      </c>
      <c r="D23" s="14" t="s">
        <v>47</v>
      </c>
      <c r="E23" t="s">
        <v>23</v>
      </c>
      <c r="G23" s="6"/>
    </row>
    <row r="24" spans="1:7" x14ac:dyDescent="0.25">
      <c r="B24" s="6"/>
      <c r="C24" s="6" t="s">
        <v>101</v>
      </c>
      <c r="D24" s="14" t="s">
        <v>48</v>
      </c>
      <c r="E24" t="s">
        <v>23</v>
      </c>
      <c r="G24" s="6"/>
    </row>
    <row r="25" spans="1:7" x14ac:dyDescent="0.25">
      <c r="B25" s="6"/>
      <c r="C25" s="6" t="s">
        <v>101</v>
      </c>
      <c r="D25" s="14" t="s">
        <v>49</v>
      </c>
      <c r="E25" t="s">
        <v>23</v>
      </c>
      <c r="G25" s="6"/>
    </row>
    <row r="26" spans="1:7" x14ac:dyDescent="0.25">
      <c r="B26" s="6"/>
      <c r="C26" s="6" t="s">
        <v>101</v>
      </c>
      <c r="D26" s="14" t="s">
        <v>100</v>
      </c>
      <c r="G26" s="6"/>
    </row>
    <row r="27" spans="1:7" x14ac:dyDescent="0.25">
      <c r="C27" s="6" t="s">
        <v>50</v>
      </c>
      <c r="D27" s="14" t="s">
        <v>51</v>
      </c>
      <c r="E27" t="s">
        <v>23</v>
      </c>
      <c r="G27" s="6"/>
    </row>
    <row r="28" spans="1:7" x14ac:dyDescent="0.25">
      <c r="B28" s="6"/>
      <c r="C28" s="6" t="s">
        <v>50</v>
      </c>
      <c r="D28" s="14" t="s">
        <v>52</v>
      </c>
      <c r="E28" t="s">
        <v>23</v>
      </c>
      <c r="G28" s="6"/>
    </row>
    <row r="29" spans="1:7" x14ac:dyDescent="0.25">
      <c r="A29" s="6"/>
      <c r="B29" s="6"/>
      <c r="C29" s="6" t="s">
        <v>50</v>
      </c>
      <c r="D29" s="14" t="s">
        <v>53</v>
      </c>
      <c r="E29" t="s">
        <v>27</v>
      </c>
      <c r="G29" s="6"/>
    </row>
    <row r="30" spans="1:7" x14ac:dyDescent="0.25">
      <c r="B30" s="6"/>
      <c r="C30" s="6" t="s">
        <v>50</v>
      </c>
      <c r="D30" s="14" t="s">
        <v>54</v>
      </c>
      <c r="E30" t="s">
        <v>23</v>
      </c>
      <c r="G30" s="6"/>
    </row>
    <row r="31" spans="1:7" x14ac:dyDescent="0.25">
      <c r="B31" s="6"/>
      <c r="C31" s="6" t="s">
        <v>50</v>
      </c>
      <c r="D31" s="14" t="s">
        <v>55</v>
      </c>
      <c r="E31" t="s">
        <v>27</v>
      </c>
      <c r="G31" s="6"/>
    </row>
    <row r="32" spans="1:7" x14ac:dyDescent="0.25">
      <c r="B32" s="6"/>
      <c r="C32" s="6" t="s">
        <v>50</v>
      </c>
      <c r="D32" s="14" t="s">
        <v>56</v>
      </c>
      <c r="E32" t="s">
        <v>27</v>
      </c>
      <c r="G32" s="6"/>
    </row>
    <row r="33" spans="2:7" x14ac:dyDescent="0.25">
      <c r="B33" s="6"/>
      <c r="C33" s="6" t="s">
        <v>50</v>
      </c>
      <c r="D33" s="14" t="s">
        <v>204</v>
      </c>
      <c r="E33" t="s">
        <v>27</v>
      </c>
      <c r="G33" s="6"/>
    </row>
    <row r="34" spans="2:7" x14ac:dyDescent="0.25">
      <c r="B34" s="6"/>
      <c r="C34" s="6" t="s">
        <v>50</v>
      </c>
      <c r="D34" s="14" t="s">
        <v>100</v>
      </c>
      <c r="G34" s="6"/>
    </row>
    <row r="35" spans="2:7" x14ac:dyDescent="0.25">
      <c r="C35" s="6" t="s">
        <v>57</v>
      </c>
      <c r="D35" s="15">
        <v>5293</v>
      </c>
      <c r="E35" t="s">
        <v>27</v>
      </c>
      <c r="G35" s="6"/>
    </row>
    <row r="36" spans="2:7" x14ac:dyDescent="0.25">
      <c r="B36" s="6"/>
      <c r="C36" s="6" t="s">
        <v>57</v>
      </c>
      <c r="D36" s="14" t="s">
        <v>58</v>
      </c>
      <c r="E36" t="s">
        <v>27</v>
      </c>
      <c r="G36" s="6"/>
    </row>
    <row r="37" spans="2:7" x14ac:dyDescent="0.25">
      <c r="B37" s="6"/>
      <c r="C37" s="6" t="s">
        <v>57</v>
      </c>
      <c r="D37" s="14" t="s">
        <v>59</v>
      </c>
      <c r="E37" t="s">
        <v>27</v>
      </c>
      <c r="G37" s="6"/>
    </row>
    <row r="38" spans="2:7" x14ac:dyDescent="0.25">
      <c r="B38" s="6"/>
      <c r="C38" s="6" t="s">
        <v>57</v>
      </c>
      <c r="D38" s="14" t="s">
        <v>100</v>
      </c>
      <c r="G38" s="6"/>
    </row>
    <row r="39" spans="2:7" x14ac:dyDescent="0.25">
      <c r="C39" t="s">
        <v>60</v>
      </c>
      <c r="D39" s="16" t="s">
        <v>61</v>
      </c>
      <c r="E39" t="s">
        <v>23</v>
      </c>
    </row>
    <row r="40" spans="2:7" x14ac:dyDescent="0.25">
      <c r="C40" t="s">
        <v>60</v>
      </c>
      <c r="D40" s="16" t="s">
        <v>62</v>
      </c>
      <c r="E40" t="s">
        <v>23</v>
      </c>
    </row>
    <row r="41" spans="2:7" x14ac:dyDescent="0.25">
      <c r="C41" t="s">
        <v>60</v>
      </c>
      <c r="D41" s="16" t="s">
        <v>63</v>
      </c>
      <c r="E41" t="s">
        <v>23</v>
      </c>
    </row>
    <row r="42" spans="2:7" x14ac:dyDescent="0.25">
      <c r="C42" t="s">
        <v>60</v>
      </c>
      <c r="D42" s="16" t="s">
        <v>64</v>
      </c>
      <c r="E42" t="s">
        <v>32</v>
      </c>
      <c r="G42" t="s">
        <v>65</v>
      </c>
    </row>
    <row r="43" spans="2:7" x14ac:dyDescent="0.25">
      <c r="C43" t="s">
        <v>60</v>
      </c>
      <c r="D43" s="17" t="s">
        <v>66</v>
      </c>
      <c r="E43" t="s">
        <v>67</v>
      </c>
    </row>
    <row r="44" spans="2:7" x14ac:dyDescent="0.25">
      <c r="C44" t="s">
        <v>60</v>
      </c>
      <c r="D44" s="17" t="s">
        <v>68</v>
      </c>
      <c r="E44" t="s">
        <v>32</v>
      </c>
      <c r="G44" t="s">
        <v>69</v>
      </c>
    </row>
    <row r="45" spans="2:7" x14ac:dyDescent="0.25">
      <c r="C45" t="s">
        <v>60</v>
      </c>
      <c r="D45" s="17" t="s">
        <v>70</v>
      </c>
      <c r="E45" t="s">
        <v>67</v>
      </c>
    </row>
    <row r="46" spans="2:7" x14ac:dyDescent="0.25">
      <c r="C46" t="s">
        <v>60</v>
      </c>
      <c r="D46" s="17" t="s">
        <v>71</v>
      </c>
      <c r="E46" t="s">
        <v>67</v>
      </c>
    </row>
    <row r="47" spans="2:7" x14ac:dyDescent="0.25">
      <c r="C47" t="s">
        <v>60</v>
      </c>
      <c r="D47" s="17" t="s">
        <v>72</v>
      </c>
      <c r="E47" t="s">
        <v>67</v>
      </c>
    </row>
    <row r="48" spans="2:7" x14ac:dyDescent="0.25">
      <c r="C48" t="s">
        <v>60</v>
      </c>
      <c r="D48" s="17" t="s">
        <v>73</v>
      </c>
      <c r="E48" t="s">
        <v>67</v>
      </c>
    </row>
    <row r="49" spans="3:7" x14ac:dyDescent="0.25">
      <c r="C49" t="s">
        <v>60</v>
      </c>
      <c r="D49" s="17" t="s">
        <v>74</v>
      </c>
      <c r="E49" t="s">
        <v>67</v>
      </c>
    </row>
    <row r="50" spans="3:7" x14ac:dyDescent="0.25">
      <c r="C50" t="s">
        <v>60</v>
      </c>
      <c r="D50" s="17" t="s">
        <v>75</v>
      </c>
      <c r="E50" t="s">
        <v>76</v>
      </c>
      <c r="G50" t="s">
        <v>69</v>
      </c>
    </row>
    <row r="51" spans="3:7" x14ac:dyDescent="0.25">
      <c r="C51" t="s">
        <v>60</v>
      </c>
      <c r="D51" s="16" t="s">
        <v>77</v>
      </c>
      <c r="E51" t="s">
        <v>23</v>
      </c>
    </row>
    <row r="52" spans="3:7" x14ac:dyDescent="0.25">
      <c r="C52" t="s">
        <v>60</v>
      </c>
      <c r="D52" s="16" t="s">
        <v>78</v>
      </c>
      <c r="E52" t="s">
        <v>23</v>
      </c>
    </row>
    <row r="53" spans="3:7" x14ac:dyDescent="0.25">
      <c r="C53" t="s">
        <v>60</v>
      </c>
      <c r="D53" s="16" t="s">
        <v>79</v>
      </c>
      <c r="E53" t="s">
        <v>27</v>
      </c>
    </row>
    <row r="54" spans="3:7" x14ac:dyDescent="0.25">
      <c r="C54" t="s">
        <v>60</v>
      </c>
      <c r="D54" s="16" t="s">
        <v>80</v>
      </c>
      <c r="E54" t="s">
        <v>27</v>
      </c>
      <c r="G54" t="s">
        <v>81</v>
      </c>
    </row>
    <row r="55" spans="3:7" x14ac:dyDescent="0.25">
      <c r="C55" t="s">
        <v>60</v>
      </c>
      <c r="D55" s="16" t="s">
        <v>82</v>
      </c>
      <c r="E55" t="s">
        <v>27</v>
      </c>
      <c r="G55" t="s">
        <v>83</v>
      </c>
    </row>
    <row r="56" spans="3:7" x14ac:dyDescent="0.25">
      <c r="C56" t="s">
        <v>60</v>
      </c>
      <c r="D56" s="16" t="s">
        <v>84</v>
      </c>
      <c r="E56" t="s">
        <v>27</v>
      </c>
    </row>
    <row r="57" spans="3:7" x14ac:dyDescent="0.25">
      <c r="C57" t="s">
        <v>60</v>
      </c>
      <c r="D57" s="16" t="s">
        <v>85</v>
      </c>
      <c r="E57" t="s">
        <v>32</v>
      </c>
      <c r="G57" t="s">
        <v>69</v>
      </c>
    </row>
    <row r="58" spans="3:7" x14ac:dyDescent="0.25">
      <c r="C58" t="s">
        <v>60</v>
      </c>
      <c r="D58" s="16" t="s">
        <v>86</v>
      </c>
      <c r="E58" t="s">
        <v>27</v>
      </c>
    </row>
    <row r="59" spans="3:7" x14ac:dyDescent="0.25">
      <c r="C59" t="s">
        <v>60</v>
      </c>
      <c r="D59" s="16" t="s">
        <v>87</v>
      </c>
      <c r="E59" t="s">
        <v>27</v>
      </c>
    </row>
    <row r="60" spans="3:7" x14ac:dyDescent="0.25">
      <c r="C60" t="s">
        <v>60</v>
      </c>
      <c r="D60" s="16" t="s">
        <v>100</v>
      </c>
    </row>
    <row r="61" spans="3:7" x14ac:dyDescent="0.25">
      <c r="C61" t="s">
        <v>88</v>
      </c>
      <c r="D61" s="17" t="s">
        <v>89</v>
      </c>
      <c r="E61" t="s">
        <v>23</v>
      </c>
    </row>
    <row r="62" spans="3:7" x14ac:dyDescent="0.25">
      <c r="C62" t="s">
        <v>88</v>
      </c>
      <c r="D62" s="17" t="s">
        <v>90</v>
      </c>
      <c r="E62" t="s">
        <v>23</v>
      </c>
    </row>
    <row r="63" spans="3:7" x14ac:dyDescent="0.25">
      <c r="C63" t="s">
        <v>88</v>
      </c>
      <c r="D63" s="17" t="s">
        <v>91</v>
      </c>
      <c r="E63" t="s">
        <v>27</v>
      </c>
    </row>
    <row r="64" spans="3:7" x14ac:dyDescent="0.25">
      <c r="C64" t="s">
        <v>88</v>
      </c>
      <c r="D64" s="17" t="s">
        <v>92</v>
      </c>
      <c r="E64" t="s">
        <v>23</v>
      </c>
    </row>
    <row r="65" spans="3:7" x14ac:dyDescent="0.25">
      <c r="C65" t="s">
        <v>88</v>
      </c>
      <c r="D65" s="17" t="s">
        <v>93</v>
      </c>
      <c r="E65" t="s">
        <v>76</v>
      </c>
      <c r="G65" t="s">
        <v>69</v>
      </c>
    </row>
    <row r="66" spans="3:7" x14ac:dyDescent="0.25">
      <c r="C66" t="s">
        <v>88</v>
      </c>
      <c r="D66" s="17" t="s">
        <v>94</v>
      </c>
      <c r="E66" t="s">
        <v>23</v>
      </c>
    </row>
    <row r="67" spans="3:7" x14ac:dyDescent="0.25">
      <c r="C67" t="s">
        <v>88</v>
      </c>
      <c r="D67" s="17" t="s">
        <v>95</v>
      </c>
      <c r="E67" t="s">
        <v>27</v>
      </c>
    </row>
    <row r="68" spans="3:7" x14ac:dyDescent="0.25">
      <c r="C68" t="s">
        <v>88</v>
      </c>
      <c r="D68" s="17" t="s">
        <v>96</v>
      </c>
      <c r="E68" t="s">
        <v>27</v>
      </c>
    </row>
    <row r="69" spans="3:7" x14ac:dyDescent="0.25">
      <c r="C69" t="s">
        <v>88</v>
      </c>
      <c r="D69" s="17" t="s">
        <v>97</v>
      </c>
      <c r="E69" t="s">
        <v>27</v>
      </c>
    </row>
    <row r="70" spans="3:7" x14ac:dyDescent="0.25">
      <c r="C70" t="s">
        <v>88</v>
      </c>
      <c r="D70" s="17" t="s">
        <v>100</v>
      </c>
    </row>
    <row r="71" spans="3:7" x14ac:dyDescent="0.25">
      <c r="C71" t="s">
        <v>100</v>
      </c>
      <c r="D71" s="17" t="s">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22"/>
  <sheetViews>
    <sheetView workbookViewId="0">
      <selection activeCell="D21" sqref="D21"/>
    </sheetView>
  </sheetViews>
  <sheetFormatPr defaultColWidth="9.140625" defaultRowHeight="15" x14ac:dyDescent="0.25"/>
  <cols>
    <col min="1" max="1" width="9.140625" style="3"/>
    <col min="2" max="2" width="13.28515625" style="3" bestFit="1" customWidth="1"/>
    <col min="3" max="3" width="19.42578125" style="3" bestFit="1" customWidth="1"/>
    <col min="4" max="4" width="39.42578125" style="3" customWidth="1"/>
    <col min="5" max="5" width="18.28515625" style="3" bestFit="1" customWidth="1"/>
    <col min="6" max="8" width="9.140625" style="3"/>
    <col min="9" max="9" width="19.28515625" style="3" bestFit="1" customWidth="1"/>
    <col min="10" max="10" width="14.85546875" style="3" customWidth="1"/>
    <col min="11" max="16384" width="9.140625" style="3"/>
  </cols>
  <sheetData>
    <row r="1" spans="1:10" ht="14.45" x14ac:dyDescent="0.3">
      <c r="A1" s="216" t="s">
        <v>487</v>
      </c>
      <c r="B1" s="216"/>
      <c r="C1" s="216"/>
      <c r="D1" s="216"/>
      <c r="E1" s="216"/>
      <c r="F1" s="216"/>
      <c r="G1" s="216"/>
      <c r="H1" s="216"/>
      <c r="I1" s="216"/>
      <c r="J1" s="216"/>
    </row>
    <row r="3" spans="1:10" ht="14.45" x14ac:dyDescent="0.3">
      <c r="A3" s="3" t="s">
        <v>11</v>
      </c>
      <c r="B3" s="3" t="s">
        <v>13</v>
      </c>
      <c r="C3" s="3" t="s">
        <v>12</v>
      </c>
      <c r="D3" s="3" t="s">
        <v>172</v>
      </c>
      <c r="E3" s="3" t="s">
        <v>353</v>
      </c>
      <c r="I3" s="3" t="s">
        <v>490</v>
      </c>
      <c r="J3" s="3" t="s">
        <v>538</v>
      </c>
    </row>
    <row r="4" spans="1:10" ht="14.45" x14ac:dyDescent="0.3">
      <c r="A4" s="3" t="s">
        <v>269</v>
      </c>
      <c r="B4" s="3" t="s">
        <v>16</v>
      </c>
      <c r="C4" s="3" t="s">
        <v>637</v>
      </c>
      <c r="D4" s="3" t="s">
        <v>404</v>
      </c>
      <c r="E4" s="3" t="s">
        <v>404</v>
      </c>
      <c r="I4" s="175" t="s">
        <v>492</v>
      </c>
      <c r="J4" s="3" t="s">
        <v>540</v>
      </c>
    </row>
    <row r="5" spans="1:10" ht="14.45" x14ac:dyDescent="0.3">
      <c r="A5" s="3" t="s">
        <v>404</v>
      </c>
      <c r="B5" s="3" t="s">
        <v>17</v>
      </c>
      <c r="C5" s="3" t="s">
        <v>638</v>
      </c>
      <c r="D5" s="21" t="str">
        <f>+MENU!B82</f>
        <v>12oz Cartridge Retainer - Solvent</v>
      </c>
      <c r="E5" s="3" t="s">
        <v>354</v>
      </c>
      <c r="I5" s="175" t="s">
        <v>494</v>
      </c>
      <c r="J5" s="3" t="s">
        <v>539</v>
      </c>
    </row>
    <row r="6" spans="1:10" ht="14.45" x14ac:dyDescent="0.3">
      <c r="D6" s="3" t="str">
        <f>+MENU!B83</f>
        <v>2 Gallon Flip Top Pressure Tank - Solvent</v>
      </c>
      <c r="E6" s="3" t="s">
        <v>355</v>
      </c>
      <c r="I6" s="175" t="s">
        <v>491</v>
      </c>
      <c r="J6" s="3" t="s">
        <v>541</v>
      </c>
    </row>
    <row r="7" spans="1:10" ht="14.45" x14ac:dyDescent="0.3">
      <c r="A7" s="3" t="s">
        <v>562</v>
      </c>
      <c r="I7" s="175" t="s">
        <v>495</v>
      </c>
      <c r="J7" s="4" t="s">
        <v>544</v>
      </c>
    </row>
    <row r="8" spans="1:10" ht="14.45" x14ac:dyDescent="0.3">
      <c r="A8" s="3" t="s">
        <v>404</v>
      </c>
      <c r="I8" s="175" t="s">
        <v>493</v>
      </c>
      <c r="J8" s="4" t="s">
        <v>543</v>
      </c>
    </row>
    <row r="9" spans="1:10" ht="14.45" x14ac:dyDescent="0.3">
      <c r="I9" s="10" t="s">
        <v>497</v>
      </c>
      <c r="J9" s="3" t="s">
        <v>542</v>
      </c>
    </row>
    <row r="10" spans="1:10" ht="14.45" x14ac:dyDescent="0.3">
      <c r="I10" s="175" t="s">
        <v>534</v>
      </c>
      <c r="J10" s="3" t="s">
        <v>6</v>
      </c>
    </row>
    <row r="11" spans="1:10" ht="14.45" x14ac:dyDescent="0.3">
      <c r="B11" s="267" t="s">
        <v>461</v>
      </c>
      <c r="C11" s="267"/>
      <c r="E11" s="267" t="s">
        <v>462</v>
      </c>
      <c r="F11" s="267"/>
      <c r="I11" s="175" t="s">
        <v>496</v>
      </c>
    </row>
    <row r="12" spans="1:10" ht="14.45" x14ac:dyDescent="0.3">
      <c r="E12" s="140"/>
      <c r="F12" s="140"/>
      <c r="I12" s="10" t="s">
        <v>498</v>
      </c>
    </row>
    <row r="13" spans="1:10" ht="14.45" x14ac:dyDescent="0.3">
      <c r="B13" s="136" t="str">
        <f>+MENU!B4</f>
        <v>Delta 6</v>
      </c>
      <c r="C13" s="3">
        <v>6</v>
      </c>
      <c r="E13" s="140" t="str">
        <f>+MENU!B4</f>
        <v>Delta 6</v>
      </c>
      <c r="F13" s="140">
        <v>3</v>
      </c>
    </row>
    <row r="14" spans="1:10" ht="14.45" x14ac:dyDescent="0.3">
      <c r="B14" s="136" t="str">
        <f>+MENU!B5</f>
        <v>Delta 8</v>
      </c>
      <c r="C14" s="3">
        <v>8</v>
      </c>
      <c r="E14" s="140" t="str">
        <f>+MENU!B5</f>
        <v>Delta 8</v>
      </c>
      <c r="F14" s="140">
        <v>4</v>
      </c>
    </row>
    <row r="16" spans="1:10" x14ac:dyDescent="0.25">
      <c r="B16" s="348" t="s">
        <v>471</v>
      </c>
      <c r="C16" s="348"/>
      <c r="D16" s="348"/>
      <c r="E16" s="348"/>
    </row>
    <row r="17" spans="2:5" x14ac:dyDescent="0.25">
      <c r="B17" s="3" t="s">
        <v>454</v>
      </c>
      <c r="D17" s="140" t="s">
        <v>320</v>
      </c>
      <c r="E17" s="140" t="s">
        <v>408</v>
      </c>
    </row>
    <row r="18" spans="2:5" x14ac:dyDescent="0.25">
      <c r="B18" s="3">
        <v>4</v>
      </c>
      <c r="D18" s="3" t="s">
        <v>472</v>
      </c>
      <c r="E18" s="172" t="s">
        <v>474</v>
      </c>
    </row>
    <row r="19" spans="2:5" x14ac:dyDescent="0.25">
      <c r="B19" s="3">
        <v>8</v>
      </c>
      <c r="C19" s="172"/>
      <c r="D19" s="172" t="s">
        <v>473</v>
      </c>
      <c r="E19" s="172" t="s">
        <v>475</v>
      </c>
    </row>
    <row r="21" spans="2:5" x14ac:dyDescent="0.25">
      <c r="C21" s="174"/>
      <c r="D21" s="168" t="s">
        <v>459</v>
      </c>
      <c r="E21" s="168" t="s">
        <v>459</v>
      </c>
    </row>
    <row r="22" spans="2:5" x14ac:dyDescent="0.25">
      <c r="C22" s="174"/>
      <c r="D22" s="168" t="s">
        <v>460</v>
      </c>
      <c r="E22" s="168" t="s">
        <v>460</v>
      </c>
    </row>
  </sheetData>
  <sortState ref="J4:J10">
    <sortCondition ref="J4"/>
  </sortState>
  <mergeCells count="3">
    <mergeCell ref="B11:C11"/>
    <mergeCell ref="E11:F11"/>
    <mergeCell ref="B16:E16"/>
  </mergeCells>
  <pageMargins left="0.7" right="0.7" top="0.75" bottom="0.75" header="0.3" footer="0.3"/>
  <pageSetup paperSize="3"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C86"/>
  <sheetViews>
    <sheetView topLeftCell="A45" workbookViewId="0">
      <selection activeCell="K79" sqref="K79"/>
    </sheetView>
  </sheetViews>
  <sheetFormatPr defaultRowHeight="15" x14ac:dyDescent="0.25"/>
  <cols>
    <col min="1" max="1" width="10.42578125" customWidth="1"/>
    <col min="2" max="2" width="60.7109375" style="11" customWidth="1"/>
    <col min="3" max="3" width="11.42578125" customWidth="1"/>
  </cols>
  <sheetData>
    <row r="1" spans="1:3" ht="18.600000000000001" hidden="1" thickBot="1" x14ac:dyDescent="0.4">
      <c r="A1" s="106" t="s">
        <v>478</v>
      </c>
      <c r="B1" s="102"/>
      <c r="C1" s="171">
        <v>42242</v>
      </c>
    </row>
    <row r="2" spans="1:3" hidden="1" thickBot="1" x14ac:dyDescent="0.35">
      <c r="A2" s="104" t="s">
        <v>375</v>
      </c>
      <c r="B2" s="105" t="s">
        <v>106</v>
      </c>
      <c r="C2" s="104" t="s">
        <v>376</v>
      </c>
    </row>
    <row r="3" spans="1:3" ht="14.45" hidden="1" x14ac:dyDescent="0.3">
      <c r="A3" s="100">
        <v>1</v>
      </c>
      <c r="B3" s="11" t="s">
        <v>418</v>
      </c>
      <c r="C3" s="91" t="s">
        <v>311</v>
      </c>
    </row>
    <row r="4" spans="1:3" ht="14.45" hidden="1" x14ac:dyDescent="0.3">
      <c r="A4" s="176"/>
      <c r="C4" s="91"/>
    </row>
    <row r="5" spans="1:3" ht="18.600000000000001" hidden="1" thickBot="1" x14ac:dyDescent="0.4">
      <c r="A5" s="106" t="s">
        <v>510</v>
      </c>
      <c r="B5" s="102"/>
      <c r="C5" s="171">
        <v>42279</v>
      </c>
    </row>
    <row r="6" spans="1:3" hidden="1" thickBot="1" x14ac:dyDescent="0.35">
      <c r="A6" s="104" t="s">
        <v>375</v>
      </c>
      <c r="B6" s="105" t="s">
        <v>106</v>
      </c>
      <c r="C6" s="104" t="s">
        <v>376</v>
      </c>
    </row>
    <row r="7" spans="1:3" ht="14.45" hidden="1" x14ac:dyDescent="0.3">
      <c r="A7" s="189">
        <v>1</v>
      </c>
      <c r="B7" s="11" t="s">
        <v>509</v>
      </c>
      <c r="C7" s="91" t="s">
        <v>311</v>
      </c>
    </row>
    <row r="8" spans="1:3" ht="14.45" hidden="1" x14ac:dyDescent="0.3">
      <c r="A8" s="189">
        <v>2</v>
      </c>
      <c r="B8" s="11" t="s">
        <v>511</v>
      </c>
      <c r="C8" s="91" t="s">
        <v>311</v>
      </c>
    </row>
    <row r="9" spans="1:3" ht="14.45" hidden="1" x14ac:dyDescent="0.3">
      <c r="A9" s="189">
        <v>3</v>
      </c>
      <c r="B9" s="11" t="s">
        <v>512</v>
      </c>
      <c r="C9" s="91" t="s">
        <v>311</v>
      </c>
    </row>
    <row r="10" spans="1:3" ht="14.45" hidden="1" x14ac:dyDescent="0.3">
      <c r="A10" s="199"/>
      <c r="C10" s="91"/>
    </row>
    <row r="11" spans="1:3" ht="18.600000000000001" hidden="1" thickBot="1" x14ac:dyDescent="0.4">
      <c r="A11" s="106" t="s">
        <v>523</v>
      </c>
      <c r="B11" s="102"/>
      <c r="C11" s="171">
        <v>42311</v>
      </c>
    </row>
    <row r="12" spans="1:3" hidden="1" thickBot="1" x14ac:dyDescent="0.35">
      <c r="A12" s="104" t="s">
        <v>375</v>
      </c>
      <c r="B12" s="105" t="s">
        <v>106</v>
      </c>
      <c r="C12" s="104" t="s">
        <v>376</v>
      </c>
    </row>
    <row r="13" spans="1:3" ht="14.45" hidden="1" x14ac:dyDescent="0.3">
      <c r="A13" s="199">
        <v>1</v>
      </c>
      <c r="B13" s="11" t="s">
        <v>524</v>
      </c>
      <c r="C13" s="91" t="s">
        <v>311</v>
      </c>
    </row>
    <row r="14" spans="1:3" ht="14.45" hidden="1" x14ac:dyDescent="0.3">
      <c r="A14" s="199">
        <v>2</v>
      </c>
      <c r="B14" s="11" t="s">
        <v>525</v>
      </c>
      <c r="C14" s="91" t="s">
        <v>311</v>
      </c>
    </row>
    <row r="15" spans="1:3" ht="14.45" hidden="1" x14ac:dyDescent="0.3">
      <c r="A15" s="199"/>
      <c r="C15" s="91"/>
    </row>
    <row r="16" spans="1:3" ht="18.600000000000001" hidden="1" thickBot="1" x14ac:dyDescent="0.4">
      <c r="A16" s="106" t="s">
        <v>533</v>
      </c>
      <c r="B16" s="102"/>
      <c r="C16" s="177">
        <v>42377</v>
      </c>
    </row>
    <row r="17" spans="1:3" hidden="1" thickBot="1" x14ac:dyDescent="0.35">
      <c r="A17" s="104" t="s">
        <v>375</v>
      </c>
      <c r="B17" s="105" t="s">
        <v>106</v>
      </c>
      <c r="C17" s="104" t="s">
        <v>376</v>
      </c>
    </row>
    <row r="18" spans="1:3" ht="14.45" hidden="1" x14ac:dyDescent="0.3">
      <c r="A18" s="141">
        <v>1</v>
      </c>
      <c r="B18" s="11" t="s">
        <v>554</v>
      </c>
      <c r="C18" s="91" t="s">
        <v>311</v>
      </c>
    </row>
    <row r="19" spans="1:3" ht="14.45" hidden="1" x14ac:dyDescent="0.3">
      <c r="A19" s="141">
        <v>2</v>
      </c>
      <c r="B19" s="11" t="s">
        <v>555</v>
      </c>
      <c r="C19" s="91" t="s">
        <v>311</v>
      </c>
    </row>
    <row r="20" spans="1:3" ht="14.45" hidden="1" x14ac:dyDescent="0.3">
      <c r="A20" s="141">
        <v>3</v>
      </c>
      <c r="B20" s="11" t="s">
        <v>556</v>
      </c>
      <c r="C20" s="91" t="s">
        <v>311</v>
      </c>
    </row>
    <row r="21" spans="1:3" ht="14.45" hidden="1" x14ac:dyDescent="0.3">
      <c r="A21" s="188">
        <v>4</v>
      </c>
      <c r="B21" s="11" t="s">
        <v>557</v>
      </c>
      <c r="C21" s="91" t="s">
        <v>311</v>
      </c>
    </row>
    <row r="22" spans="1:3" ht="14.45" hidden="1" x14ac:dyDescent="0.3">
      <c r="A22" s="188">
        <v>5</v>
      </c>
      <c r="B22" s="11" t="s">
        <v>530</v>
      </c>
      <c r="C22" s="91" t="s">
        <v>311</v>
      </c>
    </row>
    <row r="23" spans="1:3" ht="14.45" hidden="1" x14ac:dyDescent="0.3">
      <c r="A23" s="189">
        <v>6</v>
      </c>
      <c r="B23" s="11" t="s">
        <v>531</v>
      </c>
      <c r="C23" s="91" t="s">
        <v>311</v>
      </c>
    </row>
    <row r="24" spans="1:3" ht="14.45" hidden="1" x14ac:dyDescent="0.3">
      <c r="A24" s="204">
        <v>7</v>
      </c>
      <c r="B24" s="11" t="s">
        <v>558</v>
      </c>
      <c r="C24" s="91" t="s">
        <v>311</v>
      </c>
    </row>
    <row r="25" spans="1:3" ht="14.45" hidden="1" x14ac:dyDescent="0.3">
      <c r="A25" s="204">
        <v>8</v>
      </c>
      <c r="B25" s="11" t="s">
        <v>552</v>
      </c>
      <c r="C25" s="91" t="s">
        <v>311</v>
      </c>
    </row>
    <row r="26" spans="1:3" ht="14.45" hidden="1" x14ac:dyDescent="0.3">
      <c r="A26" s="204">
        <v>9</v>
      </c>
      <c r="B26" s="11" t="s">
        <v>553</v>
      </c>
      <c r="C26" s="91" t="s">
        <v>311</v>
      </c>
    </row>
    <row r="27" spans="1:3" ht="14.45" hidden="1" x14ac:dyDescent="0.3">
      <c r="A27" s="211"/>
      <c r="C27" s="91"/>
    </row>
    <row r="28" spans="1:3" ht="18.600000000000001" hidden="1" thickBot="1" x14ac:dyDescent="0.4">
      <c r="A28" s="106" t="s">
        <v>567</v>
      </c>
      <c r="B28" s="102"/>
      <c r="C28" s="177">
        <v>42384</v>
      </c>
    </row>
    <row r="29" spans="1:3" hidden="1" thickBot="1" x14ac:dyDescent="0.35">
      <c r="A29" s="104" t="s">
        <v>375</v>
      </c>
      <c r="B29" s="105" t="s">
        <v>106</v>
      </c>
      <c r="C29" s="104" t="s">
        <v>376</v>
      </c>
    </row>
    <row r="30" spans="1:3" ht="14.45" hidden="1" x14ac:dyDescent="0.3">
      <c r="A30" s="218">
        <v>1</v>
      </c>
      <c r="B30" s="11" t="s">
        <v>563</v>
      </c>
      <c r="C30" s="91" t="s">
        <v>311</v>
      </c>
    </row>
    <row r="31" spans="1:3" ht="14.45" hidden="1" x14ac:dyDescent="0.3">
      <c r="A31" s="223"/>
      <c r="C31" s="91"/>
    </row>
    <row r="32" spans="1:3" ht="18.600000000000001" hidden="1" thickBot="1" x14ac:dyDescent="0.4">
      <c r="A32" s="106" t="s">
        <v>564</v>
      </c>
      <c r="B32" s="102"/>
      <c r="C32" s="177"/>
    </row>
    <row r="33" spans="1:3" hidden="1" thickBot="1" x14ac:dyDescent="0.35">
      <c r="A33" s="104" t="s">
        <v>375</v>
      </c>
      <c r="B33" s="105" t="s">
        <v>106</v>
      </c>
      <c r="C33" s="104" t="s">
        <v>376</v>
      </c>
    </row>
    <row r="34" spans="1:3" ht="14.45" hidden="1" x14ac:dyDescent="0.3">
      <c r="A34" s="223">
        <v>1</v>
      </c>
      <c r="B34" s="11" t="s">
        <v>565</v>
      </c>
      <c r="C34" s="91" t="s">
        <v>311</v>
      </c>
    </row>
    <row r="35" spans="1:3" ht="14.45" hidden="1" x14ac:dyDescent="0.3">
      <c r="A35" s="223">
        <v>2</v>
      </c>
      <c r="B35" s="11" t="s">
        <v>569</v>
      </c>
      <c r="C35" s="91" t="s">
        <v>311</v>
      </c>
    </row>
    <row r="36" spans="1:3" ht="14.45" hidden="1" x14ac:dyDescent="0.3">
      <c r="A36" s="225"/>
      <c r="C36" s="91"/>
    </row>
    <row r="37" spans="1:3" ht="18.600000000000001" hidden="1" thickBot="1" x14ac:dyDescent="0.4">
      <c r="A37" s="106" t="s">
        <v>570</v>
      </c>
      <c r="B37" s="102"/>
      <c r="C37" s="177">
        <v>42416</v>
      </c>
    </row>
    <row r="38" spans="1:3" hidden="1" thickBot="1" x14ac:dyDescent="0.35">
      <c r="A38" s="104" t="s">
        <v>375</v>
      </c>
      <c r="B38" s="105" t="s">
        <v>106</v>
      </c>
      <c r="C38" s="104" t="s">
        <v>376</v>
      </c>
    </row>
    <row r="39" spans="1:3" ht="14.45" hidden="1" x14ac:dyDescent="0.3">
      <c r="A39" s="226">
        <v>1</v>
      </c>
      <c r="B39" s="11" t="s">
        <v>571</v>
      </c>
      <c r="C39" s="91" t="s">
        <v>311</v>
      </c>
    </row>
    <row r="40" spans="1:3" ht="14.45" hidden="1" x14ac:dyDescent="0.3">
      <c r="A40" s="226"/>
      <c r="C40" s="91"/>
    </row>
    <row r="41" spans="1:3" ht="18.600000000000001" hidden="1" thickBot="1" x14ac:dyDescent="0.4">
      <c r="A41" s="106" t="s">
        <v>572</v>
      </c>
      <c r="B41" s="102"/>
      <c r="C41" s="177">
        <v>42417</v>
      </c>
    </row>
    <row r="42" spans="1:3" hidden="1" thickBot="1" x14ac:dyDescent="0.35">
      <c r="A42" s="104" t="s">
        <v>375</v>
      </c>
      <c r="B42" s="105" t="s">
        <v>106</v>
      </c>
      <c r="C42" s="104" t="s">
        <v>376</v>
      </c>
    </row>
    <row r="43" spans="1:3" ht="14.45" hidden="1" x14ac:dyDescent="0.3">
      <c r="A43" s="227">
        <v>1</v>
      </c>
      <c r="B43" s="11" t="s">
        <v>573</v>
      </c>
      <c r="C43" s="91" t="s">
        <v>311</v>
      </c>
    </row>
    <row r="44" spans="1:3" ht="14.45" hidden="1" x14ac:dyDescent="0.3">
      <c r="A44" s="228"/>
      <c r="C44" s="91"/>
    </row>
    <row r="45" spans="1:3" ht="18.600000000000001" thickBot="1" x14ac:dyDescent="0.4">
      <c r="A45" s="106" t="s">
        <v>639</v>
      </c>
      <c r="B45" s="102"/>
      <c r="C45" s="177"/>
    </row>
    <row r="46" spans="1:3" thickBot="1" x14ac:dyDescent="0.35">
      <c r="A46" s="104" t="s">
        <v>375</v>
      </c>
      <c r="B46" s="105" t="s">
        <v>106</v>
      </c>
      <c r="C46" s="104" t="s">
        <v>376</v>
      </c>
    </row>
    <row r="47" spans="1:3" x14ac:dyDescent="0.25">
      <c r="A47" s="228">
        <v>1</v>
      </c>
      <c r="B47" s="11" t="s">
        <v>575</v>
      </c>
      <c r="C47" s="91" t="s">
        <v>311</v>
      </c>
    </row>
    <row r="48" spans="1:3" x14ac:dyDescent="0.25">
      <c r="A48" s="228">
        <v>2</v>
      </c>
      <c r="B48" s="11" t="s">
        <v>644</v>
      </c>
      <c r="C48" s="91" t="s">
        <v>311</v>
      </c>
    </row>
    <row r="49" spans="1:3" x14ac:dyDescent="0.25">
      <c r="A49" s="228">
        <v>3</v>
      </c>
      <c r="B49" s="11" t="s">
        <v>576</v>
      </c>
      <c r="C49" s="91" t="s">
        <v>311</v>
      </c>
    </row>
    <row r="50" spans="1:3" x14ac:dyDescent="0.25">
      <c r="A50" s="228">
        <v>4</v>
      </c>
      <c r="B50" s="11" t="s">
        <v>580</v>
      </c>
      <c r="C50" s="91" t="s">
        <v>311</v>
      </c>
    </row>
    <row r="51" spans="1:3" x14ac:dyDescent="0.25">
      <c r="A51" s="228">
        <v>5</v>
      </c>
      <c r="B51" s="11" t="s">
        <v>584</v>
      </c>
      <c r="C51" s="91" t="s">
        <v>311</v>
      </c>
    </row>
    <row r="52" spans="1:3" x14ac:dyDescent="0.25">
      <c r="A52" s="228">
        <v>6</v>
      </c>
      <c r="B52" s="11" t="s">
        <v>645</v>
      </c>
      <c r="C52" s="91" t="s">
        <v>311</v>
      </c>
    </row>
    <row r="53" spans="1:3" x14ac:dyDescent="0.25">
      <c r="A53" s="228">
        <v>7</v>
      </c>
      <c r="B53" s="11" t="s">
        <v>588</v>
      </c>
      <c r="C53" s="91" t="s">
        <v>311</v>
      </c>
    </row>
    <row r="54" spans="1:3" x14ac:dyDescent="0.25">
      <c r="A54" s="228">
        <v>8</v>
      </c>
      <c r="B54" s="11" t="s">
        <v>610</v>
      </c>
      <c r="C54" s="91" t="s">
        <v>311</v>
      </c>
    </row>
    <row r="55" spans="1:3" x14ac:dyDescent="0.25">
      <c r="A55" s="228">
        <v>9</v>
      </c>
      <c r="B55" s="11" t="s">
        <v>611</v>
      </c>
      <c r="C55" s="91" t="s">
        <v>311</v>
      </c>
    </row>
    <row r="56" spans="1:3" x14ac:dyDescent="0.25">
      <c r="A56" s="228">
        <v>10</v>
      </c>
      <c r="B56" s="11" t="s">
        <v>612</v>
      </c>
      <c r="C56" s="91" t="s">
        <v>311</v>
      </c>
    </row>
    <row r="57" spans="1:3" x14ac:dyDescent="0.25">
      <c r="A57" s="228">
        <v>11</v>
      </c>
      <c r="B57" s="11" t="s">
        <v>646</v>
      </c>
      <c r="C57" s="91" t="s">
        <v>311</v>
      </c>
    </row>
    <row r="58" spans="1:3" x14ac:dyDescent="0.25">
      <c r="A58" s="228">
        <v>12</v>
      </c>
      <c r="B58" s="11" t="s">
        <v>615</v>
      </c>
      <c r="C58" s="91" t="s">
        <v>311</v>
      </c>
    </row>
    <row r="59" spans="1:3" x14ac:dyDescent="0.25">
      <c r="A59" s="228">
        <v>13</v>
      </c>
      <c r="B59" s="11" t="s">
        <v>623</v>
      </c>
      <c r="C59" s="91" t="s">
        <v>311</v>
      </c>
    </row>
    <row r="60" spans="1:3" x14ac:dyDescent="0.25">
      <c r="A60" s="228">
        <v>14</v>
      </c>
      <c r="B60" s="11" t="s">
        <v>624</v>
      </c>
      <c r="C60" s="91" t="s">
        <v>311</v>
      </c>
    </row>
    <row r="61" spans="1:3" x14ac:dyDescent="0.25">
      <c r="A61" s="228">
        <v>15</v>
      </c>
      <c r="B61" s="11" t="s">
        <v>630</v>
      </c>
      <c r="C61" s="91" t="s">
        <v>311</v>
      </c>
    </row>
    <row r="62" spans="1:3" x14ac:dyDescent="0.25">
      <c r="A62" s="228">
        <v>16</v>
      </c>
      <c r="B62" s="11" t="s">
        <v>649</v>
      </c>
      <c r="C62" s="91" t="s">
        <v>311</v>
      </c>
    </row>
    <row r="63" spans="1:3" x14ac:dyDescent="0.25">
      <c r="A63" s="228">
        <v>17</v>
      </c>
      <c r="B63" s="11" t="s">
        <v>650</v>
      </c>
      <c r="C63" s="91" t="s">
        <v>311</v>
      </c>
    </row>
    <row r="64" spans="1:3" x14ac:dyDescent="0.25">
      <c r="A64" s="227"/>
      <c r="C64" s="91"/>
    </row>
    <row r="65" spans="1:3" ht="19.5" thickBot="1" x14ac:dyDescent="0.35">
      <c r="A65" s="106" t="s">
        <v>566</v>
      </c>
      <c r="B65" s="102"/>
      <c r="C65" s="101"/>
    </row>
    <row r="66" spans="1:3" ht="15.75" thickBot="1" x14ac:dyDescent="0.3">
      <c r="A66" s="104" t="s">
        <v>375</v>
      </c>
      <c r="B66" s="105" t="s">
        <v>106</v>
      </c>
      <c r="C66" s="104" t="s">
        <v>405</v>
      </c>
    </row>
    <row r="67" spans="1:3" x14ac:dyDescent="0.25">
      <c r="A67" s="103">
        <v>1</v>
      </c>
      <c r="B67" s="11" t="s">
        <v>651</v>
      </c>
      <c r="C67" s="228">
        <v>1</v>
      </c>
    </row>
    <row r="68" spans="1:3" x14ac:dyDescent="0.25">
      <c r="A68" s="103">
        <v>2</v>
      </c>
      <c r="B68" s="11" t="s">
        <v>382</v>
      </c>
      <c r="C68" s="228">
        <v>2</v>
      </c>
    </row>
    <row r="69" spans="1:3" x14ac:dyDescent="0.25">
      <c r="A69" s="103">
        <v>3</v>
      </c>
      <c r="B69" s="11" t="s">
        <v>381</v>
      </c>
      <c r="C69" s="228">
        <v>3</v>
      </c>
    </row>
    <row r="70" spans="1:3" x14ac:dyDescent="0.25">
      <c r="A70" s="103">
        <v>4</v>
      </c>
      <c r="B70" s="11" t="s">
        <v>391</v>
      </c>
      <c r="C70" s="228">
        <v>4</v>
      </c>
    </row>
    <row r="71" spans="1:3" x14ac:dyDescent="0.25">
      <c r="A71" s="103">
        <v>5</v>
      </c>
      <c r="B71" s="11" t="s">
        <v>642</v>
      </c>
      <c r="C71" s="217">
        <v>5</v>
      </c>
    </row>
    <row r="72" spans="1:3" x14ac:dyDescent="0.25">
      <c r="A72" s="103">
        <v>6</v>
      </c>
    </row>
    <row r="73" spans="1:3" x14ac:dyDescent="0.25">
      <c r="A73" s="107">
        <v>7</v>
      </c>
    </row>
    <row r="74" spans="1:3" x14ac:dyDescent="0.25">
      <c r="A74" s="107">
        <v>8</v>
      </c>
      <c r="C74" s="217"/>
    </row>
    <row r="75" spans="1:3" x14ac:dyDescent="0.25">
      <c r="A75" s="107">
        <v>9</v>
      </c>
    </row>
    <row r="76" spans="1:3" x14ac:dyDescent="0.25">
      <c r="A76" s="108">
        <v>10</v>
      </c>
    </row>
    <row r="78" spans="1:3" ht="19.5" thickBot="1" x14ac:dyDescent="0.35">
      <c r="A78" s="106" t="s">
        <v>380</v>
      </c>
      <c r="B78" s="102"/>
      <c r="C78" s="101"/>
    </row>
    <row r="79" spans="1:3" ht="15.75" thickBot="1" x14ac:dyDescent="0.3">
      <c r="A79" s="104" t="s">
        <v>375</v>
      </c>
      <c r="B79" s="105" t="s">
        <v>106</v>
      </c>
      <c r="C79" s="104"/>
    </row>
    <row r="80" spans="1:3" x14ac:dyDescent="0.25">
      <c r="A80" s="224">
        <v>1</v>
      </c>
      <c r="B80" s="11" t="s">
        <v>515</v>
      </c>
    </row>
    <row r="81" spans="1:2" x14ac:dyDescent="0.25">
      <c r="A81" s="224">
        <v>2</v>
      </c>
      <c r="B81" s="11" t="s">
        <v>514</v>
      </c>
    </row>
    <row r="82" spans="1:2" x14ac:dyDescent="0.25">
      <c r="A82" s="224">
        <v>3</v>
      </c>
      <c r="B82" s="11" t="s">
        <v>386</v>
      </c>
    </row>
    <row r="83" spans="1:2" x14ac:dyDescent="0.25">
      <c r="A83" s="224">
        <v>4</v>
      </c>
      <c r="B83" s="11" t="s">
        <v>652</v>
      </c>
    </row>
    <row r="84" spans="1:2" x14ac:dyDescent="0.25">
      <c r="A84" s="224">
        <v>5</v>
      </c>
      <c r="B84" s="11" t="s">
        <v>653</v>
      </c>
    </row>
    <row r="85" spans="1:2" x14ac:dyDescent="0.25">
      <c r="A85" s="224">
        <v>6</v>
      </c>
      <c r="B85" s="11" t="s">
        <v>654</v>
      </c>
    </row>
    <row r="86" spans="1:2" x14ac:dyDescent="0.25">
      <c r="A86" s="224">
        <v>7</v>
      </c>
    </row>
  </sheetData>
  <sortState ref="B33:C42">
    <sortCondition ref="C33:C42"/>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30"/>
  <sheetViews>
    <sheetView topLeftCell="A13" zoomScaleNormal="100" workbookViewId="0">
      <selection activeCell="A15" sqref="A15"/>
    </sheetView>
  </sheetViews>
  <sheetFormatPr defaultRowHeight="15" x14ac:dyDescent="0.25"/>
  <cols>
    <col min="1" max="1" width="61.85546875" style="251" customWidth="1"/>
    <col min="2" max="2" width="51.7109375" customWidth="1"/>
    <col min="3" max="3" width="37.5703125" customWidth="1"/>
  </cols>
  <sheetData>
    <row r="1" spans="1:3" ht="14.45" x14ac:dyDescent="0.3">
      <c r="A1" s="251" t="s">
        <v>625</v>
      </c>
      <c r="B1" t="s">
        <v>626</v>
      </c>
      <c r="C1" s="250" t="s">
        <v>628</v>
      </c>
    </row>
    <row r="2" spans="1:3" ht="240" customHeight="1" x14ac:dyDescent="0.3">
      <c r="A2" s="253" t="s">
        <v>627</v>
      </c>
      <c r="C2" s="250" t="s">
        <v>629</v>
      </c>
    </row>
    <row r="3" spans="1:3" ht="240" customHeight="1" x14ac:dyDescent="0.3">
      <c r="A3" s="253" t="s">
        <v>404</v>
      </c>
    </row>
    <row r="4" spans="1:3" ht="240" customHeight="1" x14ac:dyDescent="0.3">
      <c r="A4" s="252" t="str">
        <f>+MENU!G33</f>
        <v>612-1879-1</v>
      </c>
    </row>
    <row r="5" spans="1:3" ht="240" customHeight="1" x14ac:dyDescent="0.3">
      <c r="A5" s="254" t="str">
        <f>+MENU!G34</f>
        <v>612-1879-2</v>
      </c>
    </row>
    <row r="6" spans="1:3" ht="240" customHeight="1" x14ac:dyDescent="0.3">
      <c r="A6" s="254" t="str">
        <f>+MENU!G35</f>
        <v>612-1879-3</v>
      </c>
    </row>
    <row r="7" spans="1:3" ht="240" customHeight="1" x14ac:dyDescent="0.3">
      <c r="A7" s="254" t="str">
        <f>+MENU!G36</f>
        <v>612-1879-4</v>
      </c>
    </row>
    <row r="8" spans="1:3" ht="240" customHeight="1" x14ac:dyDescent="0.3">
      <c r="A8" s="254" t="str">
        <f>+MENU!G37</f>
        <v>612-1879-5</v>
      </c>
    </row>
    <row r="9" spans="1:3" ht="240" customHeight="1" x14ac:dyDescent="0.3">
      <c r="A9" s="254" t="s">
        <v>631</v>
      </c>
    </row>
    <row r="10" spans="1:3" ht="240" customHeight="1" x14ac:dyDescent="0.3">
      <c r="A10" s="254" t="str">
        <f>+MENU!G41</f>
        <v>612-1867-1</v>
      </c>
    </row>
    <row r="11" spans="1:3" ht="240" customHeight="1" x14ac:dyDescent="0.3">
      <c r="A11" s="251" t="s">
        <v>632</v>
      </c>
    </row>
    <row r="12" spans="1:3" ht="240" customHeight="1" x14ac:dyDescent="0.3">
      <c r="A12" s="251" t="s">
        <v>634</v>
      </c>
    </row>
    <row r="13" spans="1:3" ht="240" customHeight="1" x14ac:dyDescent="0.3">
      <c r="A13" s="251" t="s">
        <v>635</v>
      </c>
    </row>
    <row r="14" spans="1:3" ht="240" customHeight="1" x14ac:dyDescent="0.25">
      <c r="A14" s="251" t="s">
        <v>479</v>
      </c>
    </row>
    <row r="15" spans="1:3" ht="240" customHeight="1" x14ac:dyDescent="0.25"/>
    <row r="16" spans="1:3" ht="240" customHeight="1" x14ac:dyDescent="0.25"/>
    <row r="17" ht="240" customHeight="1" x14ac:dyDescent="0.25"/>
    <row r="18" ht="240" customHeight="1" x14ac:dyDescent="0.25"/>
    <row r="19" ht="240" customHeight="1" x14ac:dyDescent="0.25"/>
    <row r="20" ht="240" customHeight="1" x14ac:dyDescent="0.25"/>
    <row r="21" ht="240" customHeight="1" x14ac:dyDescent="0.25"/>
    <row r="22" ht="240" customHeight="1" x14ac:dyDescent="0.25"/>
    <row r="23" ht="240" customHeight="1" x14ac:dyDescent="0.25"/>
    <row r="24" ht="240" customHeight="1" x14ac:dyDescent="0.25"/>
    <row r="25" ht="240" customHeight="1" x14ac:dyDescent="0.25"/>
    <row r="26" ht="240" customHeight="1" x14ac:dyDescent="0.25"/>
    <row r="27" ht="240" customHeight="1" x14ac:dyDescent="0.25"/>
    <row r="28" ht="240" customHeight="1" x14ac:dyDescent="0.25"/>
    <row r="29" ht="240" customHeight="1" x14ac:dyDescent="0.25"/>
    <row r="30" ht="240" customHeight="1"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7" r:id="rId3" name="Drop Down 3">
              <controlPr defaultSize="0" autoLine="0" autoPict="0">
                <anchor moveWithCells="1">
                  <from>
                    <xdr:col>2</xdr:col>
                    <xdr:colOff>1466850</xdr:colOff>
                    <xdr:row>0</xdr:row>
                    <xdr:rowOff>28575</xdr:rowOff>
                  </from>
                  <to>
                    <xdr:col>2</xdr:col>
                    <xdr:colOff>1743075</xdr:colOff>
                    <xdr:row>0</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30</vt:i4>
      </vt:variant>
    </vt:vector>
  </HeadingPairs>
  <TitlesOfParts>
    <vt:vector size="39" baseType="lpstr">
      <vt:lpstr>MENU</vt:lpstr>
      <vt:lpstr>WORKCELL CONFIGURATOR</vt:lpstr>
      <vt:lpstr>WORKCELL BOM</vt:lpstr>
      <vt:lpstr>WORKCELL FORMS</vt:lpstr>
      <vt:lpstr>WORKCELL DATA</vt:lpstr>
      <vt:lpstr>Material</vt:lpstr>
      <vt:lpstr>Data</vt:lpstr>
      <vt:lpstr>Revisions</vt:lpstr>
      <vt:lpstr>IMAGES</vt:lpstr>
      <vt:lpstr>Abchimie</vt:lpstr>
      <vt:lpstr>AVAIL_DELIV</vt:lpstr>
      <vt:lpstr>CAMERA</vt:lpstr>
      <vt:lpstr>Certification</vt:lpstr>
      <vt:lpstr>CONOP</vt:lpstr>
      <vt:lpstr>CONVEYOR</vt:lpstr>
      <vt:lpstr>DEPT</vt:lpstr>
      <vt:lpstr>Direction</vt:lpstr>
      <vt:lpstr>DISPENSE_HEAD</vt:lpstr>
      <vt:lpstr>DOWC</vt:lpstr>
      <vt:lpstr>Dymax</vt:lpstr>
      <vt:lpstr>ELANTAS</vt:lpstr>
      <vt:lpstr>Electrolube</vt:lpstr>
      <vt:lpstr>FLUID_DELIVERY</vt:lpstr>
      <vt:lpstr>HENKEL</vt:lpstr>
      <vt:lpstr>Humiseal</vt:lpstr>
      <vt:lpstr>Manufacturers</vt:lpstr>
      <vt:lpstr>No</vt:lpstr>
      <vt:lpstr>Other</vt:lpstr>
      <vt:lpstr>Peters</vt:lpstr>
      <vt:lpstr>POD</vt:lpstr>
      <vt:lpstr>POD_NOSPRAY</vt:lpstr>
      <vt:lpstr>MENU!Print_Area</vt:lpstr>
      <vt:lpstr>'WORKCELL CONFIGURATOR'!Print_Area</vt:lpstr>
      <vt:lpstr>PVASALES</vt:lpstr>
      <vt:lpstr>SolventFlush</vt:lpstr>
      <vt:lpstr>UNMOUNTED</vt:lpstr>
      <vt:lpstr>Voltage</vt:lpstr>
      <vt:lpstr>WORK_CELL</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Schoen</dc:creator>
  <cp:lastModifiedBy>Ryan Winne</cp:lastModifiedBy>
  <cp:lastPrinted>2016-11-08T15:50:47Z</cp:lastPrinted>
  <dcterms:created xsi:type="dcterms:W3CDTF">2014-10-02T20:45:56Z</dcterms:created>
  <dcterms:modified xsi:type="dcterms:W3CDTF">2017-02-16T20:13:46Z</dcterms:modified>
</cp:coreProperties>
</file>