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B27" i="10" l="1"/>
  <c r="E27" i="10" s="1"/>
  <c r="B26" i="10"/>
  <c r="E26" i="10" s="1"/>
  <c r="B23" i="10" l="1"/>
  <c r="E23" i="10" s="1"/>
  <c r="L2" i="4" l="1"/>
  <c r="M4" i="10"/>
  <c r="M7" i="10" l="1"/>
  <c r="M5" i="10"/>
  <c r="B20" i="10" l="1"/>
  <c r="E20" i="10" s="1"/>
  <c r="B19" i="10"/>
  <c r="E19" i="10" s="1"/>
  <c r="B18" i="10"/>
  <c r="E18" i="10" s="1"/>
  <c r="B17" i="10"/>
  <c r="E17" i="10" s="1"/>
  <c r="B16" i="10"/>
  <c r="E16" i="10" s="1"/>
  <c r="B15" i="10"/>
  <c r="E15" i="10" s="1"/>
  <c r="B14" i="10"/>
  <c r="B13" i="10"/>
  <c r="E13" i="10" s="1"/>
  <c r="B12" i="10"/>
  <c r="E12" i="10" s="1"/>
  <c r="B11" i="10"/>
  <c r="E11" i="10" s="1"/>
  <c r="B10" i="10"/>
  <c r="E10" i="10" s="1"/>
  <c r="B9" i="10"/>
  <c r="E9" i="10" s="1"/>
  <c r="B8" i="10"/>
  <c r="E8" i="10" s="1"/>
  <c r="B7" i="10"/>
  <c r="E7" i="10" s="1"/>
  <c r="B6" i="10"/>
  <c r="E6" i="10" s="1"/>
  <c r="E14" i="10" l="1"/>
  <c r="B5" i="10"/>
  <c r="C2" i="1"/>
  <c r="E5" i="10" l="1"/>
  <c r="L10" i="4"/>
  <c r="F4" i="7" l="1"/>
  <c r="C21" i="2" l="1"/>
  <c r="D22" i="2"/>
  <c r="A5" i="9" l="1"/>
  <c r="A6" i="9"/>
  <c r="A7" i="9"/>
  <c r="A8" i="9"/>
  <c r="A10" i="9"/>
  <c r="A4" i="9"/>
  <c r="I38" i="1" l="1"/>
  <c r="G38" i="1"/>
  <c r="S18" i="2"/>
  <c r="L52" i="4" l="1"/>
  <c r="A20" i="2" l="1"/>
  <c r="I40" i="4" l="1"/>
  <c r="I41" i="4"/>
  <c r="H41" i="4"/>
  <c r="L27" i="2" l="1"/>
  <c r="L25" i="2"/>
  <c r="L23" i="2"/>
  <c r="L21" i="2"/>
  <c r="L19" i="2"/>
  <c r="B21" i="2" s="1"/>
  <c r="A21" i="2" s="1"/>
  <c r="L9" i="2"/>
  <c r="L8" i="2"/>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G33" i="2"/>
  <c r="I42" i="4"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s="1"/>
  <c r="P47" i="4" l="1"/>
  <c r="Q47" i="4"/>
  <c r="M47" i="4"/>
  <c r="N47" i="4"/>
  <c r="R47" i="4"/>
  <c r="G47" i="4"/>
  <c r="O47" i="4" s="1"/>
  <c r="S69" i="6"/>
  <c r="S70" i="6"/>
  <c r="S47" i="4" l="1"/>
  <c r="A50" i="4" l="1"/>
  <c r="L40" i="4" l="1"/>
  <c r="G40" i="4" l="1"/>
  <c r="O40" i="4" s="1"/>
  <c r="H40" i="4"/>
  <c r="H44" i="4"/>
  <c r="C32" i="2"/>
  <c r="B32" i="2"/>
  <c r="M41" i="4" l="1"/>
  <c r="P41" i="4"/>
  <c r="N41" i="4"/>
  <c r="Q41" i="4"/>
  <c r="R41" i="4"/>
  <c r="G41" i="4"/>
  <c r="O41" i="4" s="1"/>
  <c r="A32" i="2"/>
  <c r="S41" i="4" l="1"/>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I15" i="4"/>
  <c r="I18" i="4"/>
  <c r="I24" i="4"/>
  <c r="I26" i="4"/>
  <c r="I28" i="4"/>
  <c r="I30" i="4"/>
  <c r="I32" i="4"/>
  <c r="L36" i="4"/>
  <c r="I39" i="4"/>
  <c r="I44" i="4"/>
  <c r="G37" i="2"/>
  <c r="H46" i="4" s="1"/>
  <c r="I46" i="4" s="1"/>
  <c r="G39" i="2"/>
  <c r="H48" i="4" s="1"/>
  <c r="I48" i="4" s="1"/>
  <c r="I9" i="4"/>
  <c r="I7" i="4" s="1"/>
  <c r="G40" i="2"/>
  <c r="H49" i="4" s="1"/>
  <c r="I49" i="4" s="1"/>
  <c r="G9" i="4"/>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C33" i="2"/>
  <c r="A33" i="2" s="1"/>
  <c r="C31" i="2"/>
  <c r="A31" i="2" s="1"/>
  <c r="H52" i="4"/>
  <c r="H24" i="4"/>
  <c r="H26" i="4"/>
  <c r="H28" i="4"/>
  <c r="H30" i="4"/>
  <c r="H32" i="4"/>
  <c r="H39" i="4"/>
  <c r="H13" i="4"/>
  <c r="H14" i="4"/>
  <c r="H15" i="4"/>
  <c r="H18" i="4"/>
  <c r="H19" i="4"/>
  <c r="H20" i="4"/>
  <c r="G4" i="2"/>
  <c r="H9" i="4"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6"/>
  <c r="I3" i="4"/>
  <c r="L4" i="4"/>
  <c r="E4" i="7"/>
  <c r="S68" i="6"/>
  <c r="O64" i="6"/>
  <c r="M41" i="6"/>
  <c r="G50" i="6"/>
  <c r="R50" i="6"/>
  <c r="R3" i="6"/>
  <c r="G3" i="6"/>
  <c r="I2" i="4"/>
  <c r="D6" i="3"/>
  <c r="D5" i="3"/>
  <c r="B4" i="7" l="1"/>
  <c r="M6" i="10"/>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P49" i="4"/>
  <c r="M49" i="4"/>
  <c r="N49" i="4"/>
  <c r="R49" i="4"/>
  <c r="Q49" i="4"/>
  <c r="R48" i="4"/>
  <c r="Q48" i="4"/>
  <c r="N48" i="4"/>
  <c r="P48" i="4"/>
  <c r="M48" i="4"/>
  <c r="P46" i="4"/>
  <c r="R46" i="4"/>
  <c r="Q46" i="4"/>
  <c r="M46" i="4"/>
  <c r="N46" i="4"/>
  <c r="M51" i="6"/>
  <c r="S23" i="4"/>
  <c r="A10" i="2"/>
  <c r="B51" i="6"/>
  <c r="A4" i="7"/>
  <c r="G49" i="4"/>
  <c r="O49" i="4" s="1"/>
  <c r="A56" i="4"/>
  <c r="G56" i="4" s="1"/>
  <c r="S40" i="4"/>
  <c r="S29" i="4"/>
  <c r="G44" i="4"/>
  <c r="O44" i="4" s="1"/>
  <c r="A57" i="4"/>
  <c r="G57" i="4" s="1"/>
  <c r="R4" i="6"/>
  <c r="G24" i="4"/>
  <c r="O24" i="4" s="1"/>
  <c r="R51" i="6"/>
  <c r="G51" i="6"/>
  <c r="S52" i="4"/>
  <c r="G4" i="6"/>
  <c r="A55" i="4"/>
  <c r="G55" i="4" s="1"/>
  <c r="U9" i="4"/>
  <c r="L32" i="4"/>
  <c r="G30" i="4"/>
  <c r="O30" i="4" s="1"/>
  <c r="S45" i="4"/>
  <c r="S38" i="4"/>
  <c r="S27" i="4"/>
  <c r="G28" i="4"/>
  <c r="O28" i="4" s="1"/>
  <c r="G19" i="4"/>
  <c r="O19" i="4" s="1"/>
  <c r="A54" i="4"/>
  <c r="G54" i="4" s="1"/>
  <c r="G15" i="4"/>
  <c r="O15" i="4" s="1"/>
  <c r="S31" i="4"/>
  <c r="S22" i="4"/>
  <c r="G48" i="4"/>
  <c r="O48" i="4" s="1"/>
  <c r="G46" i="4"/>
  <c r="O46" i="4" s="1"/>
  <c r="A59" i="4"/>
  <c r="G59" i="4" s="1"/>
  <c r="G32" i="4"/>
  <c r="O32" i="4" s="1"/>
  <c r="A58" i="4"/>
  <c r="G58" i="4" s="1"/>
  <c r="G26" i="4"/>
  <c r="O26" i="4" s="1"/>
  <c r="G18" i="4"/>
  <c r="O18" i="4" s="1"/>
  <c r="G14" i="4"/>
  <c r="O14" i="4" s="1"/>
  <c r="S33" i="4"/>
  <c r="S25" i="4"/>
  <c r="G39" i="4"/>
  <c r="O39" i="4" s="1"/>
  <c r="G20" i="4"/>
  <c r="O20" i="4" s="1"/>
  <c r="A13" i="4"/>
  <c r="G13" i="4" s="1"/>
  <c r="O13" i="4" s="1"/>
  <c r="A53" i="4"/>
  <c r="G53" i="4" s="1"/>
  <c r="S43" i="4"/>
  <c r="A24" i="2"/>
  <c r="L37" i="4"/>
  <c r="L28" i="2"/>
  <c r="B22" i="2"/>
  <c r="A22" i="2" s="1"/>
  <c r="A23" i="2"/>
  <c r="A25" i="2"/>
  <c r="A27" i="2"/>
  <c r="B26" i="2"/>
  <c r="A26" i="2" s="1"/>
  <c r="A17" i="2"/>
  <c r="B15" i="2"/>
  <c r="A15" i="2" s="1"/>
  <c r="A16" i="2"/>
  <c r="A14" i="2"/>
  <c r="N9" i="2"/>
  <c r="Q9" i="2" s="1"/>
  <c r="R9" i="2" s="1"/>
  <c r="B28" i="2"/>
  <c r="A28" i="2" s="1"/>
  <c r="N8" i="2"/>
  <c r="Q8" i="2" s="1"/>
  <c r="R8" i="2" s="1"/>
  <c r="B9" i="2"/>
  <c r="A9" i="2" s="1"/>
  <c r="L47" i="4" l="1"/>
  <c r="L9" i="4"/>
  <c r="Q42" i="4"/>
  <c r="Q68" i="4" s="1"/>
  <c r="R42" i="4"/>
  <c r="M42" i="4"/>
  <c r="M68" i="4" s="1"/>
  <c r="N42" i="4"/>
  <c r="N68" i="4" s="1"/>
  <c r="P42" i="4"/>
  <c r="P68" i="4" s="1"/>
  <c r="D39" i="4" s="1"/>
  <c r="K27" i="2"/>
  <c r="K25" i="2"/>
  <c r="K23" i="2"/>
  <c r="K21" i="2"/>
  <c r="L65" i="4"/>
  <c r="L41" i="4"/>
  <c r="G42" i="4"/>
  <c r="L64" i="4"/>
  <c r="L63" i="4"/>
  <c r="L24" i="4"/>
  <c r="L30" i="4"/>
  <c r="L44" i="4"/>
  <c r="L35" i="4"/>
  <c r="L34" i="4"/>
  <c r="L28" i="4"/>
  <c r="L26" i="4"/>
  <c r="L46" i="4"/>
  <c r="L18" i="4"/>
  <c r="L15" i="4"/>
  <c r="L13" i="4"/>
  <c r="S44" i="4"/>
  <c r="S36" i="4"/>
  <c r="S49" i="4"/>
  <c r="S48" i="4"/>
  <c r="S30" i="4"/>
  <c r="S24" i="4"/>
  <c r="L14" i="4"/>
  <c r="L42" i="4"/>
  <c r="L19" i="4"/>
  <c r="L49" i="4"/>
  <c r="S15" i="4"/>
  <c r="L48" i="4"/>
  <c r="S28" i="4"/>
  <c r="S19" i="4"/>
  <c r="S26" i="4"/>
  <c r="S14" i="4"/>
  <c r="S46" i="4"/>
  <c r="S35" i="4"/>
  <c r="S32" i="4"/>
  <c r="S18" i="4"/>
  <c r="S39" i="4"/>
  <c r="S37" i="4"/>
  <c r="S34" i="4"/>
  <c r="S20" i="4"/>
  <c r="S13" i="4"/>
  <c r="L1" i="2" l="1"/>
  <c r="F49" i="2" s="1"/>
  <c r="P70" i="4"/>
  <c r="L11" i="4" s="1"/>
  <c r="L39" i="4"/>
  <c r="O42" i="4"/>
  <c r="O68" i="4" s="1"/>
  <c r="F50" i="2" s="1"/>
  <c r="S42" i="4"/>
  <c r="S68" i="4" s="1"/>
  <c r="I49" i="2" s="1"/>
  <c r="I50" i="2"/>
  <c r="I4" i="4" l="1"/>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<sst xmlns="http://schemas.openxmlformats.org/spreadsheetml/2006/main" count="1752" uniqueCount="672">
  <si>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</si>
  <si>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</si>
  <si>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</si>
  <si>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</si>
  <si>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</si>
  <si>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</si>
  <si>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</si>
  <si>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</si>
  <si>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</si>
  <si>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</si>
  <si>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</si>
  <si>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</si>
  <si>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</si>
  <si>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</si>
  <si>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</si>
  <si>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</si>
  <si>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</si>
  <si>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</si>
  <si>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</si>
  <si>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</si>
  <si>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</si>
  <si>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</si>
  <si>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</si>
  <si>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</si>
  <si>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</si>
  <si>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</si>
  <si>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</si>
  <si>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</si>
  <si>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</si>
  <si>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</si>
  <si>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</si>
  <si>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</si>
  <si>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</si>
  <si>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</si>
  <si>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</si>
  <si>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</si>
  <si>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</si>
  <si>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</si>
  <si>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</si>
  <si>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</si>
  <si>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</si>
  <si>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</si>
  <si>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</si>
  <si>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</si>
  <si>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</si>
  <si>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</si>
  <si>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</si>
  <si>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</si>
  <si>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</si>
  <si>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</si>
  <si>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</si>
  <si>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</si>
  <si>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</si>
  <si>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</si>
  <si>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</si>
  <si>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</si>
  <si>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</si>
  <si>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</si>
  <si>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</si>
  <si>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</si>
  <si>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</si>
  <si>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</si>
  <si>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</si>
  <si>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</si>
  <si>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</si>
  <si>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</si>
  <si>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</si>
  <si>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</si>
  <si>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</si>
  <si>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</si>
  <si>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</si>
  <si>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</si>
  <si>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</si>
  <si>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</si>
  <si>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</si>
  <si>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</si>
  <si>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</si>
  <si>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</si>
  <si>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</si>
  <si>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</si>
  <si>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</si>
  <si>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</si>
  <si>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</si>
  <si>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</si>
  <si>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</si>
  <si>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</si>
  <si>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</si>
  <si>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</si>
  <si>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</si>
  <si>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</si>
  <si>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</si>
  <si>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</si>
  <si>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</si>
  <si>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</si>
  <si>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</si>
  <si>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</si>
  <si>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</si>
  <si>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</si>
  <si>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</si>
  <si>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</si>
  <si>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</si>
  <si>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</si>
  <si>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</si>
  <si>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</si>
  <si>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</si>
  <si>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</si>
  <si>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</si>
  <si>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</si>
  <si>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</si>
  <si>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</si>
  <si>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</si>
  <si>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</si>
  <si>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</si>
  <si>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</si>
  <si>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</si>
  <si>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</si>
  <si>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</si>
  <si>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</si>
  <si>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</si>
  <si>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</si>
  <si>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</si>
  <si>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</si>
  <si>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</si>
  <si>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</si>
  <si>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</si>
  <si>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</si>
  <si>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</si>
  <si>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</si>
  <si>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</si>
  <si>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</si>
  <si>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</si>
  <si>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</si>
  <si>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</si>
  <si>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</si>
  <si>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</si>
  <si>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</si>
  <si>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</si>
  <si>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</si>
  <si>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</si>
  <si>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</si>
  <si>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</si>
  <si>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</si>
  <si>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</si>
  <si>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</si>
  <si>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</si>
  <si>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</si>
  <si>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</si>
  <si>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</si>
  <si>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</si>
  <si>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</si>
  <si>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</si>
  <si>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</si>
  <si>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</si>
  <si>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</si>
  <si>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</si>
  <si>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</si>
  <si>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</si>
  <si>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</si>
  <si>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</si>
  <si>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</si>
  <si>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</si>
  <si>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</si>
  <si>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</si>
  <si>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</si>
  <si>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</si>
  <si>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</si>
  <si>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</si>
  <si>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</si>
  <si>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</si>
  <si>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</si>
  <si>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</si>
  <si>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</si>
  <si>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</si>
  <si>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</si>
  <si>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</si>
  <si>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</si>
  <si>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</si>
  <si>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</si>
  <si>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</si>
  <si>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</si>
  <si>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</si>
  <si>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</si>
  <si>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</si>
  <si>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</si>
  <si>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</si>
  <si>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</si>
  <si>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</si>
  <si>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</si>
  <si>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</si>
  <si>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</si>
  <si>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</si>
  <si>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</si>
  <si>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</si>
  <si>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</si>
  <si>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</si>
  <si>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</si>
  <si>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</si>
  <si>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</si>
  <si>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</si>
  <si>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</si>
  <si>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</si>
  <si>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</si>
  <si>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</si>
  <si>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</si>
  <si>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</si>
  <si>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</si>
  <si>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</si>
  <si>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</si>
  <si>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</si>
  <si>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</si>
  <si>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</si>
  <si>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</si>
  <si>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</si>
  <si>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</si>
  <si>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</si>
  <si>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</si>
  <si>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</si>
  <si>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</si>
  <si>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</si>
  <si>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</si>
  <si>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</si>
  <si>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</si>
  <si>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</si>
  <si>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</si>
  <si>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</si>
  <si>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</si>
  <si>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</si>
  <si>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</si>
  <si>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</si>
  <si>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</si>
  <si>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</si>
  <si>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</si>
  <si>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</si>
  <si>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</si>
  <si>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</si>
  <si>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</si>
  <si>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</si>
  <si>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</si>
  <si>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</si>
  <si>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</si>
  <si>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</si>
  <si>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</si>
  <si>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</si>
  <si>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</si>
  <si>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</si>
  <si>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</si>
  <si>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</si>
  <si>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</si>
  <si>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</si>
  <si>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</si>
  <si>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</si>
  <si>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</si>
  <si>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</si>
  <si>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</si>
  <si>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</si>
  <si>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</si>
  <si>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</si>
  <si>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</si>
  <si>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</si>
  <si>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</si>
  <si>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</si>
  <si>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</si>
  <si>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</si>
  <si>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</si>
  <si>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</si>
  <si>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</si>
  <si>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</si>
  <si>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</si>
  <si>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</si>
  <si>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</si>
  <si>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</si>
  <si>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</si>
  <si>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</si>
  <si>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</si>
  <si>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</si>
  <si>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</si>
  <si>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</si>
  <si>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</si>
  <si>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</si>
  <si>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</si>
  <si>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</si>
  <si>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</si>
  <si>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</si>
  <si>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</si>
  <si>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</si>
  <si>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</si>
  <si>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</si>
  <si>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</si>
  <si>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</si>
  <si>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</si>
  <si>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</si>
  <si>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</si>
  <si>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</si>
  <si>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</si>
  <si>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</si>
  <si>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</si>
  <si>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</si>
  <si>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</si>
  <si>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</si>
  <si>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</si>
  <si>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</si>
  <si>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</si>
  <si>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</si>
  <si>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</si>
  <si>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</si>
  <si>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</si>
  <si>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</si>
  <si>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</si>
  <si>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</si>
  <si>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</si>
  <si>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</si>
  <si>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</si>
  <si>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</si>
  <si>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</si>
  <si>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</si>
  <si>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</si>
  <si>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</si>
  <si>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</si>
  <si>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</si>
  <si>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</si>
  <si>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</si>
  <si>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</si>
  <si>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</si>
  <si>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</si>
  <si>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</si>
  <si>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</si>
  <si>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</si>
  <si>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</si>
  <si>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</si>
  <si>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</si>
  <si>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</si>
  <si>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</si>
  <si>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</si>
  <si>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</si>
  <si>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</si>
  <si>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</si>
  <si>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</si>
  <si>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</si>
  <si>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</si>
  <si>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</si>
  <si>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</si>
  <si>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</si>
  <si>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</si>
  <si>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</si>
  <si>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</si>
  <si>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</si>
  <si>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</si>
  <si>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</si>
  <si>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</si>
  <si>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</si>
  <si>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</si>
  <si>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</si>
  <si>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</si>
  <si>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</si>
  <si>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</si>
  <si>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</si>
  <si>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</si>
  <si>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</si>
  <si>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</si>
  <si>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</si>
  <si>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</si>
  <si>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</si>
  <si>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</si>
  <si>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</si>
  <si>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</si>
  <si>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</si>
  <si>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</si>
  <si>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</si>
  <si>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</si>
  <si>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</si>
  <si>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</si>
  <si>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</si>
  <si>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</si>
  <si>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</si>
  <si>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</si>
  <si>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</si>
  <si>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</si>
  <si>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</si>
  <si>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</si>
  <si>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</si>
  <si>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</si>
  <si>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</si>
  <si>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</si>
  <si>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</si>
  <si>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</si>
  <si>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</si>
  <si>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</si>
  <si>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</si>
  <si>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</si>
  <si>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</si>
  <si>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</si>
  <si>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</si>
  <si>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</si>
  <si>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</si>
  <si>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</si>
  <si>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</si>
  <si>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</si>
  <si>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</si>
  <si>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</si>
  <si>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</si>
  <si>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</si>
  <si>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</si>
  <si>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</si>
  <si>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</si>
  <si>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</si>
  <si>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</si>
  <si>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</si>
  <si>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</si>
  <si>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</si>
  <si>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</si>
  <si>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</si>
  <si>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</si>
  <si>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</si>
  <si>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</si>
  <si>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</si>
  <si>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</si>
  <si>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</si>
  <si>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</si>
  <si>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</si>
  <si>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</si>
  <si>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</si>
  <si>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</si>
  <si>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</si>
  <si>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</si>
  <si>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</si>
  <si>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</si>
  <si>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</si>
  <si>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</si>
  <si>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</si>
  <si>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</si>
  <si>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</si>
  <si>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</si>
  <si>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</si>
  <si>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</si>
  <si>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</si>
  <si>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</si>
  <si>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</si>
  <si>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</si>
  <si>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</si>
  <si>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</si>
  <si>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</si>
  <si>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</si>
  <si>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</si>
  <si>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</si>
  <si>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</si>
  <si>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</si>
  <si>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</si>
  <si>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</si>
  <si>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</si>
  <si>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</si>
  <si>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</si>
  <si>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</si>
  <si>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</si>
  <si>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</si>
  <si>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</si>
  <si>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</si>
  <si>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</si>
  <si>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</si>
  <si>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</si>
  <si>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</si>
  <si>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</si>
  <si>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</si>
  <si>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</si>
  <si>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</si>
  <si>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</si>
  <si>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</si>
  <si>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</si>
  <si>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</si>
  <si>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</si>
  <si>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</si>
  <si>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</si>
  <si>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</si>
  <si>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</si>
  <si>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</si>
  <si>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</si>
  <si>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</si>
  <si>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</si>
  <si>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</si>
  <si>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</si>
  <si>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</si>
  <si>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</si>
  <si>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</si>
  <si>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</si>
  <si>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</si>
  <si>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</si>
  <si>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</si>
  <si>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</si>
  <si>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</si>
  <si>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</si>
  <si>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</si>
  <si>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</si>
  <si>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</si>
  <si>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</si>
  <si>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</si>
  <si>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</si>
  <si>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</si>
  <si>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</si>
  <si>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</si>
  <si>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</si>
  <si>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</si>
  <si>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</si>
  <si>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</si>
  <si>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</si>
  <si>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</si>
  <si>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</si>
  <si>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</si>
  <si>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</si>
  <si>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</si>
  <si>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</si>
  <si>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</si>
  <si>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</si>
  <si>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</si>
  <si>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</si>
  <si>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</si>
  <si>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</si>
  <si>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</si>
  <si>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</si>
  <si>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</si>
  <si>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</si>
  <si>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</si>
  <si>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</si>
  <si>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</si>
  <si>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</si>
  <si>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</si>
  <si>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</si>
  <si>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</si>
  <si>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</si>
  <si>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</si>
  <si>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</si>
  <si>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</si>
  <si>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</si>
  <si>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</si>
  <si>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</si>
  <si>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</si>
  <si>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</si>
  <si>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</si>
  <si>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</si>
  <si>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</si>
  <si>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</si>
  <si>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</si>
  <si>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</si>
  <si>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</si>
  <si>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</si>
  <si>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</si>
  <si>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</si>
  <si>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</si>
  <si>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</si>
  <si>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</si>
  <si>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</si>
  <si>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</si>
  <si>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</si>
  <si>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</si>
  <si>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</si>
  <si>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</si>
  <si>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</si>
  <si>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</si>
  <si>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</si>
  <si>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</si>
  <si>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</si>
  <si>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</si>
  <si>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</si>
  <si>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</si>
  <si>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</si>
  <si>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</si>
  <si>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</si>
  <si>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Barcode - Mounted on Conveyor Inlet with P Select</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</si>
  <si>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</si>
  <si>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</si>
  <si>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</si>
  <si>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</si>
  <si>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</si>
  <si>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</si>
  <si>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</si>
  <si>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</si>
  <si>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</si>
  <si>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</si>
  <si>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</si>
  <si>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</si>
  <si>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</si>
  <si>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</si>
  <si>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</si>
  <si>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</si>
  <si>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</si>
  <si>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</si>
  <si>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</si>
  <si>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</si>
  <si>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</si>
  <si>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</si>
  <si>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</si>
  <si>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</si>
  <si>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</si>
  <si>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</si>
  <si>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</si>
  <si>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</si>
  <si>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</si>
  <si>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</si>
  <si>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</si>
  <si>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</si>
  <si>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</si>
  <si>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</si>
  <si>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</si>
  <si>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</si>
  <si>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</si>
  <si>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</si>
  <si>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</si>
  <si>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</si>
  <si>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</si>
  <si>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</si>
  <si>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</si>
  <si>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</si>
  <si>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</si>
  <si>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</si>
  <si>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</si>
  <si>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</si>
  <si>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</si>
  <si>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</si>
  <si>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</si>
  <si>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</si>
  <si>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</si>
  <si>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</si>
  <si>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</si>
  <si>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</si>
  <si>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</si>
  <si>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</si>
  <si>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</si>
  <si>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</si>
  <si>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</si>
  <si>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</si>
  <si>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</si>
  <si>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</si>
  <si>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</si>
  <si>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</si>
  <si>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</si>
  <si>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</si>
  <si>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</si>
  <si>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</si>
  <si>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</si>
  <si>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</si>
  <si>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</si>
  <si>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</si>
  <si>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</si>
  <si>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</si>
  <si>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</si>
  <si>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</si>
  <si>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</si>
  <si>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</si>
  <si>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</si>
  <si>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</si>
  <si>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</si>
  <si>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</si>
  <si>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</si>
  <si>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</si>
  <si>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</si>
  <si>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</si>
  <si>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</si>
  <si>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</si>
  <si>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</si>
  <si>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</si>
  <si>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</si>
  <si>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</si>
  <si>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</si>
  <si>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</si>
  <si>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</si>
  <si>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GLBE4722</t>
  </si>
  <si>
    <t>S1087</t>
  </si>
  <si>
    <t>Programming Value</t>
  </si>
  <si>
    <t>Option</t>
  </si>
  <si>
    <t>Value</t>
  </si>
  <si>
    <t>Fixture</t>
  </si>
  <si>
    <t>GLBE4470</t>
  </si>
  <si>
    <t>Company:</t>
  </si>
  <si>
    <t>Program Creation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</si>
</sst>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9">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2" fontId="0" fillId="0" borderId="0" xfId="0" applyNumberFormat="1" applyFont="1" applyAlignment="1">
      <alignment horizontal="center" vertical="center"/>
    </xf>
    <xf numFmtId="0" fontId="0" fillId="0" borderId="27" xfId="0" applyNumberFormat="1" applyFont="1" applyBorder="1" applyAlignment="1">
      <alignment horizontal="left" vertical="center"/>
    </xf>
    <xf numFmtId="0" fontId="0" fillId="0" borderId="0" xfId="0" applyNumberFormat="1" applyFont="1" applyBorder="1" applyAlignment="1">
      <alignment horizontal="center"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2" fontId="0" fillId="0" borderId="0" xfId="0" applyNumberFormat="1"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1" xfId="0" applyFont="1" applyBorder="1" applyAlignment="1">
      <alignment horizontal="left" vertical="center" wrapText="1" indent="1"/>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34</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13040"/>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10</xdr:col>
      <xdr:colOff>190500</xdr:colOff>
      <xdr:row>0</xdr:row>
      <xdr:rowOff>66674</xdr:rowOff>
    </xdr:from>
    <xdr:to>
      <xdr:col>14</xdr:col>
      <xdr:colOff>400050</xdr:colOff>
      <xdr:row>0</xdr:row>
      <xdr:rowOff>695325</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2905125" y="66674"/>
          <a:ext cx="3333750" cy="62865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39" zoomScale="85" zoomScaleNormal="85" workbookViewId="0">
      <pane xSplit="4" topLeftCell="J1" activePane="topRight" state="frozen"/>
      <selection pane="topRight" activeCell="B64" sqref="B64"/>
    </sheetView>
  </sheetViews>
  <sheetFormatPr defaultRowHeight="15" outlineLevelCol="1" x14ac:dyDescent="0.25"/>
  <cols>
    <col min="1" max="1" width="11.42578125" customWidth="1"/>
    <col min="2" max="2" width="66.28515625" customWidth="1"/>
    <col min="3" max="4" width="4.28515625" bestFit="1" customWidth="1"/>
    <col min="5" max="6" width="16.7109375" style="8" hidden="1" customWidth="1" outlineLevel="1"/>
    <col min="7" max="7" width="12.28515625" style="3" hidden="1" customWidth="1" outlineLevel="1"/>
    <col min="8" max="8" width="4.28515625" hidden="1" customWidth="1" outlineLevel="1"/>
    <col min="9" max="9" width="12.28515625" style="3" hidden="1" customWidth="1" outlineLevel="1"/>
    <col min="10" max="10" width="4.28515625" hidden="1" customWidth="1" outlineLevel="1"/>
    <col min="11" max="11" width="12.85546875" style="3" hidden="1" customWidth="1" outlineLevel="1"/>
    <col min="12" max="12" width="11.42578125" hidden="1" customWidth="1" outlineLevel="1"/>
    <col min="13" max="13" width="12.7109375" hidden="1" customWidth="1" outlineLevel="1"/>
    <col min="14" max="14" width="12" hidden="1" customWidth="1" outlineLevel="1"/>
    <col min="15" max="17" width="6.85546875" style="3" hidden="1" customWidth="1" outlineLevel="1"/>
    <col min="18" max="18" width="7.85546875" style="3" hidden="1" customWidth="1" outlineLevel="1"/>
    <col min="19" max="19" width="9.140625" style="141" hidden="1" customWidth="1" outlineLevel="1"/>
    <col min="20" max="21" width="8.85546875" hidden="1" customWidth="1" outlineLevel="1"/>
    <col min="22" max="22" width="11.85546875" hidden="1" customWidth="1" outlineLevel="1"/>
    <col min="23" max="23" width="7.140625" style="3" hidden="1" customWidth="1" outlineLevel="1"/>
    <col min="24" max="24" width="4" hidden="1" customWidth="1" outlineLevel="1"/>
    <col min="25" max="25" width="11.42578125" style="116" hidden="1" customWidth="1" outlineLevel="1"/>
    <col min="26" max="26" width="8.85546875" hidden="1" customWidth="1" outlineLevel="1"/>
    <col min="27" max="27" width="10.85546875" customWidth="1" collapsed="1"/>
  </cols>
  <sheetData>
    <row r="1" spans="1:27" ht="61.5" customHeight="1" x14ac:dyDescent="0.25">
      <c r="A1" s="287"/>
      <c r="B1" s="288"/>
      <c r="C1" s="288"/>
      <c r="D1" s="289"/>
      <c r="E1" s="13"/>
      <c r="F1" s="115"/>
      <c r="G1" s="286" t="str">
        <f>+B4</f>
        <v>Delta 6</v>
      </c>
      <c r="H1" s="286"/>
      <c r="I1" s="286" t="str">
        <f>+B5</f>
        <v>Delta 8</v>
      </c>
      <c r="J1" s="286"/>
      <c r="L1" s="13"/>
      <c r="M1" s="13"/>
      <c r="N1" s="13"/>
      <c r="O1" s="38"/>
      <c r="P1" s="38"/>
      <c r="Q1" s="38"/>
      <c r="R1" s="38"/>
      <c r="T1" s="290" t="s">
        <v>594</v>
      </c>
      <c r="U1" s="290"/>
      <c r="V1" s="13"/>
    </row>
    <row r="2" spans="1:27" ht="41.25" customHeight="1" thickBot="1" x14ac:dyDescent="0.3">
      <c r="A2" s="285" t="s">
        <v>420</v>
      </c>
      <c r="B2" s="285"/>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595</v>
      </c>
      <c r="U2" s="9" t="s">
        <v>596</v>
      </c>
      <c r="V2" s="9" t="s">
        <v>184</v>
      </c>
      <c r="W2" s="9" t="s">
        <v>170</v>
      </c>
      <c r="X2" s="9" t="s">
        <v>373</v>
      </c>
      <c r="AA2" s="263" t="s">
        <v>665</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92"/>
      <c r="G4" s="3" t="s">
        <v>653</v>
      </c>
      <c r="H4" s="3" t="s">
        <v>351</v>
      </c>
      <c r="J4" s="3"/>
      <c r="K4" s="3" t="s">
        <v>181</v>
      </c>
      <c r="L4" s="4" t="s">
        <v>140</v>
      </c>
      <c r="M4" s="4" t="s">
        <v>381</v>
      </c>
      <c r="N4" s="4" t="s">
        <v>169</v>
      </c>
      <c r="O4" s="3">
        <f>521-10</f>
        <v>511</v>
      </c>
      <c r="P4" s="3">
        <f>485-10</f>
        <v>475</v>
      </c>
      <c r="Q4" s="3">
        <v>400</v>
      </c>
      <c r="R4" s="3">
        <v>3</v>
      </c>
      <c r="S4" s="164">
        <v>4</v>
      </c>
      <c r="T4" t="s">
        <v>618</v>
      </c>
      <c r="V4" s="22">
        <v>35540</v>
      </c>
      <c r="W4" s="3" t="s">
        <v>171</v>
      </c>
      <c r="AA4">
        <v>1</v>
      </c>
    </row>
    <row r="5" spans="1:27" x14ac:dyDescent="0.25">
      <c r="A5" s="115">
        <f>+A4+0.1</f>
        <v>1.2000000000000002</v>
      </c>
      <c r="B5" t="s">
        <v>411</v>
      </c>
      <c r="E5" s="292"/>
      <c r="H5" s="3"/>
      <c r="I5" s="3" t="s">
        <v>654</v>
      </c>
      <c r="J5" s="3" t="s">
        <v>351</v>
      </c>
      <c r="K5" s="168" t="s">
        <v>481</v>
      </c>
      <c r="L5" s="4"/>
      <c r="M5" s="4"/>
      <c r="N5" s="4" t="s">
        <v>169</v>
      </c>
      <c r="O5" s="3">
        <f>621-10</f>
        <v>611</v>
      </c>
      <c r="P5" s="3">
        <f>595-10</f>
        <v>585</v>
      </c>
      <c r="Q5" s="3">
        <v>500</v>
      </c>
      <c r="R5" s="3">
        <v>3</v>
      </c>
      <c r="S5" s="141">
        <v>4</v>
      </c>
      <c r="U5" t="s">
        <v>619</v>
      </c>
      <c r="V5" s="22">
        <v>39650</v>
      </c>
      <c r="W5" s="3" t="s">
        <v>171</v>
      </c>
      <c r="X5" s="91"/>
      <c r="AA5">
        <v>2</v>
      </c>
    </row>
    <row r="6" spans="1:27" x14ac:dyDescent="0.25">
      <c r="A6" s="114"/>
      <c r="H6" s="3"/>
      <c r="J6" s="3"/>
      <c r="L6" s="4"/>
      <c r="M6" s="4"/>
      <c r="N6" s="4"/>
      <c r="V6" s="22"/>
      <c r="X6" s="91"/>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row>
    <row r="8" spans="1:27" ht="15.75" hidden="1" thickTop="1" x14ac:dyDescent="0.25">
      <c r="B8" t="s">
        <v>407</v>
      </c>
      <c r="E8" s="291" t="s">
        <v>433</v>
      </c>
      <c r="F8" s="72"/>
      <c r="H8" s="3"/>
      <c r="J8" s="3"/>
      <c r="K8" s="4"/>
      <c r="S8" s="141">
        <v>0</v>
      </c>
      <c r="V8" s="22"/>
      <c r="Y8" s="116">
        <v>0</v>
      </c>
    </row>
    <row r="9" spans="1:27" ht="15.75" thickTop="1" x14ac:dyDescent="0.25">
      <c r="A9" s="115">
        <f>+A$7+0.1</f>
        <v>2.1</v>
      </c>
      <c r="B9" t="s">
        <v>337</v>
      </c>
      <c r="C9" s="4" t="s">
        <v>473</v>
      </c>
      <c r="D9" s="4" t="s">
        <v>473</v>
      </c>
      <c r="E9" s="291"/>
      <c r="F9" s="72"/>
      <c r="G9" s="3" t="s">
        <v>338</v>
      </c>
      <c r="H9" s="3" t="s">
        <v>351</v>
      </c>
      <c r="I9" s="3" t="s">
        <v>338</v>
      </c>
      <c r="J9" s="3" t="s">
        <v>351</v>
      </c>
      <c r="K9" s="4" t="s">
        <v>140</v>
      </c>
      <c r="L9" s="4" t="s">
        <v>339</v>
      </c>
      <c r="M9" s="4" t="s">
        <v>140</v>
      </c>
      <c r="N9" s="4" t="s">
        <v>140</v>
      </c>
      <c r="S9" s="141">
        <v>0</v>
      </c>
      <c r="V9" s="22">
        <v>550</v>
      </c>
      <c r="W9" s="3" t="s">
        <v>172</v>
      </c>
      <c r="X9" s="91" t="s">
        <v>313</v>
      </c>
      <c r="Y9" s="124">
        <v>1</v>
      </c>
    </row>
    <row r="10" spans="1:27" x14ac:dyDescent="0.25">
      <c r="A10" s="115">
        <f>+A9+0.1</f>
        <v>2.2000000000000002</v>
      </c>
      <c r="B10" t="s">
        <v>118</v>
      </c>
      <c r="C10" s="4" t="s">
        <v>473</v>
      </c>
      <c r="D10" s="4" t="s">
        <v>473</v>
      </c>
      <c r="E10" s="291"/>
      <c r="F10" s="72"/>
      <c r="G10" s="3" t="s">
        <v>150</v>
      </c>
      <c r="H10" s="3" t="s">
        <v>351</v>
      </c>
      <c r="I10" s="3" t="s">
        <v>150</v>
      </c>
      <c r="J10" s="3" t="s">
        <v>351</v>
      </c>
      <c r="K10" s="4" t="s">
        <v>140</v>
      </c>
      <c r="L10" s="4" t="s">
        <v>119</v>
      </c>
      <c r="M10" s="4" t="s">
        <v>140</v>
      </c>
      <c r="N10" s="4" t="s">
        <v>140</v>
      </c>
      <c r="S10" s="141">
        <v>0</v>
      </c>
      <c r="V10" s="24">
        <v>300</v>
      </c>
      <c r="W10" s="3" t="s">
        <v>172</v>
      </c>
      <c r="X10" s="91" t="s">
        <v>313</v>
      </c>
      <c r="Y10" s="124">
        <v>0</v>
      </c>
    </row>
    <row r="11" spans="1:27" x14ac:dyDescent="0.25">
      <c r="A11" s="115">
        <f t="shared" ref="A11:A17" si="0">+A10+0.1</f>
        <v>2.3000000000000003</v>
      </c>
      <c r="B11" t="s">
        <v>121</v>
      </c>
      <c r="C11" s="4" t="s">
        <v>473</v>
      </c>
      <c r="D11" s="4" t="s">
        <v>473</v>
      </c>
      <c r="E11" s="291"/>
      <c r="F11" s="72"/>
      <c r="G11" s="3" t="s">
        <v>151</v>
      </c>
      <c r="H11" s="3" t="s">
        <v>351</v>
      </c>
      <c r="I11" s="3" t="s">
        <v>151</v>
      </c>
      <c r="J11" s="3" t="s">
        <v>351</v>
      </c>
      <c r="K11" s="4" t="s">
        <v>140</v>
      </c>
      <c r="L11" s="3" t="s">
        <v>120</v>
      </c>
      <c r="M11" s="4" t="s">
        <v>140</v>
      </c>
      <c r="N11" s="4" t="s">
        <v>140</v>
      </c>
      <c r="S11" s="141">
        <v>0</v>
      </c>
      <c r="V11" s="24">
        <v>330</v>
      </c>
      <c r="W11" s="3" t="s">
        <v>172</v>
      </c>
      <c r="X11" s="91" t="s">
        <v>313</v>
      </c>
      <c r="Y11" s="124">
        <v>0</v>
      </c>
    </row>
    <row r="12" spans="1:27" x14ac:dyDescent="0.25">
      <c r="A12" s="115">
        <f t="shared" si="0"/>
        <v>2.4000000000000004</v>
      </c>
      <c r="B12" t="s">
        <v>124</v>
      </c>
      <c r="C12" s="4" t="s">
        <v>473</v>
      </c>
      <c r="D12" s="4" t="s">
        <v>473</v>
      </c>
      <c r="E12" s="291"/>
      <c r="F12" s="72"/>
      <c r="G12" s="3" t="s">
        <v>152</v>
      </c>
      <c r="H12" s="3" t="s">
        <v>351</v>
      </c>
      <c r="I12" s="3" t="s">
        <v>152</v>
      </c>
      <c r="J12" s="3" t="s">
        <v>351</v>
      </c>
      <c r="K12" s="4" t="s">
        <v>140</v>
      </c>
      <c r="L12" s="3" t="s">
        <v>122</v>
      </c>
      <c r="M12" s="4" t="s">
        <v>140</v>
      </c>
      <c r="N12" s="4" t="s">
        <v>140</v>
      </c>
      <c r="S12" s="141">
        <v>0</v>
      </c>
      <c r="V12" s="24">
        <v>600</v>
      </c>
      <c r="W12" s="3" t="s">
        <v>172</v>
      </c>
      <c r="Y12" s="124">
        <v>0</v>
      </c>
    </row>
    <row r="13" spans="1:27" x14ac:dyDescent="0.25">
      <c r="A13" s="115">
        <f t="shared" si="0"/>
        <v>2.5000000000000004</v>
      </c>
      <c r="B13" t="s">
        <v>125</v>
      </c>
      <c r="C13" s="4" t="s">
        <v>473</v>
      </c>
      <c r="D13" s="4" t="s">
        <v>473</v>
      </c>
      <c r="E13" s="291"/>
      <c r="F13" s="72"/>
      <c r="G13" s="3" t="s">
        <v>153</v>
      </c>
      <c r="H13" s="3" t="s">
        <v>351</v>
      </c>
      <c r="I13" s="3" t="s">
        <v>153</v>
      </c>
      <c r="J13" s="3" t="s">
        <v>351</v>
      </c>
      <c r="K13" s="4" t="s">
        <v>140</v>
      </c>
      <c r="L13" s="3" t="s">
        <v>123</v>
      </c>
      <c r="M13" s="4" t="s">
        <v>140</v>
      </c>
      <c r="N13" s="4" t="s">
        <v>140</v>
      </c>
      <c r="S13" s="141">
        <v>0</v>
      </c>
      <c r="V13" s="24">
        <v>670</v>
      </c>
      <c r="W13" s="3" t="s">
        <v>172</v>
      </c>
      <c r="Y13" s="124">
        <v>0</v>
      </c>
    </row>
    <row r="14" spans="1:27" x14ac:dyDescent="0.25">
      <c r="A14" s="115">
        <f t="shared" si="0"/>
        <v>2.6000000000000005</v>
      </c>
      <c r="B14" t="s">
        <v>359</v>
      </c>
      <c r="C14" s="4" t="s">
        <v>473</v>
      </c>
      <c r="D14" s="4" t="s">
        <v>473</v>
      </c>
      <c r="E14" s="291"/>
      <c r="F14" s="72"/>
      <c r="G14" s="3" t="s">
        <v>154</v>
      </c>
      <c r="H14" s="3" t="s">
        <v>351</v>
      </c>
      <c r="I14" s="3" t="s">
        <v>154</v>
      </c>
      <c r="J14" s="3" t="s">
        <v>351</v>
      </c>
      <c r="K14" s="3" t="s">
        <v>195</v>
      </c>
      <c r="L14" s="3" t="s">
        <v>127</v>
      </c>
      <c r="M14" s="4" t="s">
        <v>140</v>
      </c>
      <c r="N14" s="4" t="s">
        <v>140</v>
      </c>
      <c r="S14" s="141">
        <v>0</v>
      </c>
      <c r="V14" s="24">
        <v>930</v>
      </c>
      <c r="W14" s="3" t="s">
        <v>172</v>
      </c>
      <c r="Y14" s="124">
        <v>0</v>
      </c>
    </row>
    <row r="15" spans="1:27" x14ac:dyDescent="0.25">
      <c r="A15" s="115">
        <f t="shared" si="0"/>
        <v>2.7000000000000006</v>
      </c>
      <c r="B15" t="s">
        <v>360</v>
      </c>
      <c r="C15" s="4" t="s">
        <v>473</v>
      </c>
      <c r="D15" s="4" t="s">
        <v>473</v>
      </c>
      <c r="E15" s="291"/>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91"/>
      <c r="F16" s="72"/>
      <c r="G16" s="3" t="s">
        <v>363</v>
      </c>
      <c r="H16" s="3" t="s">
        <v>351</v>
      </c>
      <c r="I16" s="3" t="s">
        <v>363</v>
      </c>
      <c r="J16" s="3" t="s">
        <v>351</v>
      </c>
      <c r="K16" s="3" t="s">
        <v>365</v>
      </c>
      <c r="L16" s="3" t="s">
        <v>367</v>
      </c>
      <c r="M16" s="4" t="s">
        <v>140</v>
      </c>
      <c r="N16" s="4" t="s">
        <v>140</v>
      </c>
      <c r="S16" s="141">
        <v>0</v>
      </c>
      <c r="V16" s="24">
        <v>1340</v>
      </c>
      <c r="W16" s="3" t="s">
        <v>172</v>
      </c>
      <c r="Y16" s="124">
        <v>0</v>
      </c>
    </row>
    <row r="17" spans="1:27" x14ac:dyDescent="0.25">
      <c r="A17" s="115">
        <f t="shared" si="0"/>
        <v>2.9000000000000008</v>
      </c>
      <c r="B17" t="s">
        <v>362</v>
      </c>
      <c r="C17" s="4" t="s">
        <v>473</v>
      </c>
      <c r="D17" s="4" t="s">
        <v>473</v>
      </c>
      <c r="E17" s="291"/>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91"/>
      <c r="F18" s="72"/>
      <c r="G18" s="3" t="s">
        <v>156</v>
      </c>
      <c r="H18" s="3" t="s">
        <v>377</v>
      </c>
      <c r="I18" s="3" t="s">
        <v>156</v>
      </c>
      <c r="J18" s="3" t="s">
        <v>377</v>
      </c>
      <c r="K18" s="3" t="s">
        <v>197</v>
      </c>
      <c r="L18" s="3" t="s">
        <v>128</v>
      </c>
      <c r="M18" s="4" t="s">
        <v>140</v>
      </c>
      <c r="N18" s="4" t="s">
        <v>140</v>
      </c>
      <c r="S18" s="141">
        <v>0</v>
      </c>
      <c r="V18" s="24">
        <v>1020</v>
      </c>
      <c r="W18" s="3" t="s">
        <v>172</v>
      </c>
      <c r="X18" s="91" t="s">
        <v>313</v>
      </c>
      <c r="Y18" s="124">
        <v>0</v>
      </c>
    </row>
    <row r="19" spans="1:27" x14ac:dyDescent="0.25">
      <c r="A19" s="119">
        <f>+A18+0.01</f>
        <v>2.11</v>
      </c>
      <c r="B19" t="s">
        <v>132</v>
      </c>
      <c r="C19" s="4" t="s">
        <v>473</v>
      </c>
      <c r="D19" s="4" t="s">
        <v>473</v>
      </c>
      <c r="E19" s="291"/>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91"/>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91"/>
      <c r="F21" s="72"/>
      <c r="G21" s="3" t="s">
        <v>398</v>
      </c>
      <c r="H21" s="3" t="s">
        <v>351</v>
      </c>
      <c r="I21" s="3" t="s">
        <v>398</v>
      </c>
      <c r="J21" s="3" t="s">
        <v>351</v>
      </c>
      <c r="K21" s="3" t="s">
        <v>401</v>
      </c>
      <c r="L21" s="3" t="s">
        <v>404</v>
      </c>
      <c r="M21" s="4" t="s">
        <v>140</v>
      </c>
      <c r="N21" s="4" t="s">
        <v>140</v>
      </c>
      <c r="S21" s="141">
        <v>0</v>
      </c>
      <c r="V21" s="24">
        <v>2060</v>
      </c>
      <c r="W21" s="3" t="s">
        <v>172</v>
      </c>
      <c r="X21" s="91"/>
      <c r="Y21" s="124">
        <v>0</v>
      </c>
    </row>
    <row r="22" spans="1:27" x14ac:dyDescent="0.25">
      <c r="A22" s="119">
        <f t="shared" si="1"/>
        <v>2.1399999999999992</v>
      </c>
      <c r="B22" t="s">
        <v>396</v>
      </c>
      <c r="C22" s="4" t="s">
        <v>473</v>
      </c>
      <c r="D22" s="4" t="s">
        <v>473</v>
      </c>
      <c r="E22" s="291"/>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91"/>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91"/>
      <c r="F24" s="72"/>
      <c r="G24" s="3" t="s">
        <v>159</v>
      </c>
      <c r="H24" s="3" t="s">
        <v>377</v>
      </c>
      <c r="I24" s="3" t="s">
        <v>159</v>
      </c>
      <c r="J24" s="3" t="s">
        <v>377</v>
      </c>
      <c r="K24" s="3" t="s">
        <v>200</v>
      </c>
      <c r="L24" s="3" t="s">
        <v>139</v>
      </c>
      <c r="M24" s="4" t="s">
        <v>140</v>
      </c>
      <c r="N24" s="4" t="s">
        <v>140</v>
      </c>
      <c r="S24" s="141">
        <v>0</v>
      </c>
      <c r="V24" s="24">
        <v>2420</v>
      </c>
      <c r="W24" s="3" t="s">
        <v>172</v>
      </c>
      <c r="X24" s="91" t="s">
        <v>313</v>
      </c>
      <c r="Y24" s="124">
        <v>0</v>
      </c>
    </row>
    <row r="25" spans="1:27" x14ac:dyDescent="0.25">
      <c r="A25" s="119">
        <f t="shared" si="1"/>
        <v>2.1699999999999986</v>
      </c>
      <c r="B25" t="s">
        <v>135</v>
      </c>
      <c r="C25" s="4" t="s">
        <v>473</v>
      </c>
      <c r="D25" s="4" t="s">
        <v>473</v>
      </c>
      <c r="E25" s="291"/>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91"/>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 t="shared" si="1"/>
        <v>2.1899999999999982</v>
      </c>
      <c r="B27" t="s">
        <v>369</v>
      </c>
      <c r="C27" s="4" t="s">
        <v>473</v>
      </c>
      <c r="D27" s="4" t="s">
        <v>473</v>
      </c>
      <c r="E27" s="291"/>
      <c r="F27" s="72"/>
      <c r="G27" s="3" t="s">
        <v>370</v>
      </c>
      <c r="H27" s="3" t="s">
        <v>351</v>
      </c>
      <c r="I27" s="3" t="s">
        <v>370</v>
      </c>
      <c r="J27" s="3" t="s">
        <v>351</v>
      </c>
      <c r="K27" s="3" t="s">
        <v>371</v>
      </c>
      <c r="L27" s="3" t="s">
        <v>380</v>
      </c>
      <c r="M27" s="4" t="s">
        <v>140</v>
      </c>
      <c r="N27" s="4" t="s">
        <v>140</v>
      </c>
      <c r="S27" s="141">
        <v>0</v>
      </c>
      <c r="V27" s="24">
        <v>4790</v>
      </c>
      <c r="W27" s="3" t="s">
        <v>172</v>
      </c>
      <c r="X27" s="91"/>
      <c r="Y27" s="124">
        <v>0</v>
      </c>
    </row>
    <row r="28" spans="1:27" x14ac:dyDescent="0.25">
      <c r="A28" s="119">
        <f t="shared" si="1"/>
        <v>2.199999999999998</v>
      </c>
      <c r="B28" t="s">
        <v>534</v>
      </c>
      <c r="C28" s="4" t="s">
        <v>473</v>
      </c>
      <c r="D28" s="4" t="s">
        <v>473</v>
      </c>
      <c r="E28" s="291"/>
      <c r="F28" s="72"/>
      <c r="G28" s="207" t="str">
        <f>+IF('WORKCELL CONFIGURATOR'!$H$5="","",(IF('WORKCELL CONFIGURATOR'!$H$5=Data!$C$4,"612-2346-1","612-2346-2")))</f>
        <v>612-2346-2</v>
      </c>
      <c r="H28" s="191" t="s">
        <v>351</v>
      </c>
      <c r="I28" s="207" t="str">
        <f>+IF('WORKCELL CONFIGURATOR'!$H$5="","",(IF('WORKCELL CONFIGURATOR'!$H$5=Data!$C$4,"612-2346-3","612-2346-4")))</f>
        <v>612-2346-4</v>
      </c>
      <c r="J28" s="191" t="s">
        <v>351</v>
      </c>
      <c r="K28" s="191" t="s">
        <v>522</v>
      </c>
      <c r="L28" s="191"/>
      <c r="M28" s="4"/>
      <c r="N28" s="4"/>
      <c r="O28" s="191"/>
      <c r="P28" s="191"/>
      <c r="Q28" s="191"/>
      <c r="R28" s="191"/>
      <c r="S28" s="192"/>
      <c r="V28" s="24">
        <v>15100</v>
      </c>
      <c r="W28" s="191" t="s">
        <v>172</v>
      </c>
      <c r="X28" s="91"/>
      <c r="Y28" s="192">
        <v>0</v>
      </c>
    </row>
    <row r="29" spans="1:27" x14ac:dyDescent="0.25">
      <c r="A29" s="119">
        <f t="shared" si="1"/>
        <v>2.2099999999999977</v>
      </c>
      <c r="B29" t="s">
        <v>335</v>
      </c>
      <c r="C29" s="4" t="s">
        <v>473</v>
      </c>
      <c r="D29" s="4" t="s">
        <v>473</v>
      </c>
      <c r="E29" s="291"/>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91"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91"/>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91"/>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91"/>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91"/>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91"/>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593</v>
      </c>
      <c r="C38" s="4" t="s">
        <v>473</v>
      </c>
      <c r="D38" s="4" t="s">
        <v>473</v>
      </c>
      <c r="E38" s="291"/>
      <c r="G38" s="209" t="str">
        <f>+IF('WORKCELL CONFIGURATOR'!$H$31=Data!$B$4,"612-3338-1","612-3336-1")</f>
        <v>612-3336-1</v>
      </c>
      <c r="H38" s="209" t="s">
        <v>351</v>
      </c>
      <c r="I38" s="251" t="str">
        <f>+IF('WORKCELL CONFIGURATOR'!$H$31=Data!$B$4,"612-3338-1","612-3336-1")</f>
        <v>612-3336-1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642</v>
      </c>
      <c r="C39" s="4" t="s">
        <v>473</v>
      </c>
      <c r="D39" s="4" t="s">
        <v>473</v>
      </c>
      <c r="E39" s="291"/>
      <c r="G39" s="255" t="s">
        <v>640</v>
      </c>
      <c r="H39" s="255" t="s">
        <v>351</v>
      </c>
      <c r="I39" s="255" t="s">
        <v>640</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639</v>
      </c>
      <c r="C40" s="4" t="s">
        <v>473</v>
      </c>
      <c r="D40" s="4" t="s">
        <v>473</v>
      </c>
      <c r="E40" s="291"/>
      <c r="G40" s="255" t="s">
        <v>641</v>
      </c>
      <c r="H40" s="255" t="s">
        <v>351</v>
      </c>
      <c r="I40" s="255" t="s">
        <v>641</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91"/>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91" t="s">
        <v>434</v>
      </c>
      <c r="F44" s="291"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91"/>
      <c r="F45" s="291"/>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91"/>
      <c r="F46" s="291"/>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91"/>
      <c r="F47" s="291"/>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91"/>
      <c r="F48" s="291"/>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91"/>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91"/>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91"/>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91"/>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91"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91"/>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91"/>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601</v>
      </c>
      <c r="C58" s="4" t="s">
        <v>473</v>
      </c>
      <c r="D58" s="4" t="s">
        <v>473</v>
      </c>
      <c r="E58" s="291"/>
      <c r="G58" s="3" t="s">
        <v>603</v>
      </c>
      <c r="H58" s="3" t="s">
        <v>351</v>
      </c>
      <c r="I58" s="249" t="s">
        <v>622</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91"/>
      <c r="G59" s="3" t="s">
        <v>604</v>
      </c>
      <c r="H59" s="3" t="s">
        <v>351</v>
      </c>
      <c r="I59" s="249" t="s">
        <v>623</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91"/>
      <c r="G60" s="172" t="s">
        <v>605</v>
      </c>
      <c r="H60" s="172" t="s">
        <v>351</v>
      </c>
      <c r="I60" s="172" t="s">
        <v>624</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602</v>
      </c>
      <c r="C61" s="4" t="s">
        <v>473</v>
      </c>
      <c r="D61" s="4" t="s">
        <v>473</v>
      </c>
      <c r="E61" s="291"/>
      <c r="G61" s="242" t="s">
        <v>606</v>
      </c>
      <c r="H61" s="172" t="s">
        <v>351</v>
      </c>
      <c r="I61" s="249" t="s">
        <v>625</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600</v>
      </c>
      <c r="C62" s="4" t="s">
        <v>473</v>
      </c>
      <c r="D62" s="4" t="s">
        <v>473</v>
      </c>
      <c r="E62" s="291"/>
      <c r="G62" s="242" t="s">
        <v>607</v>
      </c>
      <c r="H62" s="172" t="s">
        <v>351</v>
      </c>
      <c r="I62" s="249" t="s">
        <v>626</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599</v>
      </c>
      <c r="C63" s="4" t="s">
        <v>473</v>
      </c>
      <c r="D63" s="4" t="s">
        <v>473</v>
      </c>
      <c r="E63" s="291"/>
      <c r="G63" s="172" t="s">
        <v>608</v>
      </c>
      <c r="H63" s="172" t="s">
        <v>351</v>
      </c>
      <c r="I63" s="172" t="s">
        <v>627</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C64" s="4" t="s">
        <v>473</v>
      </c>
      <c r="D64" s="4" t="s">
        <v>473</v>
      </c>
      <c r="E64" s="219"/>
      <c r="G64" s="172" t="s">
        <v>581</v>
      </c>
      <c r="H64" s="172" t="s">
        <v>351</v>
      </c>
      <c r="I64" s="172" t="s">
        <v>581</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91" t="s">
        <v>611</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597</v>
      </c>
      <c r="C66" s="4" t="s">
        <v>473</v>
      </c>
      <c r="D66" s="4" t="s">
        <v>473</v>
      </c>
      <c r="E66" s="291"/>
      <c r="G66" s="172" t="s">
        <v>609</v>
      </c>
      <c r="H66" s="172" t="s">
        <v>351</v>
      </c>
      <c r="I66" s="172" t="s">
        <v>610</v>
      </c>
      <c r="J66" s="172" t="s">
        <v>351</v>
      </c>
      <c r="K66" s="4" t="s">
        <v>140</v>
      </c>
      <c r="L66" s="4" t="s">
        <v>140</v>
      </c>
      <c r="M66" s="4" t="s">
        <v>140</v>
      </c>
      <c r="N66" s="4" t="s">
        <v>140</v>
      </c>
      <c r="O66" s="241">
        <v>-50</v>
      </c>
      <c r="P66" s="241"/>
      <c r="Q66" s="241"/>
      <c r="R66" s="241"/>
      <c r="S66" s="228"/>
      <c r="T66" t="s">
        <v>598</v>
      </c>
      <c r="U66" t="s">
        <v>598</v>
      </c>
      <c r="V66" s="22">
        <v>2160</v>
      </c>
      <c r="W66" s="241" t="s">
        <v>171</v>
      </c>
      <c r="X66" s="91" t="s">
        <v>313</v>
      </c>
      <c r="Y66" s="228"/>
      <c r="AA66">
        <v>9</v>
      </c>
    </row>
    <row r="67" spans="1:27" x14ac:dyDescent="0.25">
      <c r="A67" s="119">
        <v>5.0999999999999996</v>
      </c>
      <c r="B67" t="s">
        <v>354</v>
      </c>
      <c r="C67" s="4" t="s">
        <v>473</v>
      </c>
      <c r="D67" s="4" t="s">
        <v>473</v>
      </c>
      <c r="E67" s="291"/>
      <c r="G67" s="3" t="s">
        <v>353</v>
      </c>
      <c r="H67" s="3" t="s">
        <v>351</v>
      </c>
      <c r="I67" s="3" t="s">
        <v>353</v>
      </c>
      <c r="J67" s="3" t="s">
        <v>351</v>
      </c>
      <c r="K67" s="4" t="s">
        <v>140</v>
      </c>
      <c r="L67" s="4" t="s">
        <v>140</v>
      </c>
      <c r="M67" s="4" t="s">
        <v>140</v>
      </c>
      <c r="N67" s="4" t="s">
        <v>140</v>
      </c>
      <c r="Q67" s="3">
        <v>-50</v>
      </c>
      <c r="S67" s="141">
        <v>0</v>
      </c>
      <c r="V67" s="22">
        <v>1080</v>
      </c>
      <c r="W67" s="3" t="s">
        <v>171</v>
      </c>
      <c r="X67" s="91" t="s">
        <v>313</v>
      </c>
      <c r="AA67">
        <v>10</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91"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91"/>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91"/>
      <c r="G72" s="3" t="s">
        <v>628</v>
      </c>
      <c r="H72" s="3" t="s">
        <v>351</v>
      </c>
      <c r="I72" s="3" t="s">
        <v>628</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582</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583</v>
      </c>
      <c r="C76" s="4" t="s">
        <v>473</v>
      </c>
      <c r="D76" s="4" t="s">
        <v>473</v>
      </c>
      <c r="G76" s="172" t="s">
        <v>649</v>
      </c>
      <c r="H76" s="172" t="s">
        <v>351</v>
      </c>
      <c r="I76" s="172" t="s">
        <v>649</v>
      </c>
      <c r="J76" s="172" t="s">
        <v>351</v>
      </c>
      <c r="K76" s="4" t="s">
        <v>140</v>
      </c>
      <c r="L76" s="4" t="s">
        <v>140</v>
      </c>
      <c r="M76" s="4" t="s">
        <v>140</v>
      </c>
      <c r="N76" s="4" t="s">
        <v>140</v>
      </c>
      <c r="O76" s="229"/>
      <c r="P76" s="229"/>
      <c r="Q76" s="229">
        <v>-200</v>
      </c>
      <c r="R76" s="229"/>
      <c r="S76" s="228">
        <v>0</v>
      </c>
      <c r="V76" s="22">
        <v>5510</v>
      </c>
      <c r="W76" s="229" t="s">
        <v>171</v>
      </c>
      <c r="Y76" s="228"/>
      <c r="AA76">
        <v>2</v>
      </c>
    </row>
    <row r="77" spans="1:27" x14ac:dyDescent="0.25">
      <c r="A77" s="230">
        <f t="shared" ref="A77:A78" si="5">+A76+0.1</f>
        <v>7.2999999999999989</v>
      </c>
      <c r="B77" t="s">
        <v>3</v>
      </c>
      <c r="C77" s="4" t="s">
        <v>473</v>
      </c>
      <c r="D77" s="4" t="s">
        <v>473</v>
      </c>
      <c r="G77" s="240" t="s">
        <v>589</v>
      </c>
      <c r="H77" s="240" t="s">
        <v>585</v>
      </c>
      <c r="I77" s="240" t="s">
        <v>589</v>
      </c>
      <c r="J77" s="240" t="s">
        <v>585</v>
      </c>
      <c r="K77" s="4" t="s">
        <v>140</v>
      </c>
      <c r="L77" s="4" t="s">
        <v>140</v>
      </c>
      <c r="M77" s="4" t="s">
        <v>140</v>
      </c>
      <c r="N77" s="4" t="s">
        <v>140</v>
      </c>
      <c r="Q77" s="3">
        <v>-90</v>
      </c>
      <c r="S77" s="141">
        <v>0</v>
      </c>
      <c r="V77" s="22">
        <v>5250</v>
      </c>
      <c r="W77" s="3" t="s">
        <v>590</v>
      </c>
      <c r="X77" s="91" t="s">
        <v>313</v>
      </c>
      <c r="AA77">
        <v>3</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4</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2</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3</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c r="AA86">
        <v>1</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c r="AA87">
        <v>2</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91"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91"/>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91"/>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91"/>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91"/>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91"/>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91"/>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91"/>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91"/>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N9:N30 M79:N80 M26:M30 L73:N74 L53:N53 M69:N70 N41:N44 L69:L72 N71:N72 K67:N68 K41:K44 K71:K78 K58:K63 L61:N63 C67:D67 C45:D52 C9:D29 C57:D63 K33:K36 L31:N36 V33:V40 C33:D41 K37:N40">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8" zoomScaleNormal="100" workbookViewId="0">
      <selection activeCell="H35" sqref="H35:I35"/>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7"/>
      <c r="G1" s="288"/>
      <c r="H1" s="288"/>
      <c r="I1" s="289"/>
      <c r="K1" s="137" t="s">
        <v>345</v>
      </c>
      <c r="L1" s="40">
        <f>+'WORKCELL BOM'!Q68</f>
        <v>4</v>
      </c>
      <c r="M1" t="s">
        <v>449</v>
      </c>
    </row>
    <row r="2" spans="1:27" ht="28.5" customHeight="1" thickBot="1" x14ac:dyDescent="0.3">
      <c r="F2" s="311" t="s">
        <v>420</v>
      </c>
      <c r="G2" s="312"/>
      <c r="H2" s="312"/>
      <c r="I2" s="28"/>
    </row>
    <row r="3" spans="1:27" ht="15.75" thickTop="1" x14ac:dyDescent="0.25">
      <c r="F3" s="29"/>
      <c r="G3" s="8"/>
      <c r="H3" s="26"/>
      <c r="I3" s="30"/>
      <c r="K3" s="10"/>
    </row>
    <row r="4" spans="1:27" x14ac:dyDescent="0.25">
      <c r="F4" s="308" t="s">
        <v>424</v>
      </c>
      <c r="G4" s="117" t="str">
        <f>+MENU!B3</f>
        <v>Work Cell</v>
      </c>
      <c r="H4" s="313" t="s">
        <v>322</v>
      </c>
      <c r="I4" s="314"/>
      <c r="K4" s="10" t="s">
        <v>432</v>
      </c>
    </row>
    <row r="5" spans="1:27" ht="15" customHeight="1" x14ac:dyDescent="0.25">
      <c r="F5" s="308"/>
      <c r="G5" s="117" t="str">
        <f>+Data!C3</f>
        <v>Voltage</v>
      </c>
      <c r="H5" s="293" t="s">
        <v>644</v>
      </c>
      <c r="I5" s="293"/>
      <c r="K5" s="10" t="s">
        <v>12</v>
      </c>
    </row>
    <row r="6" spans="1:27" ht="15" customHeight="1" x14ac:dyDescent="0.25">
      <c r="F6" s="308"/>
      <c r="G6" s="117" t="str">
        <f>+Data!E3</f>
        <v>Certification</v>
      </c>
      <c r="H6" s="293" t="s">
        <v>357</v>
      </c>
      <c r="I6" s="293"/>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310" t="s">
        <v>425</v>
      </c>
      <c r="G8" s="31" t="s">
        <v>208</v>
      </c>
      <c r="H8" s="293" t="s">
        <v>360</v>
      </c>
      <c r="I8" s="293"/>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310"/>
      <c r="G9" s="31" t="s">
        <v>451</v>
      </c>
      <c r="H9" s="293" t="s">
        <v>407</v>
      </c>
      <c r="I9" s="293"/>
      <c r="K9" s="10" t="s">
        <v>11</v>
      </c>
      <c r="L9" s="132">
        <f>IFERROR(VLOOKUP(H13,MENU!B8:Y29,24,FALSE),0)</f>
        <v>0</v>
      </c>
      <c r="M9" s="124">
        <f>IF(OR(H$22=2,H$24=2,H$26=2,H$28=2),0,1)</f>
        <v>1</v>
      </c>
      <c r="N9" s="124">
        <f>IF(OR(L9=0,AND(L9=1,M9=1)),1,0)</f>
        <v>1</v>
      </c>
      <c r="O9" s="124">
        <f>IF(H13="",0,1)</f>
        <v>1</v>
      </c>
      <c r="P9" s="124">
        <f>+IF(H13="N",0,1)</f>
        <v>1</v>
      </c>
      <c r="Q9" s="124">
        <f>+N9*O9*P9</f>
        <v>1</v>
      </c>
      <c r="R9" s="138">
        <f>IF(Q9=1,2,"")</f>
        <v>2</v>
      </c>
      <c r="S9" s="162"/>
    </row>
    <row r="10" spans="1:27" ht="15" customHeight="1" x14ac:dyDescent="0.25">
      <c r="A10" s="193">
        <f>+B10*C10</f>
        <v>1</v>
      </c>
      <c r="B10" s="124">
        <f>IF(OR(H$8="N",L8=1),0,1)</f>
        <v>1</v>
      </c>
      <c r="C10" s="193">
        <f>+IF($H$8=MENU!$B$28,0,1)</f>
        <v>1</v>
      </c>
      <c r="F10" s="310"/>
      <c r="G10" s="31" t="s">
        <v>178</v>
      </c>
      <c r="H10" s="293" t="s">
        <v>407</v>
      </c>
      <c r="I10" s="293"/>
      <c r="K10" s="10" t="s">
        <v>174</v>
      </c>
      <c r="S10" s="162"/>
    </row>
    <row r="11" spans="1:27" ht="15" customHeight="1" x14ac:dyDescent="0.25">
      <c r="A11" s="124">
        <f>IF(H$8="N",0,1)</f>
        <v>1</v>
      </c>
      <c r="F11" s="310"/>
      <c r="G11" s="31" t="s">
        <v>452</v>
      </c>
      <c r="H11" s="293" t="s">
        <v>100</v>
      </c>
      <c r="I11" s="293"/>
      <c r="K11" s="10" t="s">
        <v>99</v>
      </c>
      <c r="S11" s="162"/>
      <c r="T11" s="162"/>
      <c r="U11" s="162"/>
      <c r="V11" s="162"/>
      <c r="W11" s="162"/>
      <c r="X11" s="162"/>
      <c r="Y11" s="162"/>
      <c r="Z11" s="162"/>
      <c r="AA11" s="162"/>
    </row>
    <row r="12" spans="1:27" ht="15" customHeight="1" x14ac:dyDescent="0.25">
      <c r="A12" s="124">
        <f>IF(H$8="N",0,1)</f>
        <v>1</v>
      </c>
      <c r="F12" s="310"/>
      <c r="G12" s="31" t="s">
        <v>453</v>
      </c>
      <c r="H12" s="293" t="s">
        <v>100</v>
      </c>
      <c r="I12" s="293"/>
      <c r="K12" s="10" t="str">
        <f>VLOOKUP(H11,Material!A2:B10,2,FALSE)</f>
        <v>Other</v>
      </c>
    </row>
    <row r="13" spans="1:27" ht="15" customHeight="1" x14ac:dyDescent="0.25">
      <c r="A13" s="193">
        <f>+IF($H$8=MENU!$B$28,0,1)</f>
        <v>1</v>
      </c>
      <c r="B13" s="124"/>
      <c r="F13" s="310"/>
      <c r="G13" s="31" t="s">
        <v>209</v>
      </c>
      <c r="H13" s="293" t="s">
        <v>359</v>
      </c>
      <c r="I13" s="293"/>
      <c r="K13" s="8" t="s">
        <v>433</v>
      </c>
    </row>
    <row r="14" spans="1:27" ht="15" customHeight="1" x14ac:dyDescent="0.25">
      <c r="A14" s="193">
        <f>+B14*C14</f>
        <v>1</v>
      </c>
      <c r="B14" s="124">
        <f>IF(OR(H$13="N",L9=1),0,1)</f>
        <v>1</v>
      </c>
      <c r="C14" s="193">
        <f>+IF($H$8=MENU!$B$28,0,1)</f>
        <v>1</v>
      </c>
      <c r="F14" s="310"/>
      <c r="G14" s="31" t="s">
        <v>454</v>
      </c>
      <c r="H14" s="293" t="s">
        <v>407</v>
      </c>
      <c r="I14" s="293"/>
      <c r="K14" s="10" t="s">
        <v>11</v>
      </c>
    </row>
    <row r="15" spans="1:27" hidden="1" x14ac:dyDescent="0.25">
      <c r="A15" s="193">
        <f>+B15*C15</f>
        <v>0</v>
      </c>
      <c r="B15" s="124">
        <f>IF(OR(H10="N",H$13="N",L9=1),0,1)</f>
        <v>0</v>
      </c>
      <c r="C15" s="193">
        <f>+IF($H$8=MENU!$B$28,0,1)</f>
        <v>1</v>
      </c>
      <c r="F15" s="310"/>
      <c r="G15" s="31" t="s">
        <v>179</v>
      </c>
      <c r="H15" s="293"/>
      <c r="I15" s="293"/>
      <c r="K15" s="10" t="s">
        <v>11</v>
      </c>
    </row>
    <row r="16" spans="1:27" ht="15" customHeight="1" x14ac:dyDescent="0.25">
      <c r="A16" s="193">
        <f>+B16*C16</f>
        <v>1</v>
      </c>
      <c r="B16" s="124">
        <f>IF(H$13="N",0,1)</f>
        <v>1</v>
      </c>
      <c r="C16" s="193">
        <f>+IF($H$8=MENU!$B$28,0,1)</f>
        <v>1</v>
      </c>
      <c r="F16" s="310"/>
      <c r="G16" s="31" t="s">
        <v>455</v>
      </c>
      <c r="H16" s="293" t="s">
        <v>100</v>
      </c>
      <c r="I16" s="293"/>
      <c r="K16" s="10" t="s">
        <v>99</v>
      </c>
    </row>
    <row r="17" spans="1:47" ht="15" customHeight="1" x14ac:dyDescent="0.25">
      <c r="A17" s="193">
        <f>+B17*C17</f>
        <v>1</v>
      </c>
      <c r="B17" s="124">
        <f>IF(H$13="N",0,1)</f>
        <v>1</v>
      </c>
      <c r="C17" s="193">
        <f>+IF($H$8=MENU!$B$28,0,1)</f>
        <v>1</v>
      </c>
      <c r="F17" s="308"/>
      <c r="G17" s="31" t="s">
        <v>456</v>
      </c>
      <c r="H17" s="293" t="s">
        <v>100</v>
      </c>
      <c r="I17" s="293"/>
      <c r="K17" s="10" t="str">
        <f>VLOOKUP(H16,Material!A2:B10,2,FALSE)</f>
        <v>Other</v>
      </c>
    </row>
    <row r="18" spans="1:47" ht="15" customHeight="1" x14ac:dyDescent="0.25">
      <c r="A18" s="124">
        <v>1</v>
      </c>
      <c r="F18" s="232"/>
      <c r="G18" s="13"/>
      <c r="H18" s="13"/>
      <c r="I18" s="90"/>
      <c r="K18" s="10"/>
      <c r="S18" s="294" t="str">
        <f>IF(OR(H19="N",H19=""),"",H19)</f>
        <v>4 Station Dispense Head Dual Tooled Manually Adjustable, 32-200mm</v>
      </c>
      <c r="T18" s="294"/>
      <c r="U18" s="294"/>
      <c r="V18" s="294"/>
      <c r="W18" s="294"/>
      <c r="X18" s="294"/>
      <c r="Y18" s="294"/>
    </row>
    <row r="19" spans="1:47" x14ac:dyDescent="0.25">
      <c r="A19" s="124">
        <v>1</v>
      </c>
      <c r="F19" s="126" t="s">
        <v>426</v>
      </c>
      <c r="G19" s="31" t="s">
        <v>412</v>
      </c>
      <c r="H19" s="309" t="s">
        <v>593</v>
      </c>
      <c r="I19" s="293"/>
      <c r="K19" s="10" t="str">
        <f>+MENU!E32</f>
        <v>DISPENSE_HEAD</v>
      </c>
      <c r="L19" s="130">
        <f>IFERROR(VLOOKUP(H19,MENU!B33:Y41,24,FALSE),0)</f>
        <v>4</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310" t="s">
        <v>427</v>
      </c>
      <c r="G21" s="31" t="s">
        <v>504</v>
      </c>
      <c r="H21" s="293" t="s">
        <v>9</v>
      </c>
      <c r="I21" s="293"/>
      <c r="K21" s="10" t="str">
        <f>IF(L$28&gt;=2,"POD_NOSPRAY","POD")</f>
        <v>POD_NOSPRAY</v>
      </c>
      <c r="L21" s="130">
        <f>IFERROR(VLOOKUP(H21,MENU!B$44:Y$52,24,FALSE),0)</f>
        <v>0</v>
      </c>
    </row>
    <row r="22" spans="1:47" ht="15" customHeight="1" x14ac:dyDescent="0.25">
      <c r="A22" s="124">
        <f>+B22*C22*D22</f>
        <v>1</v>
      </c>
      <c r="B22" s="124">
        <f>IF(AND(L$19&gt;=1,H21&lt;&gt;"N"),1,0)</f>
        <v>1</v>
      </c>
      <c r="C22" s="193">
        <v>1</v>
      </c>
      <c r="D22" s="193">
        <f>+IF(OR($H$19=MENU!$B$39,$H$19=MENU!$B$40),0,1)</f>
        <v>1</v>
      </c>
      <c r="F22" s="310"/>
      <c r="G22" s="31" t="s">
        <v>505</v>
      </c>
      <c r="H22" s="293">
        <v>1</v>
      </c>
      <c r="I22" s="293"/>
      <c r="K22" s="12" t="s">
        <v>440</v>
      </c>
    </row>
    <row r="23" spans="1:47" ht="15" customHeight="1" x14ac:dyDescent="0.25">
      <c r="A23" s="124">
        <f>IF(L$19&gt;=2,1,0)</f>
        <v>1</v>
      </c>
      <c r="F23" s="310"/>
      <c r="G23" s="31" t="s">
        <v>506</v>
      </c>
      <c r="H23" s="293" t="s">
        <v>14</v>
      </c>
      <c r="I23" s="293"/>
      <c r="K23" s="10" t="str">
        <f>IF(L$28&gt;=2,"POD_NOSPRAY","POD")</f>
        <v>POD_NOSPRAY</v>
      </c>
      <c r="L23" s="130">
        <f>IFERROR(VLOOKUP(H23,MENU!B$44:Y$52,24,FALSE),0)</f>
        <v>1</v>
      </c>
    </row>
    <row r="24" spans="1:47" x14ac:dyDescent="0.25">
      <c r="A24" s="193">
        <f>+B24*C24</f>
        <v>1</v>
      </c>
      <c r="B24" s="124">
        <f>IF(AND(L$19&gt;=2,H23&lt;&gt;"N"),1,0)</f>
        <v>1</v>
      </c>
      <c r="C24" s="208">
        <v>1</v>
      </c>
      <c r="F24" s="310"/>
      <c r="G24" s="31" t="s">
        <v>507</v>
      </c>
      <c r="H24" s="293">
        <v>1</v>
      </c>
      <c r="I24" s="293"/>
      <c r="K24" s="12" t="s">
        <v>440</v>
      </c>
    </row>
    <row r="25" spans="1:47" x14ac:dyDescent="0.25">
      <c r="A25" s="124">
        <f>IF(L$19&gt;=3,1,0)</f>
        <v>1</v>
      </c>
      <c r="F25" s="310"/>
      <c r="G25" s="31" t="s">
        <v>531</v>
      </c>
      <c r="H25" s="293" t="s">
        <v>382</v>
      </c>
      <c r="I25" s="293"/>
      <c r="K25" s="10" t="str">
        <f>IF(L$28&gt;=2,"POD_NOSPRAY","POD")</f>
        <v>POD_NOSPRAY</v>
      </c>
      <c r="L25" s="130">
        <f>IFERROR(VLOOKUP(H25,MENU!B$44:Y$52,24,FALSE),0)</f>
        <v>0</v>
      </c>
    </row>
    <row r="26" spans="1:47" x14ac:dyDescent="0.25">
      <c r="A26" s="193">
        <f>+B26*C26</f>
        <v>1</v>
      </c>
      <c r="B26" s="124">
        <f>IF(AND(L$19&gt;=3,H25&lt;&gt;"N"),1,0)</f>
        <v>1</v>
      </c>
      <c r="C26" s="208">
        <v>1</v>
      </c>
      <c r="F26" s="310"/>
      <c r="G26" s="31" t="s">
        <v>508</v>
      </c>
      <c r="H26" s="293">
        <v>1</v>
      </c>
      <c r="I26" s="293"/>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x14ac:dyDescent="0.25">
      <c r="A27" s="124">
        <f>IF(L$19=4,1,0)</f>
        <v>1</v>
      </c>
      <c r="F27" s="310"/>
      <c r="G27" s="31" t="s">
        <v>509</v>
      </c>
      <c r="H27" s="293" t="s">
        <v>390</v>
      </c>
      <c r="I27" s="293"/>
      <c r="K27" s="10" t="str">
        <f>IF(L$28&gt;=2,"POD_NOSPRAY","POD")</f>
        <v>POD_NOSPRAY</v>
      </c>
      <c r="L27" s="130">
        <f>IFERROR(VLOOKUP(H27,MENU!B$44:Y$52,24,FALSE),0)</f>
        <v>1</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x14ac:dyDescent="0.25">
      <c r="A28" s="193">
        <f>+B28*C28</f>
        <v>1</v>
      </c>
      <c r="B28" s="124">
        <f>IF(AND(L$19=4,H27&lt;&gt;"N"),1,0)</f>
        <v>1</v>
      </c>
      <c r="C28" s="208">
        <v>1</v>
      </c>
      <c r="F28" s="310"/>
      <c r="G28" s="31" t="s">
        <v>510</v>
      </c>
      <c r="H28" s="293"/>
      <c r="I28" s="293"/>
      <c r="K28" s="12" t="s">
        <v>440</v>
      </c>
      <c r="L28" s="130">
        <f>L21+L23+L25+L27</f>
        <v>2</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310" t="s">
        <v>428</v>
      </c>
      <c r="G30" s="117" t="str">
        <f>+IF(H30="","Part Handling",IF(B31=0,"Fixture","Conveyor"))</f>
        <v>Conveyor</v>
      </c>
      <c r="H30" s="293" t="s">
        <v>601</v>
      </c>
      <c r="I30" s="293"/>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310"/>
      <c r="G31" s="117" t="s">
        <v>13</v>
      </c>
      <c r="H31" s="293"/>
      <c r="I31" s="293"/>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310"/>
      <c r="G32" s="117" t="s">
        <v>612</v>
      </c>
      <c r="H32" s="293" t="s">
        <v>597</v>
      </c>
      <c r="I32" s="293"/>
      <c r="K32" s="10" t="s">
        <v>611</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310"/>
      <c r="G33" s="117">
        <f>+MENU!B64</f>
        <v>0</v>
      </c>
      <c r="H33" s="293"/>
      <c r="I33" s="293"/>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3" t="s">
        <v>312</v>
      </c>
      <c r="I35" s="293"/>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308" t="s">
        <v>430</v>
      </c>
      <c r="G37" s="117" t="str">
        <f>+MENU!B75</f>
        <v>Fan Width Sensor</v>
      </c>
      <c r="H37" s="293"/>
      <c r="I37" s="293"/>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308"/>
      <c r="G38" s="117" t="str">
        <f>+MENU!B76</f>
        <v>Fan Width Sensor with Continuous Film Calibration</v>
      </c>
      <c r="H38" s="293"/>
      <c r="I38" s="293"/>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308"/>
      <c r="G39" s="117" t="str">
        <f>+MENU!B77</f>
        <v>Needle Calibration, 3 axis</v>
      </c>
      <c r="H39" s="293" t="s">
        <v>407</v>
      </c>
      <c r="I39" s="293"/>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308"/>
      <c r="G40" s="117" t="str">
        <f>+MENU!B78</f>
        <v>Black Light</v>
      </c>
      <c r="H40" s="293" t="s">
        <v>271</v>
      </c>
      <c r="I40" s="293"/>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308" t="s">
        <v>441</v>
      </c>
      <c r="G42" s="109" t="s">
        <v>442</v>
      </c>
      <c r="H42" s="293" t="s">
        <v>271</v>
      </c>
      <c r="I42" s="293"/>
      <c r="K42" s="10" t="s">
        <v>11</v>
      </c>
      <c r="L42" s="133"/>
      <c r="V42" s="178"/>
      <c r="W42" s="178"/>
      <c r="X42" s="178"/>
      <c r="Y42" s="178"/>
      <c r="Z42" s="178"/>
      <c r="AA42" s="178"/>
      <c r="AB42" s="178"/>
      <c r="AC42" s="178"/>
      <c r="AD42" s="178"/>
      <c r="AE42" s="178"/>
      <c r="AF42" s="178"/>
    </row>
    <row r="43" spans="1:43" hidden="1" x14ac:dyDescent="0.25">
      <c r="A43" s="198">
        <f>+IF(H5=Data!C4,1,0)</f>
        <v>0</v>
      </c>
      <c r="B43" s="198"/>
      <c r="C43" s="198"/>
      <c r="D43" s="198"/>
      <c r="E43" s="198"/>
      <c r="F43" s="308"/>
      <c r="G43" s="109" t="str">
        <f>+MENU!B91</f>
        <v>Fume Extractor</v>
      </c>
      <c r="H43" s="293"/>
      <c r="I43" s="293"/>
      <c r="K43" s="10" t="s">
        <v>11</v>
      </c>
      <c r="L43" s="197"/>
    </row>
    <row r="44" spans="1:43" x14ac:dyDescent="0.25">
      <c r="A44" s="201">
        <v>1</v>
      </c>
      <c r="B44" s="201"/>
      <c r="C44" s="201"/>
      <c r="D44" s="201"/>
      <c r="E44" s="201"/>
      <c r="F44" s="308"/>
      <c r="G44" s="31" t="s">
        <v>444</v>
      </c>
      <c r="H44" s="293" t="s">
        <v>407</v>
      </c>
      <c r="I44" s="293"/>
      <c r="K44" s="10" t="str">
        <f>+MENU!$E$92</f>
        <v>UNMOUNTED</v>
      </c>
      <c r="L44" s="200"/>
    </row>
    <row r="45" spans="1:43" hidden="1" x14ac:dyDescent="0.25">
      <c r="A45" s="201">
        <f>+B45*C45</f>
        <v>0</v>
      </c>
      <c r="B45" s="201">
        <f>+IF(H44="N",0,1)</f>
        <v>0</v>
      </c>
      <c r="C45" s="201">
        <f>+IF(H44="",0,1)</f>
        <v>1</v>
      </c>
      <c r="D45" s="201"/>
      <c r="E45" s="201"/>
      <c r="F45" s="308"/>
      <c r="G45" s="31" t="s">
        <v>445</v>
      </c>
      <c r="H45" s="293"/>
      <c r="I45" s="293"/>
      <c r="K45" s="10" t="str">
        <f>+MENU!$E$92</f>
        <v>UNMOUNTED</v>
      </c>
      <c r="L45" s="200"/>
    </row>
    <row r="46" spans="1:43" hidden="1" x14ac:dyDescent="0.25">
      <c r="A46" s="203">
        <f t="shared" ref="A46:A47" si="0">+B46*C46</f>
        <v>0</v>
      </c>
      <c r="B46" s="203">
        <f t="shared" ref="B46:B47" si="1">+IF(H45="N",0,1)</f>
        <v>1</v>
      </c>
      <c r="C46" s="203">
        <f>+IF(H45="",0,1)</f>
        <v>0</v>
      </c>
      <c r="D46" s="201"/>
      <c r="E46" s="201"/>
      <c r="F46" s="308"/>
      <c r="G46" s="31" t="s">
        <v>446</v>
      </c>
      <c r="H46" s="293"/>
      <c r="I46" s="293"/>
      <c r="K46" s="10" t="str">
        <f>+MENU!$E$92</f>
        <v>UNMOUNTED</v>
      </c>
      <c r="L46" s="200"/>
    </row>
    <row r="47" spans="1:43" hidden="1" x14ac:dyDescent="0.25">
      <c r="A47" s="203">
        <f t="shared" si="0"/>
        <v>0</v>
      </c>
      <c r="B47" s="203">
        <f t="shared" si="1"/>
        <v>1</v>
      </c>
      <c r="C47" s="203">
        <f>+IF(H46="",0,1)</f>
        <v>0</v>
      </c>
      <c r="D47" s="201"/>
      <c r="E47" s="201"/>
      <c r="F47" s="308"/>
      <c r="G47" s="31" t="s">
        <v>447</v>
      </c>
      <c r="H47" s="293"/>
      <c r="I47" s="293"/>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73995</v>
      </c>
      <c r="K49" s="10"/>
      <c r="L49" s="183"/>
      <c r="T49" s="178"/>
      <c r="U49" s="178"/>
      <c r="V49" s="178"/>
      <c r="W49" s="178"/>
      <c r="X49" s="178"/>
    </row>
    <row r="50" spans="1:25" ht="23.1" customHeight="1" x14ac:dyDescent="0.25">
      <c r="F50" s="187" t="str">
        <f>IF(B31=0,"",CONCATENATE("Conveyor Rail Available ",'WORKCELL BOM'!O68,"mm"))</f>
        <v>Conveyor Rail Available 111mm</v>
      </c>
      <c r="G50" s="260"/>
      <c r="H50" s="258"/>
      <c r="I50" s="261" t="str">
        <f>CONCATENATE("Work Area Estimate ",'WORKCELL BOM'!M68,"mm x ",'WORKCELL BOM'!N68,"mm")</f>
        <v>Work Area Estimate 322mm x 265mm</v>
      </c>
      <c r="T50" s="295" t="str">
        <f>+IF(I51="Y","MAKE ARRANGEMENTS FOR SAMPLE PARTS","")</f>
        <v/>
      </c>
      <c r="U50" s="295"/>
      <c r="V50" s="295"/>
      <c r="W50" s="295"/>
      <c r="X50" s="295"/>
    </row>
    <row r="51" spans="1:25" ht="15" customHeight="1" x14ac:dyDescent="0.25">
      <c r="F51" s="98" t="s">
        <v>340</v>
      </c>
      <c r="G51" s="99">
        <v>42765</v>
      </c>
      <c r="H51" s="96" t="s">
        <v>344</v>
      </c>
      <c r="I51" s="36" t="s">
        <v>407</v>
      </c>
      <c r="K51" t="s">
        <v>11</v>
      </c>
      <c r="L51" s="159"/>
      <c r="M51" s="159"/>
      <c r="N51" s="159"/>
      <c r="O51" s="159"/>
      <c r="P51" s="159"/>
      <c r="Q51" s="159"/>
      <c r="R51" s="159"/>
      <c r="T51" s="295" t="str">
        <f>+IF(I51="Y","MAKE ARRANGEMENTS FOR SAMPLE MATERIAL","")</f>
        <v/>
      </c>
      <c r="U51" s="295"/>
      <c r="V51" s="295"/>
      <c r="W51" s="295"/>
      <c r="X51" s="295"/>
      <c r="Y51" s="175"/>
    </row>
    <row r="52" spans="1:25" ht="15" customHeight="1" x14ac:dyDescent="0.25">
      <c r="F52" s="212" t="s">
        <v>341</v>
      </c>
      <c r="G52" s="213">
        <f>IF(G51="","",WORKDAY(G54,-8))</f>
        <v>42802</v>
      </c>
      <c r="H52" s="97" t="s">
        <v>346</v>
      </c>
      <c r="I52" s="36" t="s">
        <v>663</v>
      </c>
      <c r="L52" s="159"/>
      <c r="M52" s="159"/>
      <c r="N52" s="159"/>
      <c r="O52" s="159"/>
      <c r="P52" s="159"/>
      <c r="Q52" s="159"/>
      <c r="R52" s="159"/>
      <c r="T52" s="295" t="str">
        <f>+IF(I51="Y","SCHEDULE ACCEPTANCE WITH DAVID FILBERT","")</f>
        <v/>
      </c>
      <c r="U52" s="295"/>
      <c r="V52" s="295"/>
      <c r="W52" s="295"/>
      <c r="X52" s="295"/>
      <c r="Y52" s="175"/>
    </row>
    <row r="53" spans="1:25" ht="15" customHeight="1" x14ac:dyDescent="0.25">
      <c r="F53" s="212" t="s">
        <v>342</v>
      </c>
      <c r="G53" s="213">
        <f>IF(G51="","",WORKDAY(G54,-2))</f>
        <v>42810</v>
      </c>
      <c r="H53" s="97" t="s">
        <v>347</v>
      </c>
      <c r="I53" s="36" t="s">
        <v>664</v>
      </c>
      <c r="Y53" s="175"/>
    </row>
    <row r="54" spans="1:25" ht="15" customHeight="1" x14ac:dyDescent="0.25">
      <c r="F54" s="212" t="str">
        <f>IF(I51="Y","Acceptance","Shipping")</f>
        <v>Shipping</v>
      </c>
      <c r="G54" s="214">
        <v>42814</v>
      </c>
      <c r="H54" s="97" t="s">
        <v>348</v>
      </c>
      <c r="I54" s="36">
        <v>29243</v>
      </c>
      <c r="Y54" s="162"/>
    </row>
    <row r="55" spans="1:25" ht="30" customHeight="1" x14ac:dyDescent="0.25">
      <c r="F55" s="305" t="s">
        <v>349</v>
      </c>
      <c r="G55" s="306"/>
      <c r="H55" s="306"/>
      <c r="I55" s="307"/>
      <c r="T55" s="162"/>
      <c r="U55" s="162"/>
      <c r="V55" s="162"/>
      <c r="W55" s="162"/>
      <c r="X55" s="162"/>
      <c r="Y55" s="162"/>
    </row>
    <row r="56" spans="1:25" x14ac:dyDescent="0.25">
      <c r="F56" s="29"/>
      <c r="G56" s="8"/>
      <c r="H56" s="26"/>
      <c r="I56" s="30"/>
    </row>
    <row r="57" spans="1:25" ht="25.15" customHeight="1" thickBot="1" x14ac:dyDescent="0.3">
      <c r="F57" s="29"/>
      <c r="G57" s="34" t="s">
        <v>164</v>
      </c>
      <c r="H57" s="144" t="s">
        <v>661</v>
      </c>
      <c r="I57" s="30"/>
      <c r="S57" s="290" t="s">
        <v>646</v>
      </c>
      <c r="T57" s="290"/>
      <c r="U57" s="290"/>
      <c r="W57" s="290" t="s">
        <v>647</v>
      </c>
      <c r="X57" s="290"/>
      <c r="Y57" s="290"/>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6" t="s">
        <v>662</v>
      </c>
      <c r="G64" s="297"/>
      <c r="H64" s="297"/>
      <c r="I64" s="298"/>
    </row>
    <row r="65" spans="1:9" x14ac:dyDescent="0.25">
      <c r="A65" s="205">
        <f t="shared" ref="A65:A69" si="2">+IF($I$54="",0,1)</f>
        <v>1</v>
      </c>
      <c r="F65" s="299"/>
      <c r="G65" s="300"/>
      <c r="H65" s="300"/>
      <c r="I65" s="301"/>
    </row>
    <row r="66" spans="1:9" x14ac:dyDescent="0.25">
      <c r="A66" s="205">
        <f t="shared" si="2"/>
        <v>1</v>
      </c>
      <c r="F66" s="299"/>
      <c r="G66" s="300"/>
      <c r="H66" s="300"/>
      <c r="I66" s="301"/>
    </row>
    <row r="67" spans="1:9" x14ac:dyDescent="0.25">
      <c r="A67" s="205">
        <f t="shared" si="2"/>
        <v>1</v>
      </c>
      <c r="F67" s="299"/>
      <c r="G67" s="300"/>
      <c r="H67" s="300"/>
      <c r="I67" s="301"/>
    </row>
    <row r="68" spans="1:9" x14ac:dyDescent="0.25">
      <c r="A68" s="205">
        <f t="shared" si="2"/>
        <v>1</v>
      </c>
      <c r="F68" s="299"/>
      <c r="G68" s="300"/>
      <c r="H68" s="300"/>
      <c r="I68" s="301"/>
    </row>
    <row r="69" spans="1:9" x14ac:dyDescent="0.25">
      <c r="A69" s="205">
        <f t="shared" si="2"/>
        <v>1</v>
      </c>
      <c r="F69" s="302"/>
      <c r="G69" s="303"/>
      <c r="H69" s="303"/>
      <c r="I69" s="304"/>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L2" sqref="L2"/>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3" t="s">
        <v>467</v>
      </c>
      <c r="H1" s="323"/>
      <c r="I1" s="323"/>
      <c r="J1" s="323"/>
      <c r="K1" s="323"/>
      <c r="L1" s="323"/>
      <c r="M1" s="323"/>
      <c r="N1" s="323"/>
      <c r="O1" s="323"/>
      <c r="P1" s="323"/>
      <c r="Q1" s="323"/>
      <c r="R1" s="323"/>
      <c r="S1" s="323"/>
    </row>
    <row r="2" spans="1:22" ht="20.25" thickTop="1" x14ac:dyDescent="0.25">
      <c r="G2" s="324" t="s">
        <v>186</v>
      </c>
      <c r="H2" s="324"/>
      <c r="I2" s="321" t="str">
        <f>+'WORKCELL CONFIGURATOR'!H57</f>
        <v>Global Engineering</v>
      </c>
      <c r="J2" s="321"/>
      <c r="K2" s="47" t="s">
        <v>204</v>
      </c>
      <c r="L2" s="142" t="str">
        <f>+'WORKCELL CONFIGURATOR'!I52</f>
        <v>GLBE4722</v>
      </c>
      <c r="M2" s="41"/>
      <c r="N2" s="41"/>
      <c r="O2" s="41"/>
      <c r="P2" s="41"/>
      <c r="Q2" s="165"/>
      <c r="R2" s="46"/>
      <c r="S2" s="44"/>
    </row>
    <row r="3" spans="1:22" ht="20.25" thickBot="1" x14ac:dyDescent="0.3">
      <c r="G3" s="325" t="s">
        <v>185</v>
      </c>
      <c r="H3" s="325"/>
      <c r="I3" s="322">
        <f>+'WORKCELL CONFIGURATOR'!I54</f>
        <v>29243</v>
      </c>
      <c r="J3" s="322"/>
      <c r="K3" s="48" t="s">
        <v>205</v>
      </c>
      <c r="L3" s="143" t="str">
        <f>+'WORKCELL CONFIGURATOR'!I53</f>
        <v>S1087</v>
      </c>
      <c r="M3" s="42"/>
      <c r="N3" s="42"/>
      <c r="O3" s="42"/>
      <c r="P3" s="42"/>
      <c r="Q3" s="166"/>
      <c r="R3" s="43"/>
      <c r="S3" s="45"/>
    </row>
    <row r="4" spans="1:22" ht="15.75" thickTop="1" x14ac:dyDescent="0.25">
      <c r="G4" s="326" t="s">
        <v>343</v>
      </c>
      <c r="H4" s="326"/>
      <c r="I4" s="25">
        <f>+'WORKCELL CONFIGURATOR'!L1</f>
        <v>4</v>
      </c>
      <c r="J4" s="326" t="s">
        <v>340</v>
      </c>
      <c r="K4" s="326"/>
      <c r="L4" s="95">
        <f>+'WORKCELL CONFIGURATOR'!G51</f>
        <v>42765</v>
      </c>
      <c r="M4"/>
      <c r="N4"/>
      <c r="O4"/>
      <c r="P4"/>
      <c r="Q4" s="141"/>
    </row>
    <row r="5" spans="1:22" x14ac:dyDescent="0.25">
      <c r="G5" s="327" t="s">
        <v>356</v>
      </c>
      <c r="H5" s="327"/>
      <c r="I5" s="109" t="str">
        <f>+'WORKCELL CONFIGURATOR'!H6</f>
        <v>CE</v>
      </c>
      <c r="J5" s="329" t="s">
        <v>341</v>
      </c>
      <c r="K5" s="329"/>
      <c r="L5" s="95">
        <f>+'WORKCELL CONFIGURATOR'!G52</f>
        <v>42802</v>
      </c>
      <c r="M5"/>
      <c r="N5"/>
      <c r="O5"/>
      <c r="P5"/>
      <c r="Q5" s="141"/>
    </row>
    <row r="6" spans="1:22" x14ac:dyDescent="0.25">
      <c r="G6" s="327" t="s">
        <v>12</v>
      </c>
      <c r="H6" s="327"/>
      <c r="I6" s="31" t="str">
        <f>+'WORKCELL CONFIGURATOR'!H5</f>
        <v>200-240v 50/60Hz</v>
      </c>
      <c r="J6" s="330" t="s">
        <v>342</v>
      </c>
      <c r="K6" s="330"/>
      <c r="L6" s="95">
        <f>+'WORKCELL CONFIGURATOR'!G53</f>
        <v>42810</v>
      </c>
      <c r="M6"/>
      <c r="N6"/>
      <c r="O6"/>
      <c r="P6"/>
      <c r="Q6" s="141"/>
    </row>
    <row r="7" spans="1:22" ht="16.5" thickBot="1" x14ac:dyDescent="0.3">
      <c r="G7" s="328" t="s">
        <v>614</v>
      </c>
      <c r="H7" s="328"/>
      <c r="I7" s="152" t="str">
        <f>+IF(I41=MENU!B66,MENU!T66,IF(I9=MENU!B4,MENU!T4,MENU!U5))</f>
        <v>180mm</v>
      </c>
      <c r="J7" s="331" t="str">
        <f>+'WORKCELL CONFIGURATOR'!F54</f>
        <v>Shipping</v>
      </c>
      <c r="K7" s="331"/>
      <c r="L7" s="110">
        <f>+'WORKCELL CONFIGURATOR'!G54</f>
        <v>42814</v>
      </c>
      <c r="M7"/>
      <c r="N7"/>
      <c r="O7"/>
      <c r="P7"/>
      <c r="Q7" s="141"/>
    </row>
    <row r="8" spans="1:22" ht="36" thickTop="1" thickBot="1" x14ac:dyDescent="0.3">
      <c r="G8" s="111" t="s">
        <v>108</v>
      </c>
      <c r="H8" s="111" t="s">
        <v>109</v>
      </c>
      <c r="I8" s="316" t="s">
        <v>106</v>
      </c>
      <c r="J8" s="316"/>
      <c r="K8" s="112" t="s">
        <v>207</v>
      </c>
      <c r="L8" s="113" t="s">
        <v>187</v>
      </c>
      <c r="M8" s="127" t="s">
        <v>107</v>
      </c>
      <c r="N8" s="127" t="s">
        <v>572</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17" t="str">
        <f>+'WORKCELL CONFIGURATOR'!H4</f>
        <v>Delta 6</v>
      </c>
      <c r="J9" s="317"/>
      <c r="K9" s="10"/>
      <c r="L9" s="11" t="str">
        <f>+IFERROR(VLOOKUP(I9,MENU!B$4:I$90,$U$9,FALSE),"")</f>
        <v>642-0221</v>
      </c>
      <c r="M9" s="247">
        <f>+IFERROR(VLOOKUP($I9,MENU!$B$4:$Y$100,14,FALSE),0)</f>
        <v>511</v>
      </c>
      <c r="N9" s="247">
        <f>+IFERROR(VLOOKUP($I9,MENU!$B$4:$Y$100,15,FALSE),0)</f>
        <v>475</v>
      </c>
      <c r="O9" s="247">
        <f>+IFERROR(VLOOKUP($I9,MENU!$B$4:$Y$100,16,FALSE),0)*G9</f>
        <v>400</v>
      </c>
      <c r="P9" s="247">
        <f>+IFERROR(VLOOKUP($I9,MENU!$B$4:$Y$100,17,FALSE),0)</f>
        <v>3</v>
      </c>
      <c r="Q9" s="247">
        <f>+IFERROR(VLOOKUP($I9,MENU!$B$4:$Y$100,18,FALSE),0)</f>
        <v>4</v>
      </c>
      <c r="R9" s="147">
        <f>+IFERROR(VLOOKUP($I9,MENU!$B$4:$Y$100,21,FALSE),0)</f>
        <v>35540</v>
      </c>
      <c r="S9" s="22">
        <f>IFERROR(G9*R9,0)</f>
        <v>35540</v>
      </c>
      <c r="U9">
        <f>+VLOOKUP(I9,Data!B12:C14,2,FALSE)</f>
        <v>6</v>
      </c>
      <c r="V9">
        <f>+VLOOKUP(I9,Data!E12:F14,2,FALSE)</f>
        <v>3</v>
      </c>
    </row>
    <row r="10" spans="1:22" x14ac:dyDescent="0.25">
      <c r="A10" s="243">
        <v>1</v>
      </c>
      <c r="G10" s="124">
        <v>1</v>
      </c>
      <c r="H10" s="12" t="s">
        <v>316</v>
      </c>
      <c r="I10" s="315"/>
      <c r="J10" s="315"/>
      <c r="K10" s="10"/>
      <c r="L10" s="148" t="str">
        <f>IFERROR(VLOOKUP('WORKCELL CONFIGURATOR'!H35,MENU!B70:Y72,24,FALSE),MENU!Y70)</f>
        <v>B92-00003</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5" t="s">
        <v>480</v>
      </c>
      <c r="J11" s="315"/>
      <c r="K11" s="10"/>
      <c r="L11" s="11" t="str">
        <f>VLOOKUP(P70,Data!B17:E19,V9,FALSE)</f>
        <v>612-2254-3</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5"/>
      <c r="J12" s="315"/>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5" t="str">
        <f>+'WORKCELL CONFIGURATOR'!H8</f>
        <v>2 Liter Bottle Pressure Reservoir with Scale</v>
      </c>
      <c r="J13" s="315"/>
      <c r="K13" s="182">
        <v>1</v>
      </c>
      <c r="L13" s="11" t="str">
        <f>+IFERROR(VLOOKUP(I13,MENU!B$4:I$90,$U$9,FALSE),"")</f>
        <v>612-1893-1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2880</v>
      </c>
      <c r="S13" s="22">
        <f t="shared" ref="S13:S52" si="0">IFERROR(G13*R13,0)</f>
        <v>2880</v>
      </c>
    </row>
    <row r="14" spans="1:22" hidden="1" x14ac:dyDescent="0.25">
      <c r="A14" s="141">
        <f>+B14*C14</f>
        <v>0</v>
      </c>
      <c r="B14" s="141">
        <f>IF('WORKCELL CONFIGURATOR'!H9="",0,1)</f>
        <v>1</v>
      </c>
      <c r="C14" s="141">
        <f>IF('WORKCELL CONFIGURATOR'!H9="N",0,1)</f>
        <v>0</v>
      </c>
      <c r="G14" s="141">
        <f>+A14</f>
        <v>0</v>
      </c>
      <c r="H14" s="12" t="str">
        <f>+'WORKCELL CONFIGURATOR'!G9</f>
        <v>Flow Meter - 1</v>
      </c>
      <c r="I14" s="315" t="s">
        <v>423</v>
      </c>
      <c r="J14" s="315"/>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5" t="str">
        <f>+'WORKCELL CONFIGURATOR'!H10</f>
        <v>N</v>
      </c>
      <c r="J15" s="315"/>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5"/>
      <c r="J16" s="315"/>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5"/>
      <c r="J17" s="315"/>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x14ac:dyDescent="0.25">
      <c r="A18" s="141">
        <f>+B18*C18</f>
        <v>1</v>
      </c>
      <c r="B18" s="141">
        <f>IF('WORKCELL CONFIGURATOR'!H13="",0,1)</f>
        <v>1</v>
      </c>
      <c r="C18" s="141">
        <f>IF('WORKCELL CONFIGURATOR'!H13="N",0,1)</f>
        <v>1</v>
      </c>
      <c r="G18" s="141">
        <f>+A18</f>
        <v>1</v>
      </c>
      <c r="H18" s="12" t="str">
        <f>+'WORKCELL CONFIGURATOR'!G13</f>
        <v>Material Reservoir - 2</v>
      </c>
      <c r="I18" s="315" t="str">
        <f>+'WORKCELL CONFIGURATOR'!H13</f>
        <v>2 Liter Bottle Pressure Reservoir</v>
      </c>
      <c r="J18" s="315"/>
      <c r="K18" s="3">
        <v>2</v>
      </c>
      <c r="L18" s="11" t="str">
        <f>+IFERROR(VLOOKUP(I18,MENU!B$4:I$90,$U$9,FALSE),"")</f>
        <v>612-1892-1</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930</v>
      </c>
      <c r="S18" s="22">
        <f t="shared" si="0"/>
        <v>930</v>
      </c>
    </row>
    <row r="19" spans="1:19" hidden="1" x14ac:dyDescent="0.25">
      <c r="A19" s="141">
        <f>+B19*C19</f>
        <v>0</v>
      </c>
      <c r="B19" s="141">
        <f>IF('WORKCELL CONFIGURATOR'!H14="",0,1)</f>
        <v>1</v>
      </c>
      <c r="C19" s="141">
        <f>IF('WORKCELL CONFIGURATOR'!H14="N",0,1)</f>
        <v>0</v>
      </c>
      <c r="G19" s="141">
        <f>+A19</f>
        <v>0</v>
      </c>
      <c r="H19" s="12" t="str">
        <f>+'WORKCELL CONFIGURATOR'!G14</f>
        <v>Flow Meter - 2</v>
      </c>
      <c r="I19" s="315" t="s">
        <v>423</v>
      </c>
      <c r="J19" s="315"/>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0</v>
      </c>
    </row>
    <row r="20" spans="1:19" hidden="1" x14ac:dyDescent="0.25">
      <c r="A20" s="141">
        <f>+B20*C20</f>
        <v>0</v>
      </c>
      <c r="B20" s="141">
        <f>IF('WORKCELL CONFIGURATOR'!H15="",0,1)</f>
        <v>0</v>
      </c>
      <c r="C20" s="141">
        <f>IF('WORKCELL CONFIGURATOR'!H15="N",0,1)</f>
        <v>1</v>
      </c>
      <c r="G20" s="141">
        <f>+A20</f>
        <v>0</v>
      </c>
      <c r="H20" s="12" t="str">
        <f>+'WORKCELL CONFIGURATOR'!G15</f>
        <v>Solvent Flush - 2</v>
      </c>
      <c r="I20" s="315" t="s">
        <v>443</v>
      </c>
      <c r="J20" s="315"/>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5"/>
      <c r="J21" s="315"/>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5"/>
      <c r="J22" s="315"/>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5"/>
      <c r="J23" s="315"/>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5" t="str">
        <f>+'WORKCELL CONFIGURATOR'!H19</f>
        <v>4 Station Dispense Head Dual Tooled Manually Adjustable, 32-200mm</v>
      </c>
      <c r="J24" s="315"/>
      <c r="K24" s="136"/>
      <c r="L24" s="11" t="str">
        <f>+IFERROR(VLOOKUP(I24,MENU!B$4:I$90,$U$9,FALSE),"")</f>
        <v>612-3336-1</v>
      </c>
      <c r="M24" s="247">
        <f>+IFERROR(VLOOKUP($I24,MENU!$B$4:$Y$100,14,FALSE),0)</f>
        <v>-64</v>
      </c>
      <c r="N24" s="247">
        <f>+IFERROR(VLOOKUP($I24,MENU!$B$4:$Y$100,15,FALSE),0)</f>
        <v>-125</v>
      </c>
      <c r="O24" s="247">
        <f>+IFERROR(VLOOKUP($I24,MENU!$B$4:$Y$100,16,FALSE),0)*G24</f>
        <v>-289</v>
      </c>
      <c r="P24" s="247">
        <f>+IFERROR(VLOOKUP($I24,MENU!$B$4:$Y$100,17,FALSE),0)</f>
        <v>0</v>
      </c>
      <c r="Q24" s="247">
        <f>+IFERROR(VLOOKUP($I24,MENU!$B$4:$Y$100,18,FALSE),0)</f>
        <v>0</v>
      </c>
      <c r="R24" s="147">
        <f>+IFERROR(VLOOKUP($I24,MENU!$B$4:$Y$100,21,FALSE),0)</f>
        <v>2780</v>
      </c>
      <c r="S24" s="22">
        <f t="shared" si="0"/>
        <v>2780</v>
      </c>
    </row>
    <row r="25" spans="1:19" hidden="1" x14ac:dyDescent="0.25">
      <c r="A25" s="141">
        <v>0</v>
      </c>
      <c r="B25" s="141"/>
      <c r="C25" s="141"/>
      <c r="G25" s="141"/>
      <c r="H25" s="12"/>
      <c r="I25" s="315"/>
      <c r="J25" s="315"/>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5" t="str">
        <f>+'WORKCELL CONFIGURATOR'!H21</f>
        <v>FC100-CF</v>
      </c>
      <c r="J26" s="315"/>
      <c r="K26" s="136">
        <f>+'WORKCELL CONFIGURATOR'!H22</f>
        <v>1</v>
      </c>
      <c r="L26" s="11" t="str">
        <f>+IFERROR(VLOOKUP(I26,MENU!B$4:I$90,$U$9,FALSE),"")</f>
        <v>612-1869-1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5"/>
      <c r="J27" s="315"/>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5" t="str">
        <f>+'WORKCELL CONFIGURATOR'!H23</f>
        <v>FCS300-R</v>
      </c>
      <c r="J28" s="315"/>
      <c r="K28" s="136">
        <f>+'WORKCELL CONFIGURATOR'!H24</f>
        <v>1</v>
      </c>
      <c r="L28" s="11" t="str">
        <f>+IFERROR(VLOOKUP(I28,MENU!B$4:I$90,$U$9,FALSE),"")</f>
        <v>612-1871-1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5"/>
      <c r="J29" s="315"/>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x14ac:dyDescent="0.25">
      <c r="A30" s="141">
        <f>+B30*C30</f>
        <v>1</v>
      </c>
      <c r="B30" s="141">
        <f>IF('WORKCELL CONFIGURATOR'!H25="",0,1)</f>
        <v>1</v>
      </c>
      <c r="C30" s="141">
        <f>IF('WORKCELL CONFIGURATOR'!H25="N",0,1)</f>
        <v>1</v>
      </c>
      <c r="G30" s="141">
        <f>+A30</f>
        <v>1</v>
      </c>
      <c r="H30" s="12" t="str">
        <f>+'WORKCELL CONFIGURATOR'!G25</f>
        <v>Station 3</v>
      </c>
      <c r="I30" s="315" t="str">
        <f>+'WORKCELL CONFIGURATOR'!H25</f>
        <v>FC100-C4, 23g</v>
      </c>
      <c r="J30" s="315"/>
      <c r="K30" s="136">
        <f>+'WORKCELL CONFIGURATOR'!H26</f>
        <v>1</v>
      </c>
      <c r="L30" s="11" t="str">
        <f>+IFERROR(VLOOKUP(I30,MENU!B$4:I$90,$U$9,FALSE),"")</f>
        <v>612-2160-1</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3860</v>
      </c>
      <c r="S30" s="22">
        <f t="shared" si="0"/>
        <v>3860</v>
      </c>
    </row>
    <row r="31" spans="1:19" hidden="1" x14ac:dyDescent="0.25">
      <c r="A31" s="141">
        <v>0</v>
      </c>
      <c r="B31" s="141"/>
      <c r="C31" s="141"/>
      <c r="G31" s="141"/>
      <c r="H31" s="12"/>
      <c r="I31" s="315"/>
      <c r="J31" s="315"/>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x14ac:dyDescent="0.25">
      <c r="A32" s="141">
        <f>+B32*C32</f>
        <v>1</v>
      </c>
      <c r="B32" s="141">
        <f>IF('WORKCELL CONFIGURATOR'!H27="",0,1)</f>
        <v>1</v>
      </c>
      <c r="C32" s="141">
        <f>IF('WORKCELL CONFIGURATOR'!H27="N",0,1)</f>
        <v>1</v>
      </c>
      <c r="G32" s="141">
        <f>+A32</f>
        <v>1</v>
      </c>
      <c r="H32" s="12" t="str">
        <f>+'WORKCELL CONFIGURATOR'!G27</f>
        <v>Station 4</v>
      </c>
      <c r="I32" s="315" t="str">
        <f>+'WORKCELL CONFIGURATOR'!H27</f>
        <v>FCS300-ES-ND</v>
      </c>
      <c r="J32" s="315"/>
      <c r="K32" s="136">
        <f>+'WORKCELL CONFIGURATOR'!H28</f>
        <v>0</v>
      </c>
      <c r="L32" s="11" t="str">
        <f>+IFERROR(VLOOKUP(I32,MENU!B$4:I$90,$U$9,FALSE),"")</f>
        <v>612-2199-1</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3860</v>
      </c>
      <c r="S32" s="22">
        <f t="shared" si="0"/>
        <v>3860</v>
      </c>
    </row>
    <row r="33" spans="1:27" hidden="1" x14ac:dyDescent="0.25">
      <c r="A33" s="141">
        <v>0</v>
      </c>
      <c r="B33" s="141"/>
      <c r="C33" s="141"/>
      <c r="G33" s="141"/>
      <c r="H33" s="12"/>
      <c r="I33" s="315"/>
      <c r="J33" s="315"/>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5"/>
      <c r="J34" s="315"/>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5"/>
      <c r="J35" s="315"/>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5"/>
      <c r="J36" s="315"/>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5"/>
      <c r="J37" s="315"/>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5"/>
      <c r="J38" s="315"/>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
      </c>
      <c r="G39" s="141">
        <f>+A39</f>
        <v>1</v>
      </c>
      <c r="H39" s="12" t="str">
        <f>+'WORKCELL CONFIGURATOR'!G30</f>
        <v>Conveyor</v>
      </c>
      <c r="I39" s="315" t="str">
        <f>+'WORKCELL CONFIGURATOR'!H30</f>
        <v>Edge Chain Conveyor - Manual Adjust</v>
      </c>
      <c r="J39" s="315"/>
      <c r="K39" s="3"/>
      <c r="L39" s="11" t="str">
        <f>+IFERROR(VLOOKUP(I39,MENU!B$4:I$90,$U$9,FALSE),"")&amp;D39</f>
        <v>612-2996-11</v>
      </c>
      <c r="M39" s="247">
        <f>+IFERROR(VLOOKUP($I39,MENU!$B$4:$Y$100,14,FALSE),0)</f>
        <v>-75</v>
      </c>
      <c r="N39" s="247">
        <f>+IFERROR(VLOOKUP($I39,MENU!$B$4:$Y$100,15,FALSE),0)</f>
        <v>0</v>
      </c>
      <c r="O39" s="247">
        <f>+IFERROR(VLOOKUP($I39,MENU!$B$4:$Y$100,16,FALSE),0)*G39</f>
        <v>0</v>
      </c>
      <c r="P39" s="247">
        <f>+IFERROR(VLOOKUP($I39,MENU!$B$4:$Y$100,17,FALSE),0)</f>
        <v>0</v>
      </c>
      <c r="Q39" s="247">
        <f>+IFERROR(VLOOKUP($I39,MENU!$B$4:$Y$100,18,FALSE),0)</f>
        <v>0</v>
      </c>
      <c r="R39" s="147">
        <f>+IFERROR(VLOOKUP($I39,MENU!$B$4:$Y$100,21,FALSE),0)</f>
        <v>7725</v>
      </c>
      <c r="S39" s="22">
        <f t="shared" si="0"/>
        <v>7725</v>
      </c>
    </row>
    <row r="40" spans="1:27" hidden="1" x14ac:dyDescent="0.25">
      <c r="A40" s="141">
        <v>0</v>
      </c>
      <c r="B40" s="141"/>
      <c r="C40" s="141"/>
      <c r="G40" s="221">
        <f>+A40</f>
        <v>0</v>
      </c>
      <c r="H40" s="12" t="str">
        <f>+'WORKCELL CONFIGURATOR'!G31</f>
        <v>Direction</v>
      </c>
      <c r="I40" s="315">
        <f>+'WORKCELL CONFIGURATOR'!H31</f>
        <v>0</v>
      </c>
      <c r="J40" s="315"/>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5" t="str">
        <f>+'WORKCELL CONFIGURATOR'!H32</f>
        <v>Pin Locators</v>
      </c>
      <c r="J41" s="315"/>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0</v>
      </c>
      <c r="C42" s="141">
        <f>IF('WORKCELL CONFIGURATOR'!H33="N",0,1)</f>
        <v>1</v>
      </c>
      <c r="G42" s="221">
        <f>+A42</f>
        <v>0</v>
      </c>
      <c r="H42" s="12" t="s">
        <v>620</v>
      </c>
      <c r="I42" s="315">
        <f>+'WORKCELL CONFIGURATOR'!G33</f>
        <v>0</v>
      </c>
      <c r="J42" s="315"/>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5"/>
      <c r="J43" s="315"/>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x14ac:dyDescent="0.25">
      <c r="A44" s="141">
        <f>+B44*C44</f>
        <v>1</v>
      </c>
      <c r="B44" s="141">
        <f>IF('WORKCELL CONFIGURATOR'!H35="",0,1)</f>
        <v>1</v>
      </c>
      <c r="C44" s="141">
        <f>IF('WORKCELL CONFIGURATOR'!H35="N",0,1)</f>
        <v>1</v>
      </c>
      <c r="G44" s="141">
        <f>+A44</f>
        <v>1</v>
      </c>
      <c r="H44" s="12" t="str">
        <f>+'WORKCELL CONFIGURATOR'!G35</f>
        <v>Camera</v>
      </c>
      <c r="I44" s="315" t="str">
        <f>+'WORKCELL CONFIGURATOR'!H35</f>
        <v>Programming Camera</v>
      </c>
      <c r="J44" s="315"/>
      <c r="K44" s="3"/>
      <c r="L44" s="11" t="str">
        <f>+IFERROR(VLOOKUP(I44,MENU!B$4:I$90,$U$9,FALSE),"")</f>
        <v>612-1878-2</v>
      </c>
      <c r="M44" s="247">
        <f>+IFERROR(VLOOKUP($I44,MENU!$B$4:$Y$100,14,FALSE),0)</f>
        <v>0</v>
      </c>
      <c r="N44" s="247">
        <f>+IFERROR(VLOOKUP($I44,MENU!$B$4:$Y$100,15,FALSE),0)</f>
        <v>-85</v>
      </c>
      <c r="O44" s="247">
        <f>+IFERROR(VLOOKUP($I44,MENU!$B$4:$Y$100,16,FALSE),0)*G44</f>
        <v>0</v>
      </c>
      <c r="P44" s="247">
        <f>+IFERROR(VLOOKUP($I44,MENU!$B$4:$Y$100,17,FALSE),0)</f>
        <v>0</v>
      </c>
      <c r="Q44" s="247">
        <f>+IFERROR(VLOOKUP($I44,MENU!$B$4:$Y$100,18,FALSE),0)</f>
        <v>0</v>
      </c>
      <c r="R44" s="147">
        <f>+IFERROR(VLOOKUP($I44,MENU!$B$4:$Y$100,21,FALSE),0)</f>
        <v>2780</v>
      </c>
      <c r="S44" s="22">
        <f t="shared" si="0"/>
        <v>2780</v>
      </c>
    </row>
    <row r="45" spans="1:27" hidden="1" x14ac:dyDescent="0.25">
      <c r="A45" s="141">
        <v>0</v>
      </c>
      <c r="B45" s="141"/>
      <c r="C45" s="141"/>
      <c r="G45" s="141"/>
      <c r="H45" s="12"/>
      <c r="I45" s="315"/>
      <c r="J45" s="315"/>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0</v>
      </c>
      <c r="C46" s="141">
        <f>IF('WORKCELL CONFIGURATOR'!H37="N",0,1)</f>
        <v>1</v>
      </c>
      <c r="G46" s="141">
        <f>+A46</f>
        <v>0</v>
      </c>
      <c r="H46" s="12" t="str">
        <f>+'WORKCELL CONFIGURATOR'!G37</f>
        <v>Fan Width Sensor</v>
      </c>
      <c r="I46" s="315" t="str">
        <f>+H46</f>
        <v>Fan Width Sensor</v>
      </c>
      <c r="J46" s="315"/>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5" t="str">
        <f>+H47</f>
        <v>Fan Width Sensor with Continuous Film Calibration</v>
      </c>
      <c r="J47" s="315"/>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5" t="str">
        <f t="shared" ref="I48:I49" si="3">+H48</f>
        <v>Needle Calibration, 3 axis</v>
      </c>
      <c r="J48" s="315"/>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32" t="str">
        <f t="shared" si="3"/>
        <v>Black Light</v>
      </c>
      <c r="J49" s="332"/>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thickBot="1" x14ac:dyDescent="0.3">
      <c r="A50" s="115">
        <f>IF('WORKCELL CONFIGURATOR'!H$42="Y",1,0)</f>
        <v>1</v>
      </c>
      <c r="G50" s="153"/>
      <c r="H50" s="154"/>
      <c r="I50" s="318"/>
      <c r="J50" s="318"/>
      <c r="K50" s="151"/>
      <c r="L50" s="152"/>
      <c r="N50" s="148"/>
      <c r="O50" s="11"/>
      <c r="P50" s="247"/>
      <c r="Q50" s="141"/>
      <c r="R50" s="147"/>
      <c r="S50" s="22"/>
      <c r="X50" s="8"/>
      <c r="Y50" s="8"/>
      <c r="Z50" s="8"/>
      <c r="AA50" s="8"/>
    </row>
    <row r="51" spans="1:27" ht="22.5" thickTop="1" thickBot="1" x14ac:dyDescent="0.4">
      <c r="A51" s="115">
        <f>IF('WORKCELL CONFIGURATOR'!H$42="Y",1,0)</f>
        <v>1</v>
      </c>
      <c r="G51" s="158" t="s">
        <v>466</v>
      </c>
      <c r="H51" s="155"/>
      <c r="I51" s="319"/>
      <c r="J51" s="319"/>
      <c r="K51" s="149"/>
      <c r="L51" s="150" t="str">
        <f>+IFERROR(VLOOKUP(I51,MENU!B$4:I$90,$U$9,FALSE),"")</f>
        <v/>
      </c>
      <c r="N51" s="148"/>
      <c r="O51" s="11"/>
      <c r="P51" s="11"/>
      <c r="Q51" s="141"/>
      <c r="R51" s="147"/>
      <c r="S51" s="22"/>
      <c r="X51" s="8"/>
      <c r="Y51" s="8"/>
      <c r="Z51" s="8"/>
      <c r="AA51" s="8"/>
    </row>
    <row r="52" spans="1:27" ht="15.75" thickTop="1" x14ac:dyDescent="0.25">
      <c r="A52" s="141">
        <f>IF('WORKCELL CONFIGURATOR'!H$42="Y",1,0)</f>
        <v>1</v>
      </c>
      <c r="G52" s="124">
        <f>IF('WORKCELL CONFIGURATOR'!H$42="Y",1,0)</f>
        <v>1</v>
      </c>
      <c r="H52" s="12" t="str">
        <f>+'WORKCELL CONFIGURATOR'!G42</f>
        <v>Spare Parts</v>
      </c>
      <c r="I52" s="315" t="s">
        <v>485</v>
      </c>
      <c r="J52" s="315"/>
      <c r="K52" s="136"/>
      <c r="L52" s="11" t="str">
        <f>+IFERROR(VLOOKUP('WORKCELL CONFIGURATOR'!H4,MENU!B4:K5,10,FALSE),"")</f>
        <v>612-1957-1</v>
      </c>
      <c r="M52" s="148"/>
      <c r="N52" s="148"/>
      <c r="O52" s="11"/>
      <c r="P52" s="11"/>
      <c r="Q52" s="141"/>
      <c r="R52" s="147">
        <f>+MENU!V90</f>
        <v>3190</v>
      </c>
      <c r="S52" s="22">
        <f t="shared" si="0"/>
        <v>3190</v>
      </c>
      <c r="X52" s="8"/>
      <c r="Y52" s="8"/>
      <c r="Z52" s="8"/>
      <c r="AA52" s="8"/>
    </row>
    <row r="53" spans="1:27" x14ac:dyDescent="0.25">
      <c r="A53" s="243">
        <f t="shared" ref="A53:A59" si="4">+B53*C53*D53</f>
        <v>1</v>
      </c>
      <c r="B53" s="141">
        <f>IF('WORKCELL CONFIGURATOR'!H$42="Y",1,0)</f>
        <v>1</v>
      </c>
      <c r="C53">
        <f>IF('WORKCELL CONFIGURATOR'!H8="",0,1)</f>
        <v>1</v>
      </c>
      <c r="D53">
        <f>IF('WORKCELL CONFIGURATOR'!H8="N",0,1)</f>
        <v>1</v>
      </c>
      <c r="G53" s="141">
        <f t="shared" ref="G53:G59" si="5">+A53</f>
        <v>1</v>
      </c>
      <c r="H53" s="12" t="str">
        <f>+'WORKCELL CONFIGURATOR'!G8</f>
        <v>Material Reservoir - 1</v>
      </c>
      <c r="I53" s="315" t="str">
        <f>+'WORKCELL CONFIGURATOR'!H8</f>
        <v>2 Liter Bottle Pressure Reservoir with Scale</v>
      </c>
      <c r="J53" s="315"/>
      <c r="K53" s="136"/>
      <c r="L53" s="11" t="str">
        <f>+IFERROR(VLOOKUP(I53,MENU!B$4:K$90,10,FALSE),"")</f>
        <v>612-1970-1</v>
      </c>
      <c r="M53" s="148"/>
      <c r="N53" s="148"/>
      <c r="O53" s="11"/>
      <c r="P53" s="11"/>
      <c r="Q53" s="141"/>
      <c r="R53" s="147"/>
      <c r="S53" s="22"/>
      <c r="X53" s="8"/>
      <c r="Y53" s="8"/>
      <c r="Z53" s="8"/>
      <c r="AA53" s="8"/>
    </row>
    <row r="54" spans="1:27" x14ac:dyDescent="0.25">
      <c r="A54" s="243">
        <f t="shared" si="4"/>
        <v>1</v>
      </c>
      <c r="B54" s="141">
        <f>IF('WORKCELL CONFIGURATOR'!H$42="Y",1,0)</f>
        <v>1</v>
      </c>
      <c r="C54">
        <f>IF('WORKCELL CONFIGURATOR'!H13="",0,1)</f>
        <v>1</v>
      </c>
      <c r="D54">
        <f>IF('WORKCELL CONFIGURATOR'!H13="N",0,1)</f>
        <v>1</v>
      </c>
      <c r="G54" s="141">
        <f t="shared" si="5"/>
        <v>1</v>
      </c>
      <c r="H54" s="12" t="str">
        <f>+'WORKCELL CONFIGURATOR'!G13</f>
        <v>Material Reservoir - 2</v>
      </c>
      <c r="I54" s="315" t="str">
        <f>+'WORKCELL CONFIGURATOR'!H13</f>
        <v>2 Liter Bottle Pressure Reservoir</v>
      </c>
      <c r="J54" s="315"/>
      <c r="K54" s="136"/>
      <c r="L54" s="11" t="str">
        <f>+IFERROR(VLOOKUP(I54,MENU!B$4:K$90,10,FALSE),"")</f>
        <v>612-1969-1</v>
      </c>
      <c r="M54" s="148"/>
      <c r="N54" s="148"/>
      <c r="O54" s="11"/>
      <c r="P54" s="11"/>
      <c r="Q54" s="141"/>
      <c r="R54" s="147"/>
      <c r="S54" s="22"/>
      <c r="X54" s="8"/>
      <c r="Y54" s="8"/>
      <c r="Z54" s="8"/>
      <c r="AA54" s="8"/>
    </row>
    <row r="55" spans="1:27" hidden="1" x14ac:dyDescent="0.25">
      <c r="A55" s="243">
        <f t="shared" si="4"/>
        <v>0</v>
      </c>
      <c r="B55" s="141">
        <f>IF('WORKCELL CONFIGURATOR'!H$42="Y",1,0)</f>
        <v>1</v>
      </c>
      <c r="C55">
        <f>IF('WORKCELL CONFIGURATOR'!H10="",0,1)</f>
        <v>1</v>
      </c>
      <c r="D55">
        <f>IF('WORKCELL CONFIGURATOR'!H10="N",0,1)</f>
        <v>0</v>
      </c>
      <c r="G55" s="141">
        <f t="shared" si="5"/>
        <v>0</v>
      </c>
      <c r="H55" s="12" t="str">
        <f>+'WORKCELL CONFIGURATOR'!G10</f>
        <v>Solvent Flush - 1</v>
      </c>
      <c r="I55" s="315" t="str">
        <f>+'WORKCELL CONFIGURATOR'!H10</f>
        <v>N</v>
      </c>
      <c r="J55" s="315"/>
      <c r="K55" s="136"/>
      <c r="L55" s="11">
        <f>+IFERROR(VLOOKUP(I55,MENU!B$4:K$90,10,FALSE),"")</f>
        <v>0</v>
      </c>
      <c r="M55" s="148"/>
      <c r="N55" s="148"/>
      <c r="O55" s="11"/>
      <c r="P55" s="11"/>
      <c r="Q55" s="141"/>
      <c r="R55" s="147"/>
      <c r="S55" s="22"/>
    </row>
    <row r="56" spans="1:27" x14ac:dyDescent="0.25">
      <c r="A56" s="243">
        <f t="shared" si="4"/>
        <v>1</v>
      </c>
      <c r="B56" s="141">
        <f>IF('WORKCELL CONFIGURATOR'!H$42="Y",1,0)</f>
        <v>1</v>
      </c>
      <c r="C56">
        <f>IF('WORKCELL CONFIGURATOR'!H21="",0,1)</f>
        <v>1</v>
      </c>
      <c r="D56">
        <f>IF('WORKCELL CONFIGURATOR'!H21="N",0,1)</f>
        <v>1</v>
      </c>
      <c r="G56" s="141">
        <f t="shared" si="5"/>
        <v>1</v>
      </c>
      <c r="H56" s="12" t="str">
        <f>+'WORKCELL CONFIGURATOR'!G21</f>
        <v>Station 1</v>
      </c>
      <c r="I56" s="315" t="str">
        <f>+'WORKCELL CONFIGURATOR'!H21</f>
        <v>FC100-CF</v>
      </c>
      <c r="J56" s="315"/>
      <c r="K56" s="136"/>
      <c r="L56" s="11" t="str">
        <f>+IFERROR(VLOOKUP(I56,MENU!B$4:K$90,10,FALSE),"")</f>
        <v>612-1961-1</v>
      </c>
      <c r="M56" s="148"/>
      <c r="N56" s="148"/>
      <c r="O56" s="11"/>
      <c r="P56" s="11"/>
      <c r="Q56" s="141"/>
      <c r="R56" s="147"/>
      <c r="S56" s="22"/>
    </row>
    <row r="57" spans="1:27" x14ac:dyDescent="0.25">
      <c r="A57" s="243">
        <f t="shared" si="4"/>
        <v>1</v>
      </c>
      <c r="B57" s="141">
        <f>IF('WORKCELL CONFIGURATOR'!H$42="Y",1,0)</f>
        <v>1</v>
      </c>
      <c r="C57">
        <f>IF('WORKCELL CONFIGURATOR'!H23="",0,1)</f>
        <v>1</v>
      </c>
      <c r="D57">
        <f>IF('WORKCELL CONFIGURATOR'!H23="N",0,1)</f>
        <v>1</v>
      </c>
      <c r="G57" s="141">
        <f t="shared" si="5"/>
        <v>1</v>
      </c>
      <c r="H57" s="12" t="str">
        <f>+'WORKCELL CONFIGURATOR'!G23</f>
        <v>Station 2</v>
      </c>
      <c r="I57" s="315" t="str">
        <f>+'WORKCELL CONFIGURATOR'!H23</f>
        <v>FCS300-R</v>
      </c>
      <c r="J57" s="315"/>
      <c r="K57" s="136"/>
      <c r="L57" s="11" t="str">
        <f>+IFERROR(VLOOKUP(I57,MENU!B$4:K$90,10,FALSE),"")</f>
        <v>612-1963-1</v>
      </c>
      <c r="M57" s="148"/>
      <c r="N57" s="148"/>
      <c r="O57" s="11"/>
      <c r="P57" s="11"/>
      <c r="Q57" s="141"/>
      <c r="R57" s="147"/>
      <c r="S57" s="22"/>
    </row>
    <row r="58" spans="1:27" x14ac:dyDescent="0.25">
      <c r="A58" s="243">
        <f t="shared" si="4"/>
        <v>1</v>
      </c>
      <c r="B58" s="141">
        <f>IF('WORKCELL CONFIGURATOR'!H$42="Y",1,0)</f>
        <v>1</v>
      </c>
      <c r="C58">
        <f>IF('WORKCELL CONFIGURATOR'!H25="",0,1)</f>
        <v>1</v>
      </c>
      <c r="D58">
        <f>IF('WORKCELL CONFIGURATOR'!H25="N",0,1)</f>
        <v>1</v>
      </c>
      <c r="G58" s="141">
        <f t="shared" si="5"/>
        <v>1</v>
      </c>
      <c r="H58" s="12" t="str">
        <f>+'WORKCELL CONFIGURATOR'!G25</f>
        <v>Station 3</v>
      </c>
      <c r="I58" s="315" t="str">
        <f>+'WORKCELL CONFIGURATOR'!H25</f>
        <v>FC100-C4, 23g</v>
      </c>
      <c r="J58" s="315"/>
      <c r="K58" s="136"/>
      <c r="L58" s="11" t="str">
        <f>+IFERROR(VLOOKUP(I58,MENU!B$4:K$90,10,FALSE),"")</f>
        <v>612-2161-1</v>
      </c>
      <c r="M58" s="148"/>
      <c r="N58" s="148"/>
      <c r="O58" s="11"/>
      <c r="P58" s="11"/>
      <c r="Q58" s="141"/>
      <c r="R58" s="147"/>
      <c r="S58" s="22"/>
    </row>
    <row r="59" spans="1:27" x14ac:dyDescent="0.25">
      <c r="A59" s="243">
        <f t="shared" si="4"/>
        <v>1</v>
      </c>
      <c r="B59" s="141">
        <f>IF('WORKCELL CONFIGURATOR'!H$42="Y",1,0)</f>
        <v>1</v>
      </c>
      <c r="C59">
        <f>IF('WORKCELL CONFIGURATOR'!H27="",0,1)</f>
        <v>1</v>
      </c>
      <c r="D59">
        <f>IF('WORKCELL CONFIGURATOR'!H27="N",0,1)</f>
        <v>1</v>
      </c>
      <c r="G59" s="141">
        <f t="shared" si="5"/>
        <v>1</v>
      </c>
      <c r="H59" s="12" t="str">
        <f>+'WORKCELL CONFIGURATOR'!G27</f>
        <v>Station 4</v>
      </c>
      <c r="I59" s="315" t="str">
        <f>+'WORKCELL CONFIGURATOR'!H27</f>
        <v>FCS300-ES-ND</v>
      </c>
      <c r="J59" s="315"/>
      <c r="K59" s="136"/>
      <c r="L59" s="11" t="str">
        <f>+IFERROR(VLOOKUP(I59,MENU!B$4:K$90,10,FALSE),"")</f>
        <v>612-2200-1</v>
      </c>
      <c r="M59" s="148"/>
      <c r="N59" s="148"/>
      <c r="O59" s="11"/>
      <c r="P59" s="11"/>
      <c r="Q59" s="141"/>
      <c r="R59" s="147"/>
      <c r="S59" s="22"/>
    </row>
    <row r="60" spans="1:27" ht="15.75" hidden="1" thickBot="1" x14ac:dyDescent="0.3">
      <c r="A60" s="40">
        <f>IF(MAX($G$62:$G$66)&gt;0,1,0)</f>
        <v>0</v>
      </c>
      <c r="G60" s="153"/>
      <c r="H60" s="154"/>
      <c r="I60" s="318"/>
      <c r="J60" s="318"/>
      <c r="K60" s="151"/>
      <c r="L60" s="152"/>
      <c r="N60" s="148"/>
      <c r="O60" s="11"/>
      <c r="P60" s="11"/>
      <c r="Q60" s="198"/>
      <c r="R60" s="147"/>
      <c r="S60" s="22"/>
    </row>
    <row r="61" spans="1:27" ht="21.75" hidden="1" thickBot="1" x14ac:dyDescent="0.4">
      <c r="A61" s="40">
        <f>IF(MAX($G$62:$G$66)&gt;0,1,0)</f>
        <v>0</v>
      </c>
      <c r="G61" s="158" t="s">
        <v>526</v>
      </c>
      <c r="H61" s="155"/>
      <c r="I61" s="319"/>
      <c r="J61" s="319"/>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5"/>
      <c r="J62" s="315"/>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5" t="str">
        <f>+'WORKCELL CONFIGURATOR'!H44</f>
        <v>N</v>
      </c>
      <c r="J63" s="315"/>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5">
        <f>+'WORKCELL CONFIGURATOR'!H45</f>
        <v>0</v>
      </c>
      <c r="J64" s="315"/>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5">
        <f>+'WORKCELL CONFIGURATOR'!H46</f>
        <v>0</v>
      </c>
      <c r="J65" s="315"/>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5">
        <f>+'WORKCELL CONFIGURATOR'!H47</f>
        <v>0</v>
      </c>
      <c r="J66" s="315"/>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5"/>
      <c r="J67" s="315"/>
      <c r="K67" s="136"/>
      <c r="L67" s="11"/>
      <c r="N67" s="148"/>
      <c r="O67" s="11"/>
      <c r="P67" s="11"/>
      <c r="Q67" s="141"/>
      <c r="R67" s="147"/>
      <c r="S67" s="22"/>
    </row>
    <row r="68" spans="1:20" x14ac:dyDescent="0.25">
      <c r="G68" s="320" t="s">
        <v>333</v>
      </c>
      <c r="H68" s="320"/>
      <c r="I68" s="320"/>
      <c r="J68" s="320"/>
      <c r="K68" s="320" t="s">
        <v>218</v>
      </c>
      <c r="L68" s="320"/>
      <c r="M68" s="244">
        <f>SUM(M9:M49)</f>
        <v>322</v>
      </c>
      <c r="N68" s="244">
        <f t="shared" ref="N68:P68" si="9">SUM(N9:N49)</f>
        <v>265</v>
      </c>
      <c r="O68" s="244">
        <f t="shared" si="9"/>
        <v>111</v>
      </c>
      <c r="P68" s="244">
        <f t="shared" si="9"/>
        <v>3</v>
      </c>
      <c r="Q68" s="244">
        <f>+SUM(Q9:Q49)</f>
        <v>4</v>
      </c>
      <c r="R68" s="22"/>
      <c r="S68" s="23">
        <f>SUM(S9:S67)</f>
        <v>73995</v>
      </c>
    </row>
    <row r="69" spans="1:20" x14ac:dyDescent="0.25">
      <c r="G69" s="320"/>
      <c r="H69" s="320"/>
      <c r="I69" s="320"/>
      <c r="J69" s="320"/>
      <c r="K69" s="320"/>
      <c r="L69" s="320"/>
      <c r="R69" s="22"/>
      <c r="S69" s="22"/>
    </row>
    <row r="70" spans="1:20" x14ac:dyDescent="0.25">
      <c r="G70" s="320" t="s">
        <v>334</v>
      </c>
      <c r="H70" s="320"/>
      <c r="I70" s="320"/>
      <c r="J70" s="320"/>
      <c r="K70" s="320" t="s">
        <v>218</v>
      </c>
      <c r="L70" s="320"/>
      <c r="O70" s="245" t="s">
        <v>613</v>
      </c>
      <c r="P70" s="246">
        <f>IF(P68&gt;4,8,4)</f>
        <v>4</v>
      </c>
      <c r="R70" s="22"/>
      <c r="S70" s="22"/>
    </row>
    <row r="71" spans="1:20" x14ac:dyDescent="0.25">
      <c r="G71" s="320"/>
      <c r="H71" s="320"/>
      <c r="I71" s="320"/>
      <c r="J71" s="320"/>
      <c r="K71" s="320"/>
      <c r="L71" s="320"/>
      <c r="R71" s="22"/>
      <c r="S71" s="22"/>
    </row>
    <row r="72" spans="1:20" x14ac:dyDescent="0.25">
      <c r="G72" s="320" t="s">
        <v>332</v>
      </c>
      <c r="H72" s="320"/>
      <c r="I72" s="320"/>
      <c r="J72" s="320"/>
      <c r="K72" s="320" t="s">
        <v>218</v>
      </c>
      <c r="L72" s="320"/>
      <c r="R72" s="22"/>
      <c r="S72" s="22"/>
    </row>
    <row r="73" spans="1:20" x14ac:dyDescent="0.25">
      <c r="G73" s="320"/>
      <c r="H73" s="320"/>
      <c r="I73" s="320"/>
      <c r="J73" s="320"/>
      <c r="K73" s="320"/>
      <c r="L73" s="320"/>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92" t="s">
        <v>210</v>
      </c>
      <c r="B1" s="393"/>
      <c r="C1" s="393"/>
      <c r="D1" s="393"/>
      <c r="E1" s="393"/>
      <c r="F1" s="393"/>
      <c r="G1" s="393"/>
      <c r="H1" s="393"/>
      <c r="I1" s="393"/>
      <c r="J1" s="393"/>
      <c r="K1" s="394"/>
      <c r="L1" s="388" t="s">
        <v>298</v>
      </c>
      <c r="M1" s="388"/>
      <c r="N1" s="388"/>
      <c r="O1" s="388"/>
      <c r="P1" s="388"/>
      <c r="Q1" s="388"/>
      <c r="R1" s="388"/>
      <c r="S1" s="388"/>
      <c r="T1" s="388"/>
      <c r="U1" s="388"/>
      <c r="V1" s="388"/>
    </row>
    <row r="2" spans="1:22" ht="15" customHeight="1" x14ac:dyDescent="0.25">
      <c r="A2" s="395"/>
      <c r="B2" s="396"/>
      <c r="C2" s="396"/>
      <c r="D2" s="396"/>
      <c r="E2" s="396"/>
      <c r="F2" s="396"/>
      <c r="G2" s="396"/>
      <c r="H2" s="396"/>
      <c r="I2" s="396"/>
      <c r="J2" s="396"/>
      <c r="K2" s="397"/>
      <c r="L2" s="388"/>
      <c r="M2" s="388"/>
      <c r="N2" s="388"/>
      <c r="O2" s="388"/>
      <c r="P2" s="388"/>
      <c r="Q2" s="388"/>
      <c r="R2" s="388"/>
      <c r="S2" s="388"/>
      <c r="T2" s="388"/>
      <c r="U2" s="388"/>
      <c r="V2" s="388"/>
    </row>
    <row r="3" spans="1:22" x14ac:dyDescent="0.25">
      <c r="A3" s="51" t="s">
        <v>212</v>
      </c>
      <c r="B3" s="381" t="str">
        <f>+'WORKCELL CONFIGURATOR'!$H$4</f>
        <v>Delta 6</v>
      </c>
      <c r="C3" s="381"/>
      <c r="D3" s="381"/>
      <c r="E3" s="381"/>
      <c r="F3" s="52" t="s">
        <v>214</v>
      </c>
      <c r="G3" s="381" t="str">
        <f>+'WORKCELL CONFIGURATOR'!$H$57</f>
        <v>Global Engineering</v>
      </c>
      <c r="H3" s="381"/>
      <c r="I3" s="381"/>
      <c r="J3" s="381"/>
      <c r="K3" s="381"/>
      <c r="L3" s="51" t="s">
        <v>212</v>
      </c>
      <c r="M3" s="381" t="str">
        <f>+'WORKCELL CONFIGURATOR'!$H$4</f>
        <v>Delta 6</v>
      </c>
      <c r="N3" s="381"/>
      <c r="O3" s="381"/>
      <c r="P3" s="381"/>
      <c r="Q3" s="52" t="s">
        <v>214</v>
      </c>
      <c r="R3" s="381" t="str">
        <f>+'WORKCELL CONFIGURATOR'!$H$57</f>
        <v>Global Engineering</v>
      </c>
      <c r="S3" s="381"/>
      <c r="T3" s="381"/>
      <c r="U3" s="381"/>
      <c r="V3" s="381"/>
    </row>
    <row r="4" spans="1:22" x14ac:dyDescent="0.25">
      <c r="A4" s="51" t="s">
        <v>213</v>
      </c>
      <c r="B4" s="381" t="str">
        <f>+'WORKCELL BOM'!$L$2</f>
        <v>GLBE4722</v>
      </c>
      <c r="C4" s="381"/>
      <c r="D4" s="381"/>
      <c r="E4" s="381"/>
      <c r="F4" s="52" t="s">
        <v>215</v>
      </c>
      <c r="G4" s="381" t="str">
        <f>+'WORKCELL BOM'!$L$3</f>
        <v>S1087</v>
      </c>
      <c r="H4" s="381"/>
      <c r="I4" s="381"/>
      <c r="J4" s="381"/>
      <c r="K4" s="381"/>
      <c r="L4" s="51" t="s">
        <v>213</v>
      </c>
      <c r="M4" s="381" t="s">
        <v>669</v>
      </c>
      <c r="N4" s="381"/>
      <c r="O4" s="381"/>
      <c r="P4" s="381"/>
      <c r="Q4" s="52" t="s">
        <v>215</v>
      </c>
      <c r="R4" s="381" t="str">
        <f>+'WORKCELL BOM'!$L$3</f>
        <v>S1087</v>
      </c>
      <c r="S4" s="381"/>
      <c r="T4" s="381"/>
      <c r="U4" s="381"/>
      <c r="V4" s="381"/>
    </row>
    <row r="6" spans="1:22" x14ac:dyDescent="0.25">
      <c r="A6" s="59" t="s">
        <v>564</v>
      </c>
      <c r="B6" s="60"/>
      <c r="C6" s="60"/>
      <c r="D6" s="60"/>
      <c r="E6" s="60"/>
      <c r="F6" s="60"/>
      <c r="G6" s="60"/>
      <c r="H6" s="60"/>
      <c r="I6" s="60"/>
      <c r="J6" s="60"/>
      <c r="K6" s="61"/>
      <c r="L6" s="388" t="s">
        <v>220</v>
      </c>
      <c r="M6" s="388"/>
      <c r="N6" s="388"/>
      <c r="O6" s="388"/>
      <c r="P6" s="388"/>
      <c r="Q6" s="388"/>
      <c r="R6" s="388"/>
      <c r="S6" s="388"/>
      <c r="T6" s="388"/>
      <c r="U6" s="388"/>
      <c r="V6" s="388"/>
    </row>
    <row r="7" spans="1:22" x14ac:dyDescent="0.25">
      <c r="A7" s="56" t="s">
        <v>222</v>
      </c>
      <c r="B7" s="382" t="s">
        <v>223</v>
      </c>
      <c r="C7" s="382"/>
      <c r="D7" s="382"/>
      <c r="E7" s="382"/>
      <c r="F7" s="58" t="s">
        <v>222</v>
      </c>
      <c r="G7" s="382" t="s">
        <v>227</v>
      </c>
      <c r="H7" s="382"/>
      <c r="I7" s="382"/>
      <c r="J7" s="382"/>
      <c r="K7" s="30"/>
      <c r="L7" s="388"/>
      <c r="M7" s="388"/>
      <c r="N7" s="388"/>
      <c r="O7" s="388"/>
      <c r="P7" s="388"/>
      <c r="Q7" s="388"/>
      <c r="R7" s="388"/>
      <c r="S7" s="388"/>
      <c r="T7" s="388"/>
      <c r="U7" s="388"/>
      <c r="V7" s="388"/>
    </row>
    <row r="8" spans="1:22" x14ac:dyDescent="0.25">
      <c r="A8" s="56" t="s">
        <v>222</v>
      </c>
      <c r="B8" s="382" t="s">
        <v>224</v>
      </c>
      <c r="C8" s="382"/>
      <c r="D8" s="382"/>
      <c r="E8" s="382"/>
      <c r="F8" s="58" t="s">
        <v>222</v>
      </c>
      <c r="G8" s="382" t="s">
        <v>228</v>
      </c>
      <c r="H8" s="382"/>
      <c r="I8" s="382"/>
      <c r="J8" s="382"/>
      <c r="K8" s="30"/>
      <c r="L8" s="50" t="s">
        <v>217</v>
      </c>
      <c r="M8" s="50" t="s">
        <v>218</v>
      </c>
      <c r="N8" s="50" t="s">
        <v>549</v>
      </c>
      <c r="O8" s="389" t="s">
        <v>106</v>
      </c>
      <c r="P8" s="390"/>
      <c r="Q8" s="390"/>
      <c r="R8" s="390"/>
      <c r="S8" s="390"/>
      <c r="T8" s="391"/>
      <c r="U8" s="50" t="s">
        <v>219</v>
      </c>
      <c r="V8" s="50" t="s">
        <v>218</v>
      </c>
    </row>
    <row r="9" spans="1:22" x14ac:dyDescent="0.25">
      <c r="A9" s="56" t="s">
        <v>222</v>
      </c>
      <c r="B9" s="382" t="s">
        <v>225</v>
      </c>
      <c r="C9" s="382"/>
      <c r="D9" s="382"/>
      <c r="E9" s="382"/>
      <c r="F9" s="58" t="s">
        <v>222</v>
      </c>
      <c r="G9" s="382" t="s">
        <v>229</v>
      </c>
      <c r="H9" s="382"/>
      <c r="I9" s="382"/>
      <c r="J9" s="382"/>
      <c r="K9" s="30"/>
      <c r="L9" s="49"/>
      <c r="M9" s="49"/>
      <c r="N9" s="206"/>
      <c r="O9" s="287"/>
      <c r="P9" s="288"/>
      <c r="Q9" s="288"/>
      <c r="R9" s="288"/>
      <c r="S9" s="288"/>
      <c r="T9" s="289"/>
      <c r="U9" s="49"/>
      <c r="V9" s="49"/>
    </row>
    <row r="10" spans="1:22" x14ac:dyDescent="0.25">
      <c r="A10" s="56" t="s">
        <v>222</v>
      </c>
      <c r="B10" s="382" t="s">
        <v>226</v>
      </c>
      <c r="C10" s="382"/>
      <c r="D10" s="382"/>
      <c r="E10" s="382"/>
      <c r="F10" s="58" t="s">
        <v>222</v>
      </c>
      <c r="G10" s="382" t="s">
        <v>230</v>
      </c>
      <c r="H10" s="382"/>
      <c r="I10" s="382"/>
      <c r="J10" s="382"/>
      <c r="K10" s="30"/>
      <c r="L10" s="49"/>
      <c r="M10" s="49"/>
      <c r="N10" s="206"/>
      <c r="O10" s="287"/>
      <c r="P10" s="288"/>
      <c r="Q10" s="288"/>
      <c r="R10" s="288"/>
      <c r="S10" s="288"/>
      <c r="T10" s="289"/>
      <c r="U10" s="49"/>
      <c r="V10" s="49"/>
    </row>
    <row r="11" spans="1:22" x14ac:dyDescent="0.25">
      <c r="A11" s="62" t="s">
        <v>306</v>
      </c>
      <c r="B11" s="63"/>
      <c r="C11" s="63"/>
      <c r="D11" s="63"/>
      <c r="E11" s="63"/>
      <c r="F11" s="60"/>
      <c r="G11" s="60"/>
      <c r="H11" s="60"/>
      <c r="I11" s="60"/>
      <c r="J11" s="60"/>
      <c r="K11" s="61"/>
      <c r="L11" s="49"/>
      <c r="M11" s="49"/>
      <c r="N11" s="206"/>
      <c r="O11" s="287"/>
      <c r="P11" s="288"/>
      <c r="Q11" s="288"/>
      <c r="R11" s="288"/>
      <c r="S11" s="288"/>
      <c r="T11" s="289"/>
      <c r="U11" s="49"/>
      <c r="V11" s="49"/>
    </row>
    <row r="12" spans="1:22" x14ac:dyDescent="0.25">
      <c r="A12" s="398" t="s">
        <v>232</v>
      </c>
      <c r="B12" s="399" t="s">
        <v>234</v>
      </c>
      <c r="C12" s="399"/>
      <c r="D12" s="399"/>
      <c r="E12" s="399"/>
      <c r="G12" s="398" t="s">
        <v>235</v>
      </c>
      <c r="H12" s="399" t="s">
        <v>234</v>
      </c>
      <c r="I12" s="399"/>
      <c r="J12" s="399"/>
      <c r="K12" s="399"/>
      <c r="L12" s="49"/>
      <c r="M12" s="49"/>
      <c r="N12" s="206"/>
      <c r="O12" s="287"/>
      <c r="P12" s="288"/>
      <c r="Q12" s="288"/>
      <c r="R12" s="288"/>
      <c r="S12" s="288"/>
      <c r="T12" s="289"/>
      <c r="U12" s="49"/>
      <c r="V12" s="49"/>
    </row>
    <row r="13" spans="1:22" x14ac:dyDescent="0.25">
      <c r="A13" s="398"/>
      <c r="B13" s="399"/>
      <c r="C13" s="399"/>
      <c r="D13" s="399"/>
      <c r="E13" s="399"/>
      <c r="G13" s="398"/>
      <c r="H13" s="399"/>
      <c r="I13" s="399"/>
      <c r="J13" s="399"/>
      <c r="K13" s="399"/>
      <c r="L13" s="49"/>
      <c r="M13" s="49"/>
      <c r="N13" s="206"/>
      <c r="O13" s="287"/>
      <c r="P13" s="288"/>
      <c r="Q13" s="288"/>
      <c r="R13" s="288"/>
      <c r="S13" s="288"/>
      <c r="T13" s="289"/>
      <c r="U13" s="49"/>
      <c r="V13" s="49"/>
    </row>
    <row r="14" spans="1:22" x14ac:dyDescent="0.25">
      <c r="A14" s="398" t="s">
        <v>233</v>
      </c>
      <c r="B14" s="399" t="s">
        <v>234</v>
      </c>
      <c r="C14" s="399"/>
      <c r="D14" s="399"/>
      <c r="E14" s="399"/>
      <c r="G14" s="398" t="s">
        <v>236</v>
      </c>
      <c r="H14" s="399" t="s">
        <v>234</v>
      </c>
      <c r="I14" s="399"/>
      <c r="J14" s="399"/>
      <c r="K14" s="399"/>
      <c r="L14" s="49"/>
      <c r="M14" s="49"/>
      <c r="N14" s="206"/>
      <c r="O14" s="287"/>
      <c r="P14" s="288"/>
      <c r="Q14" s="288"/>
      <c r="R14" s="288"/>
      <c r="S14" s="288"/>
      <c r="T14" s="289"/>
      <c r="U14" s="49"/>
      <c r="V14" s="49"/>
    </row>
    <row r="15" spans="1:22" x14ac:dyDescent="0.25">
      <c r="A15" s="398"/>
      <c r="B15" s="399"/>
      <c r="C15" s="399"/>
      <c r="D15" s="399"/>
      <c r="E15" s="399"/>
      <c r="G15" s="398"/>
      <c r="H15" s="399"/>
      <c r="I15" s="399"/>
      <c r="J15" s="399"/>
      <c r="K15" s="399"/>
      <c r="L15" s="49"/>
      <c r="M15" s="49"/>
      <c r="N15" s="206"/>
      <c r="O15" s="287"/>
      <c r="P15" s="288"/>
      <c r="Q15" s="288"/>
      <c r="R15" s="288"/>
      <c r="S15" s="288"/>
      <c r="T15" s="289"/>
      <c r="U15" s="49"/>
      <c r="V15" s="49"/>
    </row>
    <row r="16" spans="1:22" x14ac:dyDescent="0.25">
      <c r="A16" s="333" t="s">
        <v>231</v>
      </c>
      <c r="B16" s="334"/>
      <c r="C16" s="334"/>
      <c r="D16" s="334"/>
      <c r="E16" s="334"/>
      <c r="F16" s="334"/>
      <c r="G16" s="334"/>
      <c r="H16" s="335"/>
      <c r="I16" s="333" t="s">
        <v>168</v>
      </c>
      <c r="J16" s="334"/>
      <c r="K16" s="335"/>
      <c r="L16" s="49"/>
      <c r="M16" s="49"/>
      <c r="N16" s="206"/>
      <c r="O16" s="287"/>
      <c r="P16" s="288"/>
      <c r="Q16" s="288"/>
      <c r="R16" s="288"/>
      <c r="S16" s="288"/>
      <c r="T16" s="289"/>
      <c r="U16" s="49"/>
      <c r="V16" s="49"/>
    </row>
    <row r="17" spans="1:22" x14ac:dyDescent="0.25">
      <c r="A17" s="336"/>
      <c r="B17" s="337"/>
      <c r="C17" s="337"/>
      <c r="D17" s="337"/>
      <c r="E17" s="337"/>
      <c r="F17" s="337"/>
      <c r="G17" s="337"/>
      <c r="H17" s="338"/>
      <c r="I17" s="336"/>
      <c r="J17" s="337"/>
      <c r="K17" s="338"/>
      <c r="L17" s="49"/>
      <c r="M17" s="49"/>
      <c r="N17" s="206"/>
      <c r="O17" s="287"/>
      <c r="P17" s="288"/>
      <c r="Q17" s="288"/>
      <c r="R17" s="288"/>
      <c r="S17" s="288"/>
      <c r="T17" s="289"/>
      <c r="U17" s="49"/>
      <c r="V17" s="49"/>
    </row>
    <row r="18" spans="1:22" x14ac:dyDescent="0.25">
      <c r="L18" s="49"/>
      <c r="M18" s="49"/>
      <c r="N18" s="206"/>
      <c r="O18" s="287"/>
      <c r="P18" s="288"/>
      <c r="Q18" s="288"/>
      <c r="R18" s="288"/>
      <c r="S18" s="288"/>
      <c r="T18" s="289"/>
      <c r="U18" s="49"/>
      <c r="V18" s="49"/>
    </row>
    <row r="19" spans="1:22" x14ac:dyDescent="0.25">
      <c r="A19" s="68" t="s">
        <v>243</v>
      </c>
      <c r="B19" s="69"/>
      <c r="C19" s="69"/>
      <c r="D19" s="69"/>
      <c r="E19" s="69"/>
      <c r="F19" s="69"/>
      <c r="G19" s="69"/>
      <c r="H19" s="69"/>
      <c r="I19" s="69"/>
      <c r="J19" s="69"/>
      <c r="K19" s="70"/>
      <c r="L19" s="49"/>
      <c r="M19" s="49"/>
      <c r="N19" s="206"/>
      <c r="O19" s="287"/>
      <c r="P19" s="288"/>
      <c r="Q19" s="288"/>
      <c r="R19" s="288"/>
      <c r="S19" s="288"/>
      <c r="T19" s="289"/>
      <c r="U19" s="49"/>
      <c r="V19" s="49"/>
    </row>
    <row r="20" spans="1:22" x14ac:dyDescent="0.25">
      <c r="A20" s="56" t="s">
        <v>222</v>
      </c>
      <c r="B20" s="400" t="s">
        <v>253</v>
      </c>
      <c r="C20" s="400"/>
      <c r="D20" s="400"/>
      <c r="E20" s="400"/>
      <c r="F20" s="58" t="s">
        <v>222</v>
      </c>
      <c r="G20" s="57" t="s">
        <v>248</v>
      </c>
      <c r="H20" s="57"/>
      <c r="I20" s="57"/>
      <c r="J20" s="57"/>
      <c r="K20" s="30"/>
      <c r="L20" s="49"/>
      <c r="M20" s="49"/>
      <c r="N20" s="206"/>
      <c r="O20" s="287"/>
      <c r="P20" s="288"/>
      <c r="Q20" s="288"/>
      <c r="R20" s="288"/>
      <c r="S20" s="288"/>
      <c r="T20" s="289"/>
      <c r="U20" s="49"/>
      <c r="V20" s="49"/>
    </row>
    <row r="21" spans="1:22" x14ac:dyDescent="0.25">
      <c r="A21" s="56" t="s">
        <v>222</v>
      </c>
      <c r="B21" s="382" t="s">
        <v>245</v>
      </c>
      <c r="C21" s="382"/>
      <c r="D21" s="382"/>
      <c r="E21" s="382"/>
      <c r="F21" s="58" t="s">
        <v>222</v>
      </c>
      <c r="G21" s="382" t="s">
        <v>249</v>
      </c>
      <c r="H21" s="382"/>
      <c r="I21" s="382"/>
      <c r="J21" s="382"/>
      <c r="K21" s="30"/>
      <c r="L21" s="49"/>
      <c r="M21" s="49"/>
      <c r="N21" s="206"/>
      <c r="O21" s="287"/>
      <c r="P21" s="288"/>
      <c r="Q21" s="288"/>
      <c r="R21" s="288"/>
      <c r="S21" s="288"/>
      <c r="T21" s="289"/>
      <c r="U21" s="49"/>
      <c r="V21" s="49"/>
    </row>
    <row r="22" spans="1:22" x14ac:dyDescent="0.25">
      <c r="A22" s="56" t="s">
        <v>222</v>
      </c>
      <c r="B22" s="382" t="s">
        <v>246</v>
      </c>
      <c r="C22" s="382"/>
      <c r="D22" s="382"/>
      <c r="E22" s="382"/>
      <c r="F22" s="58" t="s">
        <v>222</v>
      </c>
      <c r="G22" s="57" t="s">
        <v>250</v>
      </c>
      <c r="H22" s="57"/>
      <c r="I22" s="57"/>
      <c r="J22" s="57"/>
      <c r="K22" s="30"/>
      <c r="L22" s="49"/>
      <c r="M22" s="49"/>
      <c r="N22" s="206"/>
      <c r="O22" s="287"/>
      <c r="P22" s="288"/>
      <c r="Q22" s="288"/>
      <c r="R22" s="288"/>
      <c r="S22" s="288"/>
      <c r="T22" s="289"/>
      <c r="U22" s="49"/>
      <c r="V22" s="49"/>
    </row>
    <row r="23" spans="1:22" x14ac:dyDescent="0.25">
      <c r="A23" s="56" t="s">
        <v>222</v>
      </c>
      <c r="B23" s="382" t="s">
        <v>247</v>
      </c>
      <c r="C23" s="382"/>
      <c r="D23" s="382"/>
      <c r="E23" s="382"/>
      <c r="F23" s="58" t="s">
        <v>222</v>
      </c>
      <c r="G23" s="57" t="s">
        <v>275</v>
      </c>
      <c r="H23" s="57"/>
      <c r="I23" s="57"/>
      <c r="J23" s="57"/>
      <c r="K23" s="30"/>
      <c r="L23" s="49"/>
      <c r="M23" s="49"/>
      <c r="N23" s="206"/>
      <c r="O23" s="287"/>
      <c r="P23" s="288"/>
      <c r="Q23" s="288"/>
      <c r="R23" s="288"/>
      <c r="S23" s="288"/>
      <c r="T23" s="289"/>
      <c r="U23" s="49"/>
      <c r="V23" s="49"/>
    </row>
    <row r="24" spans="1:22" x14ac:dyDescent="0.25">
      <c r="A24" s="56" t="s">
        <v>222</v>
      </c>
      <c r="B24" s="382" t="s">
        <v>251</v>
      </c>
      <c r="C24" s="382"/>
      <c r="D24" s="382"/>
      <c r="E24" s="382"/>
      <c r="F24" s="58" t="s">
        <v>222</v>
      </c>
      <c r="G24" s="57" t="s">
        <v>252</v>
      </c>
      <c r="H24" s="57"/>
      <c r="I24" s="57"/>
      <c r="J24" s="57"/>
      <c r="K24" s="30"/>
      <c r="L24" s="49"/>
      <c r="M24" s="49"/>
      <c r="N24" s="206"/>
      <c r="O24" s="287"/>
      <c r="P24" s="288"/>
      <c r="Q24" s="288"/>
      <c r="R24" s="288"/>
      <c r="S24" s="288"/>
      <c r="T24" s="289"/>
      <c r="U24" s="49"/>
      <c r="V24" s="49"/>
    </row>
    <row r="25" spans="1:22" x14ac:dyDescent="0.25">
      <c r="A25" s="68" t="s">
        <v>244</v>
      </c>
      <c r="B25" s="69"/>
      <c r="C25" s="69"/>
      <c r="D25" s="69"/>
      <c r="E25" s="69"/>
      <c r="F25" s="69"/>
      <c r="G25" s="69"/>
      <c r="H25" s="69"/>
      <c r="I25" s="69"/>
      <c r="J25" s="69"/>
      <c r="K25" s="70"/>
      <c r="L25" s="49"/>
      <c r="M25" s="49"/>
      <c r="N25" s="206"/>
      <c r="O25" s="287"/>
      <c r="P25" s="288"/>
      <c r="Q25" s="288"/>
      <c r="R25" s="288"/>
      <c r="S25" s="288"/>
      <c r="T25" s="289"/>
      <c r="U25" s="49"/>
      <c r="V25" s="49"/>
    </row>
    <row r="26" spans="1:22" x14ac:dyDescent="0.25">
      <c r="A26" s="56" t="s">
        <v>222</v>
      </c>
      <c r="B26" s="57" t="s">
        <v>254</v>
      </c>
      <c r="C26" s="57"/>
      <c r="D26" s="57"/>
      <c r="E26" s="57"/>
      <c r="F26" s="58" t="s">
        <v>222</v>
      </c>
      <c r="G26" s="57" t="s">
        <v>277</v>
      </c>
      <c r="H26" s="57"/>
      <c r="I26" s="57"/>
      <c r="J26" s="57"/>
      <c r="K26" s="30"/>
      <c r="L26" s="49"/>
      <c r="M26" s="49"/>
      <c r="N26" s="206"/>
      <c r="O26" s="287"/>
      <c r="P26" s="288"/>
      <c r="Q26" s="288"/>
      <c r="R26" s="288"/>
      <c r="S26" s="288"/>
      <c r="T26" s="289"/>
      <c r="U26" s="49"/>
      <c r="V26" s="49"/>
    </row>
    <row r="27" spans="1:22" x14ac:dyDescent="0.25">
      <c r="A27" s="56" t="s">
        <v>222</v>
      </c>
      <c r="B27" s="71" t="s">
        <v>255</v>
      </c>
      <c r="C27" s="57"/>
      <c r="D27" s="57"/>
      <c r="E27" s="57"/>
      <c r="F27" s="58" t="s">
        <v>222</v>
      </c>
      <c r="G27" s="57" t="s">
        <v>257</v>
      </c>
      <c r="H27" s="57"/>
      <c r="I27" s="57"/>
      <c r="J27" s="57"/>
      <c r="K27" s="30"/>
      <c r="L27" s="49"/>
      <c r="M27" s="49"/>
      <c r="N27" s="206"/>
      <c r="O27" s="287"/>
      <c r="P27" s="288"/>
      <c r="Q27" s="288"/>
      <c r="R27" s="288"/>
      <c r="S27" s="288"/>
      <c r="T27" s="289"/>
      <c r="U27" s="49"/>
      <c r="V27" s="49"/>
    </row>
    <row r="28" spans="1:22" x14ac:dyDescent="0.25">
      <c r="A28" s="56" t="s">
        <v>222</v>
      </c>
      <c r="B28" s="71" t="s">
        <v>278</v>
      </c>
      <c r="C28" s="57"/>
      <c r="D28" s="57"/>
      <c r="E28" s="57"/>
      <c r="F28" s="58" t="s">
        <v>222</v>
      </c>
      <c r="G28" s="71" t="s">
        <v>258</v>
      </c>
      <c r="H28" s="57"/>
      <c r="I28" s="57"/>
      <c r="J28" s="57"/>
      <c r="K28" s="30"/>
      <c r="L28" s="49"/>
      <c r="M28" s="49"/>
      <c r="N28" s="206"/>
      <c r="O28" s="287"/>
      <c r="P28" s="288"/>
      <c r="Q28" s="288"/>
      <c r="R28" s="288"/>
      <c r="S28" s="288"/>
      <c r="T28" s="289"/>
      <c r="U28" s="49"/>
      <c r="V28" s="49"/>
    </row>
    <row r="29" spans="1:22" x14ac:dyDescent="0.25">
      <c r="A29" s="58" t="s">
        <v>222</v>
      </c>
      <c r="B29" s="57" t="s">
        <v>256</v>
      </c>
      <c r="C29" s="57"/>
      <c r="D29" s="57"/>
      <c r="E29" s="57"/>
      <c r="F29" s="58" t="s">
        <v>222</v>
      </c>
      <c r="G29" s="71" t="s">
        <v>259</v>
      </c>
      <c r="H29" s="57"/>
      <c r="I29" s="57"/>
      <c r="J29" s="57"/>
      <c r="K29" s="30"/>
      <c r="L29" s="49"/>
      <c r="M29" s="49"/>
      <c r="N29" s="206"/>
      <c r="O29" s="287"/>
      <c r="P29" s="288"/>
      <c r="Q29" s="288"/>
      <c r="R29" s="288"/>
      <c r="S29" s="288"/>
      <c r="T29" s="289"/>
      <c r="U29" s="49"/>
      <c r="V29" s="49"/>
    </row>
    <row r="30" spans="1:22" x14ac:dyDescent="0.25">
      <c r="A30" s="58" t="s">
        <v>222</v>
      </c>
      <c r="B30" s="57" t="s">
        <v>276</v>
      </c>
      <c r="C30" s="8"/>
      <c r="D30" s="8"/>
      <c r="E30" s="8"/>
      <c r="H30" s="8"/>
      <c r="I30" s="8"/>
      <c r="J30" s="8"/>
      <c r="K30" s="30"/>
      <c r="L30" s="339" t="s">
        <v>280</v>
      </c>
      <c r="M30" s="339"/>
      <c r="N30" s="339"/>
      <c r="O30" s="339"/>
      <c r="P30" s="339"/>
      <c r="Q30" s="339"/>
      <c r="R30" s="339"/>
      <c r="S30" s="339"/>
      <c r="T30" s="339" t="s">
        <v>218</v>
      </c>
      <c r="U30" s="339"/>
      <c r="V30" s="339"/>
    </row>
    <row r="31" spans="1:22" x14ac:dyDescent="0.25">
      <c r="C31" s="8"/>
      <c r="D31" s="8"/>
      <c r="E31" s="8"/>
      <c r="H31" s="8"/>
      <c r="I31" s="8"/>
      <c r="J31" s="8"/>
      <c r="K31" s="30"/>
      <c r="L31" s="339"/>
      <c r="M31" s="339"/>
      <c r="N31" s="339"/>
      <c r="O31" s="339"/>
      <c r="P31" s="339"/>
      <c r="Q31" s="339"/>
      <c r="R31" s="339"/>
      <c r="S31" s="339"/>
      <c r="T31" s="339"/>
      <c r="U31" s="339"/>
      <c r="V31" s="339"/>
    </row>
    <row r="32" spans="1:22" x14ac:dyDescent="0.25">
      <c r="A32" s="372" t="s">
        <v>260</v>
      </c>
      <c r="B32" s="373"/>
      <c r="C32" s="379" t="s">
        <v>261</v>
      </c>
      <c r="D32" s="379"/>
      <c r="E32" s="379"/>
      <c r="F32" s="379"/>
      <c r="G32" s="379"/>
      <c r="H32" s="379"/>
      <c r="I32" s="333" t="s">
        <v>168</v>
      </c>
      <c r="J32" s="334"/>
      <c r="K32" s="335"/>
      <c r="L32" s="339" t="s">
        <v>281</v>
      </c>
      <c r="M32" s="339"/>
      <c r="N32" s="339"/>
      <c r="O32" s="339"/>
      <c r="P32" s="339"/>
      <c r="Q32" s="339"/>
      <c r="R32" s="339"/>
      <c r="S32" s="339"/>
      <c r="T32" s="339" t="s">
        <v>218</v>
      </c>
      <c r="U32" s="339"/>
      <c r="V32" s="339"/>
    </row>
    <row r="33" spans="1:22" x14ac:dyDescent="0.25">
      <c r="A33" s="372"/>
      <c r="B33" s="373"/>
      <c r="C33" s="379"/>
      <c r="D33" s="379"/>
      <c r="E33" s="379"/>
      <c r="F33" s="379"/>
      <c r="G33" s="379"/>
      <c r="H33" s="379"/>
      <c r="I33" s="336"/>
      <c r="J33" s="337"/>
      <c r="K33" s="338"/>
      <c r="L33" s="339"/>
      <c r="M33" s="339"/>
      <c r="N33" s="339"/>
      <c r="O33" s="339"/>
      <c r="P33" s="339"/>
      <c r="Q33" s="339"/>
      <c r="R33" s="339"/>
      <c r="S33" s="339"/>
      <c r="T33" s="339"/>
      <c r="U33" s="339"/>
      <c r="V33" s="339"/>
    </row>
    <row r="34" spans="1:22" x14ac:dyDescent="0.25">
      <c r="A34" s="333" t="s">
        <v>262</v>
      </c>
      <c r="B34" s="334"/>
      <c r="C34" s="334"/>
      <c r="D34" s="334"/>
      <c r="E34" s="334"/>
      <c r="F34" s="334"/>
      <c r="G34" s="334"/>
      <c r="H34" s="335"/>
      <c r="I34" s="333" t="s">
        <v>168</v>
      </c>
      <c r="J34" s="334"/>
      <c r="K34" s="335"/>
      <c r="L34" s="339" t="s">
        <v>303</v>
      </c>
      <c r="M34" s="339"/>
      <c r="N34" s="339"/>
      <c r="O34" s="339"/>
      <c r="P34" s="339"/>
      <c r="Q34" s="339"/>
      <c r="R34" s="339"/>
      <c r="S34" s="339"/>
      <c r="T34" s="339" t="s">
        <v>218</v>
      </c>
      <c r="U34" s="339"/>
      <c r="V34" s="339"/>
    </row>
    <row r="35" spans="1:22" x14ac:dyDescent="0.25">
      <c r="A35" s="336"/>
      <c r="B35" s="337"/>
      <c r="C35" s="337"/>
      <c r="D35" s="337"/>
      <c r="E35" s="337"/>
      <c r="F35" s="337"/>
      <c r="G35" s="337"/>
      <c r="H35" s="338"/>
      <c r="I35" s="336"/>
      <c r="J35" s="337"/>
      <c r="K35" s="338"/>
      <c r="L35" s="339"/>
      <c r="M35" s="339"/>
      <c r="N35" s="339"/>
      <c r="O35" s="339"/>
      <c r="P35" s="339"/>
      <c r="Q35" s="339"/>
      <c r="R35" s="339"/>
      <c r="S35" s="339"/>
      <c r="T35" s="339"/>
      <c r="U35" s="339"/>
      <c r="V35" s="339"/>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40" t="s">
        <v>305</v>
      </c>
      <c r="M37" s="341"/>
      <c r="N37" s="341"/>
      <c r="O37" s="341"/>
      <c r="P37" s="341"/>
      <c r="Q37" s="341"/>
      <c r="R37" s="341"/>
      <c r="S37" s="341"/>
      <c r="T37" s="341"/>
      <c r="U37" s="341"/>
      <c r="V37" s="342"/>
    </row>
    <row r="38" spans="1:22" ht="15" customHeight="1" x14ac:dyDescent="0.25">
      <c r="A38" s="56" t="s">
        <v>222</v>
      </c>
      <c r="B38" s="382" t="s">
        <v>237</v>
      </c>
      <c r="C38" s="382"/>
      <c r="D38" s="382"/>
      <c r="E38" s="382"/>
      <c r="F38" s="58" t="s">
        <v>222</v>
      </c>
      <c r="G38" s="382" t="s">
        <v>240</v>
      </c>
      <c r="H38" s="382"/>
      <c r="I38" s="382"/>
      <c r="J38" s="382"/>
      <c r="K38" s="30"/>
      <c r="L38" s="343"/>
      <c r="M38" s="344"/>
      <c r="N38" s="344"/>
      <c r="O38" s="344"/>
      <c r="P38" s="344"/>
      <c r="Q38" s="344"/>
      <c r="R38" s="344"/>
      <c r="S38" s="344"/>
      <c r="T38" s="344"/>
      <c r="U38" s="344"/>
      <c r="V38" s="345"/>
    </row>
    <row r="39" spans="1:22" ht="15" customHeight="1" x14ac:dyDescent="0.25">
      <c r="A39" s="56" t="s">
        <v>222</v>
      </c>
      <c r="B39" s="382" t="s">
        <v>238</v>
      </c>
      <c r="C39" s="382"/>
      <c r="D39" s="382"/>
      <c r="E39" s="382"/>
      <c r="F39" s="58" t="s">
        <v>222</v>
      </c>
      <c r="G39" s="382" t="s">
        <v>242</v>
      </c>
      <c r="H39" s="382"/>
      <c r="I39" s="382"/>
      <c r="J39" s="382"/>
      <c r="K39" s="30"/>
      <c r="L39" s="343"/>
      <c r="M39" s="344"/>
      <c r="N39" s="344"/>
      <c r="O39" s="344"/>
      <c r="P39" s="344"/>
      <c r="Q39" s="344"/>
      <c r="R39" s="344"/>
      <c r="S39" s="344"/>
      <c r="T39" s="344"/>
      <c r="U39" s="344"/>
      <c r="V39" s="345"/>
    </row>
    <row r="40" spans="1:22" x14ac:dyDescent="0.25">
      <c r="A40" s="78" t="s">
        <v>222</v>
      </c>
      <c r="B40" s="383" t="s">
        <v>239</v>
      </c>
      <c r="C40" s="383"/>
      <c r="D40" s="383"/>
      <c r="E40" s="383"/>
      <c r="F40" s="79" t="s">
        <v>222</v>
      </c>
      <c r="G40" s="383" t="s">
        <v>241</v>
      </c>
      <c r="H40" s="383"/>
      <c r="I40" s="383"/>
      <c r="J40" s="383"/>
      <c r="K40" s="33"/>
      <c r="L40" s="346"/>
      <c r="M40" s="347"/>
      <c r="N40" s="347"/>
      <c r="O40" s="347"/>
      <c r="P40" s="347"/>
      <c r="Q40" s="347"/>
      <c r="R40" s="347"/>
      <c r="S40" s="347"/>
      <c r="T40" s="347"/>
      <c r="U40" s="347"/>
      <c r="V40" s="348"/>
    </row>
    <row r="41" spans="1:22" x14ac:dyDescent="0.25">
      <c r="A41" s="333" t="s">
        <v>231</v>
      </c>
      <c r="B41" s="334"/>
      <c r="C41" s="334"/>
      <c r="D41" s="334"/>
      <c r="E41" s="334"/>
      <c r="F41" s="334"/>
      <c r="G41" s="334"/>
      <c r="H41" s="335"/>
      <c r="I41" s="333" t="s">
        <v>168</v>
      </c>
      <c r="J41" s="334"/>
      <c r="K41" s="335"/>
      <c r="L41" s="349" t="s">
        <v>214</v>
      </c>
      <c r="M41" s="351" t="str">
        <f>+'WORKCELL CONFIGURATOR'!$H$57</f>
        <v>Global Engineering</v>
      </c>
      <c r="N41" s="351"/>
      <c r="O41" s="351"/>
      <c r="P41" s="351"/>
      <c r="Q41" s="351"/>
      <c r="R41" s="358" t="s">
        <v>300</v>
      </c>
      <c r="S41" s="358"/>
      <c r="T41" s="358"/>
      <c r="U41" s="358"/>
      <c r="V41" s="358"/>
    </row>
    <row r="42" spans="1:22" x14ac:dyDescent="0.25">
      <c r="A42" s="336"/>
      <c r="B42" s="337"/>
      <c r="C42" s="337"/>
      <c r="D42" s="337"/>
      <c r="E42" s="337"/>
      <c r="F42" s="337"/>
      <c r="G42" s="337"/>
      <c r="H42" s="338"/>
      <c r="I42" s="336"/>
      <c r="J42" s="337"/>
      <c r="K42" s="338"/>
      <c r="L42" s="350"/>
      <c r="M42" s="351"/>
      <c r="N42" s="351"/>
      <c r="O42" s="351"/>
      <c r="P42" s="351"/>
      <c r="Q42" s="351"/>
      <c r="R42" s="358"/>
      <c r="S42" s="358"/>
      <c r="T42" s="358"/>
      <c r="U42" s="358"/>
      <c r="V42" s="358"/>
    </row>
    <row r="43" spans="1:22" x14ac:dyDescent="0.25">
      <c r="L43" s="352" t="s">
        <v>484</v>
      </c>
      <c r="M43" s="353"/>
      <c r="N43" s="353"/>
      <c r="O43" s="353"/>
      <c r="P43" s="353"/>
      <c r="Q43" s="354"/>
      <c r="R43" s="358" t="s">
        <v>301</v>
      </c>
      <c r="S43" s="358"/>
      <c r="T43" s="358"/>
      <c r="U43" s="358"/>
      <c r="V43" s="358"/>
    </row>
    <row r="44" spans="1:22" x14ac:dyDescent="0.25">
      <c r="L44" s="355"/>
      <c r="M44" s="356"/>
      <c r="N44" s="356"/>
      <c r="O44" s="356"/>
      <c r="P44" s="356"/>
      <c r="Q44" s="357"/>
      <c r="R44" s="358"/>
      <c r="S44" s="358"/>
      <c r="T44" s="358"/>
      <c r="U44" s="358"/>
      <c r="V44" s="358"/>
    </row>
    <row r="45" spans="1:22" x14ac:dyDescent="0.25">
      <c r="L45" s="352" t="s">
        <v>218</v>
      </c>
      <c r="M45" s="353"/>
      <c r="N45" s="353"/>
      <c r="O45" s="353"/>
      <c r="P45" s="353"/>
      <c r="Q45" s="354"/>
      <c r="R45" s="358" t="s">
        <v>302</v>
      </c>
      <c r="S45" s="358"/>
      <c r="T45" s="358"/>
      <c r="U45" s="358"/>
      <c r="V45" s="358"/>
    </row>
    <row r="46" spans="1:22" x14ac:dyDescent="0.25">
      <c r="A46" s="67"/>
      <c r="B46" s="67"/>
      <c r="C46" s="67"/>
      <c r="D46" s="67"/>
      <c r="E46" s="67"/>
      <c r="F46" s="67"/>
      <c r="G46" s="67"/>
      <c r="H46" s="67"/>
      <c r="I46" s="67"/>
      <c r="J46" s="67"/>
      <c r="K46" s="67"/>
      <c r="L46" s="355"/>
      <c r="M46" s="356"/>
      <c r="N46" s="356"/>
      <c r="O46" s="356"/>
      <c r="P46" s="356"/>
      <c r="Q46" s="357"/>
      <c r="R46" s="358"/>
      <c r="S46" s="358"/>
      <c r="T46" s="358"/>
      <c r="U46" s="358"/>
      <c r="V46" s="358"/>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86" t="s">
        <v>211</v>
      </c>
      <c r="B48" s="386"/>
      <c r="C48" s="386"/>
      <c r="D48" s="386"/>
      <c r="E48" s="386"/>
      <c r="F48" s="386"/>
      <c r="G48" s="386"/>
      <c r="H48" s="386"/>
      <c r="I48" s="386"/>
      <c r="J48" s="386"/>
      <c r="K48" s="386"/>
      <c r="L48" s="387" t="s">
        <v>309</v>
      </c>
      <c r="M48" s="387"/>
      <c r="N48" s="387"/>
      <c r="O48" s="387"/>
      <c r="P48" s="387"/>
      <c r="Q48" s="387"/>
      <c r="R48" s="387"/>
      <c r="S48" s="387"/>
      <c r="T48" s="387"/>
      <c r="U48" s="387"/>
      <c r="V48" s="387"/>
    </row>
    <row r="49" spans="1:22" ht="15" customHeight="1" x14ac:dyDescent="0.25">
      <c r="A49" s="386"/>
      <c r="B49" s="386"/>
      <c r="C49" s="386"/>
      <c r="D49" s="386"/>
      <c r="E49" s="386"/>
      <c r="F49" s="386"/>
      <c r="G49" s="386"/>
      <c r="H49" s="386"/>
      <c r="I49" s="386"/>
      <c r="J49" s="386"/>
      <c r="K49" s="386"/>
      <c r="L49" s="387"/>
      <c r="M49" s="387"/>
      <c r="N49" s="387"/>
      <c r="O49" s="387"/>
      <c r="P49" s="387"/>
      <c r="Q49" s="387"/>
      <c r="R49" s="387"/>
      <c r="S49" s="387"/>
      <c r="T49" s="387"/>
      <c r="U49" s="387"/>
      <c r="V49" s="387"/>
    </row>
    <row r="50" spans="1:22" x14ac:dyDescent="0.25">
      <c r="A50" s="51" t="s">
        <v>212</v>
      </c>
      <c r="B50" s="381" t="str">
        <f>+'WORKCELL CONFIGURATOR'!$H$4</f>
        <v>Delta 6</v>
      </c>
      <c r="C50" s="381"/>
      <c r="D50" s="381"/>
      <c r="E50" s="381"/>
      <c r="F50" s="52" t="s">
        <v>214</v>
      </c>
      <c r="G50" s="381" t="str">
        <f>+'WORKCELL CONFIGURATOR'!$H$57</f>
        <v>Global Engineering</v>
      </c>
      <c r="H50" s="381"/>
      <c r="I50" s="381"/>
      <c r="J50" s="381"/>
      <c r="K50" s="381"/>
      <c r="L50" s="51" t="s">
        <v>212</v>
      </c>
      <c r="M50" s="381" t="str">
        <f>+'WORKCELL CONFIGURATOR'!$H$4</f>
        <v>Delta 6</v>
      </c>
      <c r="N50" s="381"/>
      <c r="O50" s="381"/>
      <c r="P50" s="381"/>
      <c r="Q50" s="52" t="s">
        <v>214</v>
      </c>
      <c r="R50" s="381" t="str">
        <f>+'WORKCELL CONFIGURATOR'!$H$57</f>
        <v>Global Engineering</v>
      </c>
      <c r="S50" s="381"/>
      <c r="T50" s="381"/>
      <c r="U50" s="381"/>
      <c r="V50" s="381"/>
    </row>
    <row r="51" spans="1:22" x14ac:dyDescent="0.25">
      <c r="A51" s="51" t="s">
        <v>213</v>
      </c>
      <c r="B51" s="381" t="str">
        <f>+'WORKCELL BOM'!$L$2</f>
        <v>GLBE4722</v>
      </c>
      <c r="C51" s="381"/>
      <c r="D51" s="381"/>
      <c r="E51" s="381"/>
      <c r="F51" s="52" t="s">
        <v>215</v>
      </c>
      <c r="G51" s="381" t="str">
        <f>+'WORKCELL BOM'!$L$3</f>
        <v>S1087</v>
      </c>
      <c r="H51" s="381"/>
      <c r="I51" s="381"/>
      <c r="J51" s="381"/>
      <c r="K51" s="381"/>
      <c r="L51" s="51" t="s">
        <v>213</v>
      </c>
      <c r="M51" s="381" t="str">
        <f>+'WORKCELL BOM'!$L$2</f>
        <v>GLBE4722</v>
      </c>
      <c r="N51" s="381"/>
      <c r="O51" s="381"/>
      <c r="P51" s="381"/>
      <c r="Q51" s="52" t="s">
        <v>215</v>
      </c>
      <c r="R51" s="381" t="str">
        <f>+'WORKCELL BOM'!$L$3</f>
        <v>S1087</v>
      </c>
      <c r="S51" s="381"/>
      <c r="T51" s="381"/>
      <c r="U51" s="381"/>
      <c r="V51" s="381"/>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82" t="s">
        <v>282</v>
      </c>
      <c r="C55" s="382"/>
      <c r="D55" s="382"/>
      <c r="E55" s="382"/>
      <c r="F55" s="58" t="s">
        <v>222</v>
      </c>
      <c r="G55" s="382" t="s">
        <v>289</v>
      </c>
      <c r="H55" s="382"/>
      <c r="I55" s="382"/>
      <c r="J55" s="382"/>
      <c r="K55" s="30"/>
      <c r="L55" s="359" t="s">
        <v>314</v>
      </c>
      <c r="M55" s="360"/>
      <c r="N55" s="360"/>
      <c r="O55" s="360"/>
      <c r="P55" s="360"/>
      <c r="Q55" s="360"/>
      <c r="R55" s="360"/>
      <c r="S55" s="361"/>
      <c r="T55" s="359" t="s">
        <v>218</v>
      </c>
      <c r="U55" s="360"/>
      <c r="V55" s="361"/>
    </row>
    <row r="56" spans="1:22" x14ac:dyDescent="0.25">
      <c r="A56" s="56" t="s">
        <v>222</v>
      </c>
      <c r="B56" s="57" t="s">
        <v>283</v>
      </c>
      <c r="C56" s="57"/>
      <c r="D56" s="57"/>
      <c r="E56" s="57"/>
      <c r="F56" s="58" t="s">
        <v>222</v>
      </c>
      <c r="G56" s="57" t="s">
        <v>284</v>
      </c>
      <c r="H56" s="57"/>
      <c r="I56" s="57"/>
      <c r="J56" s="57"/>
      <c r="K56" s="30"/>
      <c r="L56" s="362"/>
      <c r="M56" s="363"/>
      <c r="N56" s="363"/>
      <c r="O56" s="363"/>
      <c r="P56" s="363"/>
      <c r="Q56" s="363"/>
      <c r="R56" s="363"/>
      <c r="S56" s="364"/>
      <c r="T56" s="362"/>
      <c r="U56" s="363"/>
      <c r="V56" s="364"/>
    </row>
    <row r="57" spans="1:22" x14ac:dyDescent="0.25">
      <c r="A57" s="56" t="s">
        <v>222</v>
      </c>
      <c r="B57" s="57" t="s">
        <v>288</v>
      </c>
      <c r="C57" s="57"/>
      <c r="D57" s="57"/>
      <c r="E57" s="57"/>
      <c r="F57" s="58" t="s">
        <v>222</v>
      </c>
      <c r="G57" s="57" t="s">
        <v>285</v>
      </c>
      <c r="H57" s="8"/>
      <c r="I57" s="8"/>
      <c r="J57" s="8"/>
      <c r="K57" s="30"/>
      <c r="L57" s="359" t="s">
        <v>315</v>
      </c>
      <c r="M57" s="360"/>
      <c r="N57" s="360"/>
      <c r="O57" s="360"/>
      <c r="P57" s="360"/>
      <c r="Q57" s="360"/>
      <c r="R57" s="360"/>
      <c r="S57" s="361"/>
      <c r="T57" s="359" t="s">
        <v>218</v>
      </c>
      <c r="U57" s="360"/>
      <c r="V57" s="361"/>
    </row>
    <row r="58" spans="1:22" x14ac:dyDescent="0.25">
      <c r="A58" s="56" t="s">
        <v>222</v>
      </c>
      <c r="B58" s="57" t="s">
        <v>297</v>
      </c>
      <c r="C58" s="57"/>
      <c r="D58" s="57"/>
      <c r="E58" s="57"/>
      <c r="F58" s="8"/>
      <c r="G58" s="8"/>
      <c r="H58" s="8"/>
      <c r="I58" s="8"/>
      <c r="J58" s="8"/>
      <c r="K58" s="30"/>
      <c r="L58" s="362"/>
      <c r="M58" s="363"/>
      <c r="N58" s="363"/>
      <c r="O58" s="363"/>
      <c r="P58" s="363"/>
      <c r="Q58" s="363"/>
      <c r="R58" s="363"/>
      <c r="S58" s="364"/>
      <c r="T58" s="362"/>
      <c r="U58" s="363"/>
      <c r="V58" s="364"/>
    </row>
    <row r="59" spans="1:22" x14ac:dyDescent="0.25">
      <c r="A59" s="29"/>
      <c r="B59" s="8"/>
      <c r="C59" s="8"/>
      <c r="D59" s="8"/>
      <c r="E59" s="8"/>
      <c r="F59" s="8"/>
      <c r="G59" s="8"/>
      <c r="H59" s="8"/>
      <c r="I59" s="8"/>
      <c r="J59" s="8"/>
      <c r="K59" s="30"/>
    </row>
    <row r="60" spans="1:22" x14ac:dyDescent="0.25">
      <c r="A60" s="333" t="s">
        <v>231</v>
      </c>
      <c r="B60" s="334"/>
      <c r="C60" s="334"/>
      <c r="D60" s="334"/>
      <c r="E60" s="334"/>
      <c r="F60" s="334"/>
      <c r="G60" s="334"/>
      <c r="H60" s="335"/>
      <c r="I60" s="333" t="s">
        <v>168</v>
      </c>
      <c r="J60" s="334"/>
      <c r="K60" s="335"/>
    </row>
    <row r="61" spans="1:22" x14ac:dyDescent="0.25">
      <c r="A61" s="336"/>
      <c r="B61" s="337"/>
      <c r="C61" s="337"/>
      <c r="D61" s="337"/>
      <c r="E61" s="337"/>
      <c r="F61" s="337"/>
      <c r="G61" s="337"/>
      <c r="H61" s="338"/>
      <c r="I61" s="336"/>
      <c r="J61" s="337"/>
      <c r="K61" s="338"/>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75" t="s">
        <v>264</v>
      </c>
      <c r="N63" s="375"/>
      <c r="O63" s="375" t="s">
        <v>215</v>
      </c>
      <c r="P63" s="375"/>
      <c r="Q63" s="8"/>
      <c r="R63" s="375" t="s">
        <v>269</v>
      </c>
      <c r="S63" s="375" t="s">
        <v>274</v>
      </c>
      <c r="T63" s="375"/>
      <c r="U63" s="378" t="s">
        <v>279</v>
      </c>
      <c r="V63" s="378"/>
    </row>
    <row r="64" spans="1:22" x14ac:dyDescent="0.25">
      <c r="A64" s="372" t="s">
        <v>290</v>
      </c>
      <c r="B64" s="373"/>
      <c r="C64" s="374"/>
      <c r="D64" s="374"/>
      <c r="E64" s="374"/>
      <c r="F64" s="8"/>
      <c r="G64" s="384" t="s">
        <v>292</v>
      </c>
      <c r="H64" s="385"/>
      <c r="I64" s="374"/>
      <c r="J64" s="374"/>
      <c r="K64" s="374"/>
      <c r="L64" s="83">
        <v>1</v>
      </c>
      <c r="M64" s="351"/>
      <c r="N64" s="351"/>
      <c r="O64" s="351" t="str">
        <f>+IF(M64="N/A","N/A","")</f>
        <v/>
      </c>
      <c r="P64" s="351"/>
      <c r="Q64" s="8"/>
      <c r="R64" s="373"/>
      <c r="S64" s="373"/>
      <c r="T64" s="373"/>
      <c r="U64" s="372"/>
      <c r="V64" s="372"/>
    </row>
    <row r="65" spans="1:22" x14ac:dyDescent="0.25">
      <c r="A65" s="373"/>
      <c r="B65" s="373"/>
      <c r="C65" s="374"/>
      <c r="D65" s="374"/>
      <c r="E65" s="374"/>
      <c r="F65" s="8"/>
      <c r="G65" s="385"/>
      <c r="H65" s="385"/>
      <c r="I65" s="374"/>
      <c r="J65" s="374"/>
      <c r="K65" s="374"/>
      <c r="L65" s="83">
        <v>2</v>
      </c>
      <c r="M65" s="351"/>
      <c r="N65" s="351"/>
      <c r="O65" s="351"/>
      <c r="P65" s="351"/>
      <c r="Q65" s="8"/>
      <c r="R65" s="83" t="s">
        <v>270</v>
      </c>
      <c r="S65" s="379"/>
      <c r="T65" s="379"/>
      <c r="U65" s="376" t="str">
        <f>+IF('WORKCELL CONFIGURATOR'!H9="Y","","N/A")</f>
        <v>N/A</v>
      </c>
      <c r="V65" s="377"/>
    </row>
    <row r="66" spans="1:22" x14ac:dyDescent="0.25">
      <c r="A66" s="372" t="s">
        <v>291</v>
      </c>
      <c r="B66" s="373"/>
      <c r="C66" s="374"/>
      <c r="D66" s="374"/>
      <c r="E66" s="374"/>
      <c r="F66" s="8"/>
      <c r="G66" s="8"/>
      <c r="H66" s="8"/>
      <c r="I66" s="8"/>
      <c r="J66" s="8"/>
      <c r="K66" s="30"/>
      <c r="L66" s="83">
        <v>3</v>
      </c>
      <c r="M66" s="351"/>
      <c r="N66" s="351"/>
      <c r="O66" s="351"/>
      <c r="P66" s="351"/>
      <c r="Q66" s="8"/>
      <c r="R66" s="83" t="s">
        <v>271</v>
      </c>
      <c r="S66" s="373"/>
      <c r="T66" s="373"/>
      <c r="U66" s="376" t="str">
        <f>+IF('WORKCELL CONFIGURATOR'!H14="Y","","N/A")</f>
        <v>N/A</v>
      </c>
      <c r="V66" s="377"/>
    </row>
    <row r="67" spans="1:22" x14ac:dyDescent="0.25">
      <c r="A67" s="373"/>
      <c r="B67" s="373"/>
      <c r="C67" s="374"/>
      <c r="D67" s="374"/>
      <c r="E67" s="374"/>
      <c r="F67" s="8"/>
      <c r="G67" s="8"/>
      <c r="H67" s="8"/>
      <c r="I67" s="8"/>
      <c r="J67" s="8"/>
      <c r="K67" s="30"/>
      <c r="L67" s="157">
        <v>4</v>
      </c>
      <c r="M67" s="351"/>
      <c r="N67" s="351"/>
      <c r="O67" s="351"/>
      <c r="P67" s="351"/>
      <c r="Q67" s="8"/>
      <c r="R67" s="83" t="s">
        <v>272</v>
      </c>
      <c r="S67" s="373"/>
      <c r="T67" s="373"/>
      <c r="U67" s="72"/>
      <c r="V67" s="81"/>
    </row>
    <row r="68" spans="1:22" x14ac:dyDescent="0.25">
      <c r="A68" s="29"/>
      <c r="B68" s="8"/>
      <c r="C68" s="8"/>
      <c r="D68" s="8"/>
      <c r="E68" s="8"/>
      <c r="F68" s="8"/>
      <c r="G68" s="8"/>
      <c r="H68" s="8"/>
      <c r="I68" s="8"/>
      <c r="J68" s="8"/>
      <c r="K68" s="30"/>
      <c r="L68" s="29"/>
      <c r="M68" s="8"/>
      <c r="N68" s="8"/>
      <c r="O68" s="8"/>
      <c r="P68" s="8"/>
      <c r="Q68" s="8"/>
      <c r="R68" s="83" t="s">
        <v>273</v>
      </c>
      <c r="S68" s="374" t="str">
        <f>+IF('WORKCELL CONFIGURATOR'!H4=3,"N/A","")</f>
        <v/>
      </c>
      <c r="T68" s="374"/>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585</v>
      </c>
      <c r="S69" s="374" t="str">
        <f>+IF('WORKCELL CONFIGURATOR'!H5=3,"N/A","")</f>
        <v/>
      </c>
      <c r="T69" s="374"/>
      <c r="U69" s="13"/>
      <c r="V69" s="90"/>
    </row>
    <row r="70" spans="1:22" x14ac:dyDescent="0.25">
      <c r="A70" s="56"/>
      <c r="B70" s="57"/>
      <c r="C70" s="57"/>
      <c r="D70" s="57"/>
      <c r="E70" s="8"/>
      <c r="F70" s="8"/>
      <c r="G70" s="8"/>
      <c r="H70" s="8"/>
      <c r="I70" s="8"/>
      <c r="J70" s="8"/>
      <c r="K70" s="30"/>
      <c r="L70" s="84" t="s">
        <v>263</v>
      </c>
      <c r="M70" s="375" t="s">
        <v>264</v>
      </c>
      <c r="N70" s="375"/>
      <c r="O70" s="375" t="s">
        <v>215</v>
      </c>
      <c r="P70" s="375"/>
      <c r="Q70" s="8"/>
      <c r="R70" s="231" t="s">
        <v>586</v>
      </c>
      <c r="S70" s="374" t="str">
        <f>+IF('WORKCELL CONFIGURATOR'!H6=3,"N/A","")</f>
        <v/>
      </c>
      <c r="T70" s="374"/>
      <c r="U70" s="13"/>
      <c r="V70" s="90"/>
    </row>
    <row r="71" spans="1:22" x14ac:dyDescent="0.25">
      <c r="A71" s="333" t="s">
        <v>231</v>
      </c>
      <c r="B71" s="334"/>
      <c r="C71" s="334"/>
      <c r="D71" s="334"/>
      <c r="E71" s="334"/>
      <c r="F71" s="334"/>
      <c r="G71" s="334"/>
      <c r="H71" s="335"/>
      <c r="I71" s="333" t="s">
        <v>168</v>
      </c>
      <c r="J71" s="334"/>
      <c r="K71" s="335"/>
      <c r="L71" s="83">
        <v>1</v>
      </c>
      <c r="M71" s="351"/>
      <c r="N71" s="351"/>
      <c r="O71" s="351"/>
      <c r="P71" s="351"/>
      <c r="Q71" s="8"/>
      <c r="R71" s="13"/>
      <c r="S71" s="13"/>
      <c r="T71" s="13"/>
      <c r="U71" s="13"/>
      <c r="V71" s="90"/>
    </row>
    <row r="72" spans="1:22" x14ac:dyDescent="0.25">
      <c r="A72" s="336"/>
      <c r="B72" s="337"/>
      <c r="C72" s="337"/>
      <c r="D72" s="337"/>
      <c r="E72" s="337"/>
      <c r="F72" s="337"/>
      <c r="G72" s="337"/>
      <c r="H72" s="338"/>
      <c r="I72" s="336"/>
      <c r="J72" s="337"/>
      <c r="K72" s="338"/>
      <c r="L72" s="83">
        <v>2</v>
      </c>
      <c r="M72" s="351"/>
      <c r="N72" s="351"/>
      <c r="O72" s="351"/>
      <c r="P72" s="351"/>
      <c r="Q72" s="8"/>
      <c r="R72" s="8"/>
      <c r="S72" s="8"/>
      <c r="T72" s="8"/>
      <c r="U72" s="8"/>
      <c r="V72" s="30"/>
    </row>
    <row r="73" spans="1:22" x14ac:dyDescent="0.25">
      <c r="L73" s="83">
        <v>3</v>
      </c>
      <c r="M73" s="351"/>
      <c r="N73" s="351"/>
      <c r="O73" s="351"/>
      <c r="P73" s="351"/>
      <c r="Q73" s="8"/>
      <c r="R73" s="8"/>
      <c r="S73" s="8"/>
      <c r="T73" s="8"/>
      <c r="U73" s="8"/>
      <c r="V73" s="30"/>
    </row>
    <row r="74" spans="1:22" x14ac:dyDescent="0.25">
      <c r="A74" s="76" t="s">
        <v>355</v>
      </c>
      <c r="B74" s="77"/>
      <c r="C74" s="77"/>
      <c r="D74" s="77"/>
      <c r="E74" s="77"/>
      <c r="F74" s="77"/>
      <c r="G74" s="77"/>
      <c r="H74" s="77"/>
      <c r="I74" s="77"/>
      <c r="J74" s="77"/>
      <c r="K74" s="80"/>
      <c r="L74" s="157">
        <v>4</v>
      </c>
      <c r="M74" s="351"/>
      <c r="N74" s="351"/>
      <c r="O74" s="351"/>
      <c r="P74" s="351"/>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5" t="s">
        <v>294</v>
      </c>
      <c r="S75" s="365"/>
      <c r="T75" s="366" t="str">
        <f>+IF('WORKCELL CONFIGURATOR'!H35="N","N/A","")</f>
        <v/>
      </c>
      <c r="U75" s="367"/>
      <c r="V75" s="368"/>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5"/>
      <c r="S76" s="365"/>
      <c r="T76" s="369"/>
      <c r="U76" s="370"/>
      <c r="V76" s="371"/>
    </row>
    <row r="77" spans="1:22" x14ac:dyDescent="0.25">
      <c r="A77" s="56" t="s">
        <v>222</v>
      </c>
      <c r="B77" s="57" t="s">
        <v>304</v>
      </c>
      <c r="C77" s="57"/>
      <c r="D77" s="57"/>
      <c r="E77" s="57"/>
      <c r="F77" s="56"/>
      <c r="G77" s="57"/>
      <c r="H77" s="57"/>
      <c r="I77" s="57"/>
      <c r="J77" s="8"/>
      <c r="K77" s="81"/>
      <c r="L77" s="84" t="s">
        <v>187</v>
      </c>
      <c r="M77" s="380" t="s">
        <v>215</v>
      </c>
      <c r="N77" s="380"/>
      <c r="O77" s="380"/>
      <c r="P77" s="380"/>
      <c r="Q77" s="8"/>
      <c r="R77" s="365" t="s">
        <v>295</v>
      </c>
      <c r="S77" s="365"/>
      <c r="T77" s="366" t="str">
        <f>+IF('WORKCELL CONFIGURATOR'!H35="N","N/A","")</f>
        <v/>
      </c>
      <c r="U77" s="367"/>
      <c r="V77" s="368"/>
    </row>
    <row r="78" spans="1:22" x14ac:dyDescent="0.25">
      <c r="A78" s="29"/>
      <c r="B78" s="8"/>
      <c r="C78" s="8"/>
      <c r="D78" s="8"/>
      <c r="E78" s="8"/>
      <c r="F78" s="8"/>
      <c r="G78" s="8"/>
      <c r="H78" s="8"/>
      <c r="I78" s="8"/>
      <c r="J78" s="72"/>
      <c r="K78" s="30"/>
      <c r="L78" s="83"/>
      <c r="M78" s="373"/>
      <c r="N78" s="373"/>
      <c r="O78" s="373"/>
      <c r="P78" s="373"/>
      <c r="Q78" s="35"/>
      <c r="R78" s="365"/>
      <c r="S78" s="365"/>
      <c r="T78" s="369"/>
      <c r="U78" s="370"/>
      <c r="V78" s="371"/>
    </row>
    <row r="79" spans="1:22" x14ac:dyDescent="0.25">
      <c r="A79" s="333" t="s">
        <v>231</v>
      </c>
      <c r="B79" s="334"/>
      <c r="C79" s="334"/>
      <c r="D79" s="334"/>
      <c r="E79" s="334"/>
      <c r="F79" s="334"/>
      <c r="G79" s="334"/>
      <c r="H79" s="335"/>
      <c r="I79" s="333" t="s">
        <v>168</v>
      </c>
      <c r="J79" s="334"/>
      <c r="K79" s="335"/>
    </row>
    <row r="80" spans="1:22" x14ac:dyDescent="0.25">
      <c r="A80" s="336"/>
      <c r="B80" s="337"/>
      <c r="C80" s="337"/>
      <c r="D80" s="337"/>
      <c r="E80" s="337"/>
      <c r="F80" s="337"/>
      <c r="G80" s="337"/>
      <c r="H80" s="338"/>
      <c r="I80" s="336"/>
      <c r="J80" s="337"/>
      <c r="K80" s="338"/>
    </row>
    <row r="94" spans="1:22" x14ac:dyDescent="0.25">
      <c r="A94" s="55" t="s">
        <v>486</v>
      </c>
      <c r="B94" s="53"/>
      <c r="C94" s="53"/>
      <c r="D94" s="53"/>
      <c r="E94" s="53"/>
      <c r="F94" s="53"/>
      <c r="G94" s="53"/>
      <c r="H94" s="53"/>
      <c r="I94" s="53"/>
      <c r="J94" s="53"/>
      <c r="K94" s="54" t="s">
        <v>216</v>
      </c>
      <c r="L94" s="55" t="s">
        <v>587</v>
      </c>
      <c r="M94" s="53"/>
      <c r="N94" s="53"/>
      <c r="O94" s="53"/>
      <c r="P94" s="53"/>
      <c r="Q94" s="53"/>
      <c r="R94" s="53"/>
      <c r="S94" s="53"/>
      <c r="T94" s="53"/>
      <c r="U94" s="53"/>
      <c r="V94" s="54"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591</v>
      </c>
      <c r="E3" s="3" t="s">
        <v>218</v>
      </c>
      <c r="F3" s="3" t="s">
        <v>12</v>
      </c>
      <c r="G3" s="3" t="s">
        <v>318</v>
      </c>
      <c r="H3" s="9" t="s">
        <v>323</v>
      </c>
      <c r="I3" s="3" t="s">
        <v>319</v>
      </c>
      <c r="J3" s="3" t="s">
        <v>320</v>
      </c>
      <c r="K3" s="3" t="s">
        <v>321</v>
      </c>
    </row>
    <row r="4" spans="1:11" ht="24.75" customHeight="1" x14ac:dyDescent="0.25">
      <c r="A4" s="3" t="str">
        <f>+'WORKCELL BOM'!L2</f>
        <v>GLBE4722</v>
      </c>
      <c r="B4" s="3" t="str">
        <f>+'WORKCELL BOM'!L3</f>
        <v>S1087</v>
      </c>
      <c r="C4" s="3" t="str">
        <f>+'WORKCELL CONFIGURATOR'!H4</f>
        <v>Delta 6</v>
      </c>
      <c r="D4" s="3" t="str">
        <f>+CONCATENATE("123-",'WORKCELL CONFIGURATOR'!I53)</f>
        <v>123-S1087</v>
      </c>
      <c r="E4" s="94">
        <f ca="1">+TODAY()</f>
        <v>42773</v>
      </c>
      <c r="F4" s="3" t="str">
        <f>+IF('WORKCELL CONFIGURATOR'!H5=Data!C5,"200-240V","100-120V")</f>
        <v>200-240V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578</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643</v>
      </c>
      <c r="D4" s="3" t="s">
        <v>407</v>
      </c>
      <c r="E4" s="3" t="s">
        <v>407</v>
      </c>
      <c r="I4" s="175" t="s">
        <v>497</v>
      </c>
      <c r="J4" s="3" t="s">
        <v>544</v>
      </c>
    </row>
    <row r="5" spans="1:10" x14ac:dyDescent="0.25">
      <c r="A5" s="3" t="s">
        <v>407</v>
      </c>
      <c r="B5" s="3" t="s">
        <v>17</v>
      </c>
      <c r="C5" s="3" t="s">
        <v>644</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566</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6" t="s">
        <v>464</v>
      </c>
      <c r="C11" s="286"/>
      <c r="E11" s="286" t="s">
        <v>465</v>
      </c>
      <c r="F11" s="286"/>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70" t="s">
        <v>475</v>
      </c>
      <c r="C16" s="370"/>
      <c r="D16" s="370"/>
      <c r="E16" s="370"/>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571</v>
      </c>
      <c r="B28" s="102"/>
      <c r="C28" s="177">
        <v>42384</v>
      </c>
    </row>
    <row r="29" spans="1:3" ht="15.75" hidden="1" thickBot="1" x14ac:dyDescent="0.3">
      <c r="A29" s="104" t="s">
        <v>378</v>
      </c>
      <c r="B29" s="105" t="s">
        <v>106</v>
      </c>
      <c r="C29" s="104" t="s">
        <v>379</v>
      </c>
    </row>
    <row r="30" spans="1:3" hidden="1" x14ac:dyDescent="0.25">
      <c r="A30" s="218">
        <v>1</v>
      </c>
      <c r="B30" s="11" t="s">
        <v>567</v>
      </c>
      <c r="C30" s="91" t="s">
        <v>313</v>
      </c>
    </row>
    <row r="31" spans="1:3" hidden="1" x14ac:dyDescent="0.25">
      <c r="A31" s="223"/>
      <c r="C31" s="91"/>
    </row>
    <row r="32" spans="1:3" ht="19.5" hidden="1" thickBot="1" x14ac:dyDescent="0.35">
      <c r="A32" s="106" t="s">
        <v>568</v>
      </c>
      <c r="B32" s="102"/>
      <c r="C32" s="177"/>
    </row>
    <row r="33" spans="1:3" ht="15.75" hidden="1" thickBot="1" x14ac:dyDescent="0.3">
      <c r="A33" s="104" t="s">
        <v>378</v>
      </c>
      <c r="B33" s="105" t="s">
        <v>106</v>
      </c>
      <c r="C33" s="104" t="s">
        <v>379</v>
      </c>
    </row>
    <row r="34" spans="1:3" hidden="1" x14ac:dyDescent="0.25">
      <c r="A34" s="223">
        <v>1</v>
      </c>
      <c r="B34" s="11" t="s">
        <v>569</v>
      </c>
      <c r="C34" s="91" t="s">
        <v>313</v>
      </c>
    </row>
    <row r="35" spans="1:3" hidden="1" x14ac:dyDescent="0.25">
      <c r="A35" s="223">
        <v>2</v>
      </c>
      <c r="B35" s="11" t="s">
        <v>573</v>
      </c>
      <c r="C35" s="91" t="s">
        <v>313</v>
      </c>
    </row>
    <row r="36" spans="1:3" hidden="1" x14ac:dyDescent="0.25">
      <c r="A36" s="225"/>
      <c r="C36" s="91"/>
    </row>
    <row r="37" spans="1:3" ht="19.5" hidden="1" thickBot="1" x14ac:dyDescent="0.35">
      <c r="A37" s="106" t="s">
        <v>574</v>
      </c>
      <c r="B37" s="102"/>
      <c r="C37" s="177">
        <v>42416</v>
      </c>
    </row>
    <row r="38" spans="1:3" ht="15.75" hidden="1" thickBot="1" x14ac:dyDescent="0.3">
      <c r="A38" s="104" t="s">
        <v>378</v>
      </c>
      <c r="B38" s="105" t="s">
        <v>106</v>
      </c>
      <c r="C38" s="104" t="s">
        <v>379</v>
      </c>
    </row>
    <row r="39" spans="1:3" hidden="1" x14ac:dyDescent="0.25">
      <c r="A39" s="226">
        <v>1</v>
      </c>
      <c r="B39" s="11" t="s">
        <v>575</v>
      </c>
      <c r="C39" s="91" t="s">
        <v>313</v>
      </c>
    </row>
    <row r="40" spans="1:3" hidden="1" x14ac:dyDescent="0.25">
      <c r="A40" s="226"/>
      <c r="C40" s="91"/>
    </row>
    <row r="41" spans="1:3" ht="19.5" hidden="1" thickBot="1" x14ac:dyDescent="0.35">
      <c r="A41" s="106" t="s">
        <v>576</v>
      </c>
      <c r="B41" s="102"/>
      <c r="C41" s="177">
        <v>42417</v>
      </c>
    </row>
    <row r="42" spans="1:3" ht="15.75" hidden="1" thickBot="1" x14ac:dyDescent="0.3">
      <c r="A42" s="104" t="s">
        <v>378</v>
      </c>
      <c r="B42" s="105" t="s">
        <v>106</v>
      </c>
      <c r="C42" s="104" t="s">
        <v>379</v>
      </c>
    </row>
    <row r="43" spans="1:3" hidden="1" x14ac:dyDescent="0.25">
      <c r="A43" s="227">
        <v>1</v>
      </c>
      <c r="B43" s="11" t="s">
        <v>577</v>
      </c>
      <c r="C43" s="91" t="s">
        <v>313</v>
      </c>
    </row>
    <row r="44" spans="1:3" hidden="1" x14ac:dyDescent="0.25">
      <c r="A44" s="228"/>
      <c r="C44" s="91"/>
    </row>
    <row r="45" spans="1:3" ht="19.5" thickBot="1" x14ac:dyDescent="0.35">
      <c r="A45" s="106" t="s">
        <v>645</v>
      </c>
      <c r="B45" s="102"/>
      <c r="C45" s="177"/>
    </row>
    <row r="46" spans="1:3" ht="15.75" thickBot="1" x14ac:dyDescent="0.3">
      <c r="A46" s="104" t="s">
        <v>378</v>
      </c>
      <c r="B46" s="105" t="s">
        <v>106</v>
      </c>
      <c r="C46" s="104" t="s">
        <v>379</v>
      </c>
    </row>
    <row r="47" spans="1:3" x14ac:dyDescent="0.25">
      <c r="A47" s="228">
        <v>1</v>
      </c>
      <c r="B47" s="11" t="s">
        <v>579</v>
      </c>
      <c r="C47" s="91" t="s">
        <v>313</v>
      </c>
    </row>
    <row r="48" spans="1:3" x14ac:dyDescent="0.25">
      <c r="A48" s="228">
        <v>2</v>
      </c>
      <c r="B48" s="11" t="s">
        <v>650</v>
      </c>
      <c r="C48" s="91" t="s">
        <v>313</v>
      </c>
    </row>
    <row r="49" spans="1:3" x14ac:dyDescent="0.25">
      <c r="A49" s="228">
        <v>3</v>
      </c>
      <c r="B49" s="11" t="s">
        <v>580</v>
      </c>
      <c r="C49" s="91" t="s">
        <v>313</v>
      </c>
    </row>
    <row r="50" spans="1:3" x14ac:dyDescent="0.25">
      <c r="A50" s="228">
        <v>4</v>
      </c>
      <c r="B50" s="11" t="s">
        <v>584</v>
      </c>
      <c r="C50" s="91" t="s">
        <v>313</v>
      </c>
    </row>
    <row r="51" spans="1:3" x14ac:dyDescent="0.25">
      <c r="A51" s="228">
        <v>5</v>
      </c>
      <c r="B51" s="11" t="s">
        <v>588</v>
      </c>
      <c r="C51" s="91" t="s">
        <v>313</v>
      </c>
    </row>
    <row r="52" spans="1:3" x14ac:dyDescent="0.25">
      <c r="A52" s="228">
        <v>6</v>
      </c>
      <c r="B52" s="11" t="s">
        <v>651</v>
      </c>
      <c r="C52" s="91" t="s">
        <v>313</v>
      </c>
    </row>
    <row r="53" spans="1:3" x14ac:dyDescent="0.25">
      <c r="A53" s="228">
        <v>7</v>
      </c>
      <c r="B53" s="11" t="s">
        <v>592</v>
      </c>
      <c r="C53" s="91" t="s">
        <v>313</v>
      </c>
    </row>
    <row r="54" spans="1:3" x14ac:dyDescent="0.25">
      <c r="A54" s="228">
        <v>8</v>
      </c>
      <c r="B54" s="11" t="s">
        <v>615</v>
      </c>
      <c r="C54" s="91" t="s">
        <v>313</v>
      </c>
    </row>
    <row r="55" spans="1:3" x14ac:dyDescent="0.25">
      <c r="A55" s="228">
        <v>9</v>
      </c>
      <c r="B55" s="11" t="s">
        <v>616</v>
      </c>
      <c r="C55" s="91" t="s">
        <v>313</v>
      </c>
    </row>
    <row r="56" spans="1:3" x14ac:dyDescent="0.25">
      <c r="A56" s="228">
        <v>10</v>
      </c>
      <c r="B56" s="11" t="s">
        <v>617</v>
      </c>
      <c r="C56" s="91" t="s">
        <v>313</v>
      </c>
    </row>
    <row r="57" spans="1:3" x14ac:dyDescent="0.25">
      <c r="A57" s="228">
        <v>11</v>
      </c>
      <c r="B57" s="11" t="s">
        <v>652</v>
      </c>
      <c r="C57" s="91" t="s">
        <v>313</v>
      </c>
    </row>
    <row r="58" spans="1:3" x14ac:dyDescent="0.25">
      <c r="A58" s="228">
        <v>12</v>
      </c>
      <c r="B58" s="11" t="s">
        <v>621</v>
      </c>
      <c r="C58" s="91" t="s">
        <v>313</v>
      </c>
    </row>
    <row r="59" spans="1:3" x14ac:dyDescent="0.25">
      <c r="A59" s="228">
        <v>13</v>
      </c>
      <c r="B59" s="11" t="s">
        <v>629</v>
      </c>
      <c r="C59" s="91" t="s">
        <v>313</v>
      </c>
    </row>
    <row r="60" spans="1:3" x14ac:dyDescent="0.25">
      <c r="A60" s="228">
        <v>14</v>
      </c>
      <c r="B60" s="11" t="s">
        <v>630</v>
      </c>
      <c r="C60" s="91" t="s">
        <v>313</v>
      </c>
    </row>
    <row r="61" spans="1:3" x14ac:dyDescent="0.25">
      <c r="A61" s="228">
        <v>15</v>
      </c>
      <c r="B61" s="11" t="s">
        <v>636</v>
      </c>
      <c r="C61" s="91" t="s">
        <v>313</v>
      </c>
    </row>
    <row r="62" spans="1:3" x14ac:dyDescent="0.25">
      <c r="A62" s="228">
        <v>16</v>
      </c>
      <c r="B62" s="11" t="s">
        <v>655</v>
      </c>
      <c r="C62" s="91" t="s">
        <v>313</v>
      </c>
    </row>
    <row r="63" spans="1:3" x14ac:dyDescent="0.25">
      <c r="A63" s="228">
        <v>17</v>
      </c>
      <c r="B63" s="11" t="s">
        <v>656</v>
      </c>
      <c r="C63" s="91" t="s">
        <v>313</v>
      </c>
    </row>
    <row r="64" spans="1:3" x14ac:dyDescent="0.25">
      <c r="A64" s="227"/>
      <c r="C64" s="91"/>
    </row>
    <row r="65" spans="1:3" ht="19.5" thickBot="1" x14ac:dyDescent="0.35">
      <c r="A65" s="106" t="s">
        <v>570</v>
      </c>
      <c r="B65" s="102"/>
      <c r="C65" s="101"/>
    </row>
    <row r="66" spans="1:3" ht="15.75" thickBot="1" x14ac:dyDescent="0.3">
      <c r="A66" s="104" t="s">
        <v>378</v>
      </c>
      <c r="B66" s="105" t="s">
        <v>106</v>
      </c>
      <c r="C66" s="104" t="s">
        <v>408</v>
      </c>
    </row>
    <row r="67" spans="1:3" x14ac:dyDescent="0.25">
      <c r="A67" s="103">
        <v>1</v>
      </c>
      <c r="B67" s="11" t="s">
        <v>657</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648</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658</v>
      </c>
    </row>
    <row r="84" spans="1:2" x14ac:dyDescent="0.25">
      <c r="A84" s="224">
        <v>5</v>
      </c>
      <c r="B84" s="11" t="s">
        <v>659</v>
      </c>
    </row>
    <row r="85" spans="1:2" x14ac:dyDescent="0.25">
      <c r="A85" s="224">
        <v>6</v>
      </c>
      <c r="B85" s="11" t="s">
        <v>660</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631</v>
      </c>
      <c r="B1" t="s">
        <v>632</v>
      </c>
      <c r="C1" s="250" t="s">
        <v>634</v>
      </c>
    </row>
    <row r="2" spans="1:3" ht="240" customHeight="1" x14ac:dyDescent="0.25">
      <c r="A2" s="253" t="s">
        <v>633</v>
      </c>
      <c r="C2" s="250" t="s">
        <v>635</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637</v>
      </c>
    </row>
    <row r="10" spans="1:3" ht="240" customHeight="1" x14ac:dyDescent="0.25">
      <c r="A10" s="254" t="str">
        <f>+MENU!G41</f>
        <v>612-1867-1</v>
      </c>
    </row>
    <row r="11" spans="1:3" ht="240" customHeight="1" x14ac:dyDescent="0.25">
      <c r="A11" s="251" t="s">
        <v>638</v>
      </c>
    </row>
    <row r="12" spans="1:3" ht="240" customHeight="1" x14ac:dyDescent="0.25">
      <c r="A12" s="251" t="s">
        <v>640</v>
      </c>
    </row>
    <row r="13" spans="1:3" ht="240" customHeight="1" x14ac:dyDescent="0.25">
      <c r="A13" s="251" t="s">
        <v>641</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31"/>
  <sheetViews>
    <sheetView showGridLines="0" tabSelected="1" zoomScaleNormal="100" workbookViewId="0">
      <selection activeCell="B12" sqref="B12"/>
    </sheetView>
  </sheetViews>
  <sheetFormatPr defaultColWidth="11.7109375" defaultRowHeight="15" x14ac:dyDescent="0.25"/>
  <cols>
    <col min="1" max="1" width="47.140625" style="264" bestFit="1" customWidth="1"/>
    <col min="2" max="2" width="59.7109375" style="4" bestFit="1" customWidth="1"/>
    <col min="3" max="5" width="11.7109375" style="4"/>
    <col min="6" max="6" width="11.7109375" style="270"/>
    <col min="7" max="9" width="11.7109375" style="4"/>
    <col min="10" max="16384" width="11.7109375" style="6"/>
  </cols>
  <sheetData>
    <row r="1" spans="1:14" ht="60.75" customHeight="1" x14ac:dyDescent="0.25">
      <c r="A1" s="274"/>
      <c r="B1" s="274"/>
      <c r="C1" s="274"/>
      <c r="D1" s="274"/>
      <c r="E1" s="274"/>
      <c r="F1" s="401"/>
      <c r="G1" s="401"/>
      <c r="H1" s="401"/>
      <c r="I1" s="401"/>
      <c r="J1" s="275"/>
      <c r="K1" s="276"/>
      <c r="L1" s="277"/>
    </row>
    <row r="2" spans="1:14" ht="28.5" customHeight="1" x14ac:dyDescent="0.25">
      <c r="A2" s="274"/>
      <c r="B2" s="274"/>
      <c r="C2" s="274"/>
      <c r="D2" s="274"/>
      <c r="E2" s="274"/>
      <c r="F2" s="402"/>
      <c r="G2" s="402"/>
      <c r="H2" s="402"/>
      <c r="I2" s="278"/>
      <c r="J2" s="275"/>
      <c r="K2" s="403" t="s">
        <v>671</v>
      </c>
      <c r="L2" s="404"/>
      <c r="M2" s="404"/>
      <c r="N2" s="405"/>
    </row>
    <row r="3" spans="1:14" x14ac:dyDescent="0.25">
      <c r="A3" s="268"/>
      <c r="B3" s="269"/>
      <c r="C3" s="269"/>
      <c r="D3" s="269"/>
      <c r="E3" s="269"/>
      <c r="F3" s="279"/>
      <c r="G3" s="269"/>
      <c r="H3" s="269"/>
      <c r="I3" s="269"/>
      <c r="J3" s="275"/>
      <c r="K3" s="406"/>
      <c r="L3" s="407"/>
      <c r="M3" s="407"/>
      <c r="N3" s="408"/>
    </row>
    <row r="4" spans="1:14" x14ac:dyDescent="0.25">
      <c r="A4" s="268" t="s">
        <v>666</v>
      </c>
      <c r="B4" s="269" t="s">
        <v>667</v>
      </c>
      <c r="C4" s="269"/>
      <c r="D4" s="269"/>
      <c r="E4" s="269" t="s">
        <v>667</v>
      </c>
      <c r="F4" s="271"/>
      <c r="G4" s="269"/>
      <c r="H4" s="269"/>
      <c r="I4" s="269"/>
      <c r="J4" s="275"/>
      <c r="K4" s="280"/>
      <c r="L4" s="269" t="s">
        <v>168</v>
      </c>
      <c r="M4" s="272">
        <f ca="1">TODAY()</f>
        <v>42773</v>
      </c>
      <c r="N4" s="281"/>
    </row>
    <row r="5" spans="1:14" x14ac:dyDescent="0.25">
      <c r="A5" s="266" t="s">
        <v>492</v>
      </c>
      <c r="B5" s="267" t="str">
        <f>'WORKCELL CONFIGURATOR'!H4</f>
        <v>Delta 6</v>
      </c>
      <c r="C5" s="267"/>
      <c r="E5" s="4">
        <f>LOOKUP(B5,WORK_CELL,MENU!AA4:AA5)</f>
        <v>1</v>
      </c>
      <c r="F5" s="265"/>
      <c r="K5" s="280"/>
      <c r="L5" s="269" t="s">
        <v>204</v>
      </c>
      <c r="M5" s="272" t="str">
        <f>'WORKCELL BOM'!L2</f>
        <v>GLBE4722</v>
      </c>
      <c r="N5" s="281"/>
    </row>
    <row r="6" spans="1:14" x14ac:dyDescent="0.25">
      <c r="A6" s="268" t="s">
        <v>451</v>
      </c>
      <c r="B6" s="267" t="str">
        <f>'WORKCELL CONFIGURATOR'!H9</f>
        <v>N</v>
      </c>
      <c r="C6" s="269"/>
      <c r="E6" s="4">
        <f>IF(B6="Y",1,0)</f>
        <v>0</v>
      </c>
      <c r="F6" s="265"/>
      <c r="K6" s="280"/>
      <c r="L6" s="269" t="s">
        <v>215</v>
      </c>
      <c r="M6" s="269" t="str">
        <f>'WORKCELL BOM'!L3</f>
        <v>S1087</v>
      </c>
      <c r="N6" s="281"/>
    </row>
    <row r="7" spans="1:14" x14ac:dyDescent="0.25">
      <c r="A7" s="268" t="s">
        <v>454</v>
      </c>
      <c r="B7" s="267" t="str">
        <f>'WORKCELL CONFIGURATOR'!H14</f>
        <v>N</v>
      </c>
      <c r="C7" s="269"/>
      <c r="E7" s="4">
        <f>IF(B7="Y",1,0)</f>
        <v>0</v>
      </c>
      <c r="F7" s="265"/>
      <c r="K7" s="280"/>
      <c r="L7" s="269" t="s">
        <v>670</v>
      </c>
      <c r="M7" s="269" t="str">
        <f>'WORKCELL FORMS'!R3</f>
        <v>Global Engineering</v>
      </c>
      <c r="N7" s="281"/>
    </row>
    <row r="8" spans="1:14" x14ac:dyDescent="0.25">
      <c r="A8" s="268" t="s">
        <v>504</v>
      </c>
      <c r="B8" s="267" t="str">
        <f>'WORKCELL CONFIGURATOR'!H21</f>
        <v>FC100-CF</v>
      </c>
      <c r="C8" s="269"/>
      <c r="E8" s="4">
        <f>IF(B8=0,0,LOOKUP(B8,MENU!$B$45:$B$52,MENU!$AA$45:$AA$52))</f>
        <v>1</v>
      </c>
      <c r="F8" s="265"/>
      <c r="K8" s="280"/>
      <c r="L8" s="275"/>
      <c r="M8" s="275"/>
      <c r="N8" s="281"/>
    </row>
    <row r="9" spans="1:14" x14ac:dyDescent="0.25">
      <c r="A9" s="268" t="s">
        <v>506</v>
      </c>
      <c r="B9" s="267" t="str">
        <f>'WORKCELL CONFIGURATOR'!H23</f>
        <v>FCS300-R</v>
      </c>
      <c r="C9" s="269"/>
      <c r="E9" s="4">
        <f>IF(B9=0,0,LOOKUP(B9,MENU!$B$45:$B$52,MENU!$AA$45:$AA$52))</f>
        <v>2</v>
      </c>
      <c r="F9" s="265"/>
      <c r="K9" s="280"/>
      <c r="L9" s="269"/>
      <c r="M9" s="269"/>
      <c r="N9" s="281"/>
    </row>
    <row r="10" spans="1:14" x14ac:dyDescent="0.25">
      <c r="A10" s="268" t="s">
        <v>531</v>
      </c>
      <c r="B10" s="267" t="str">
        <f>'WORKCELL CONFIGURATOR'!H25</f>
        <v>FC100-C4, 23g</v>
      </c>
      <c r="C10" s="269"/>
      <c r="E10" s="4">
        <f>IF(B10=0,0,LOOKUP(B10,MENU!$B$45:$B$52,MENU!$AA$45:$AA$52))</f>
        <v>1</v>
      </c>
      <c r="F10" s="265"/>
      <c r="K10" s="280"/>
      <c r="L10" s="269"/>
      <c r="M10" s="269"/>
      <c r="N10" s="281"/>
    </row>
    <row r="11" spans="1:14" x14ac:dyDescent="0.25">
      <c r="A11" s="268" t="s">
        <v>509</v>
      </c>
      <c r="B11" s="267" t="str">
        <f>'WORKCELL CONFIGURATOR'!H27</f>
        <v>FCS300-ES-ND</v>
      </c>
      <c r="C11" s="269"/>
      <c r="E11" s="4">
        <f>IF(B11=0,0,LOOKUP(B11,MENU!$B$45:$B$52,MENU!$AA$45:$AA$52))</f>
        <v>2</v>
      </c>
      <c r="F11" s="265"/>
      <c r="K11" s="280"/>
      <c r="L11" s="269"/>
      <c r="M11" s="269"/>
      <c r="N11" s="281"/>
    </row>
    <row r="12" spans="1:14" x14ac:dyDescent="0.25">
      <c r="A12" s="266" t="s">
        <v>668</v>
      </c>
      <c r="B12" s="267" t="str">
        <f>'WORKCELL CONFIGURATOR'!H30</f>
        <v>Edge Chain Conveyor - Manual Adjust</v>
      </c>
      <c r="C12" s="269"/>
      <c r="E12" s="4">
        <f>VLOOKUP(B12,MENU!B55:AA64,26,FALSE)</f>
        <v>2</v>
      </c>
      <c r="F12" s="265"/>
      <c r="K12" s="280"/>
      <c r="L12" s="275"/>
      <c r="M12" s="275"/>
      <c r="N12" s="281"/>
    </row>
    <row r="13" spans="1:14" x14ac:dyDescent="0.25">
      <c r="A13" s="266" t="s">
        <v>13</v>
      </c>
      <c r="B13" s="267">
        <f>'WORKCELL CONFIGURATOR'!H31</f>
        <v>0</v>
      </c>
      <c r="C13" s="269"/>
      <c r="E13" s="4">
        <f>IF(B13=0,0,IF(B13="Left to Right",1,2))</f>
        <v>0</v>
      </c>
      <c r="F13" s="265"/>
      <c r="K13" s="282"/>
      <c r="L13" s="273"/>
      <c r="M13" s="273"/>
      <c r="N13" s="283"/>
    </row>
    <row r="14" spans="1:14" x14ac:dyDescent="0.25">
      <c r="A14" s="266" t="s">
        <v>612</v>
      </c>
      <c r="B14" s="267" t="str">
        <f>'WORKCELL CONFIGURATOR'!H32</f>
        <v>Pin Locators</v>
      </c>
      <c r="C14" s="269"/>
      <c r="E14" s="4">
        <f>IF(OR((B14=0),(B14="N")),0,IF(B14="Pin Locators",1,2))</f>
        <v>1</v>
      </c>
      <c r="F14" s="265"/>
    </row>
    <row r="15" spans="1:14" x14ac:dyDescent="0.25">
      <c r="A15" s="266" t="s">
        <v>565</v>
      </c>
      <c r="B15" s="267">
        <f>'WORKCELL CONFIGURATOR'!H33</f>
        <v>0</v>
      </c>
      <c r="E15" s="4">
        <f>IF(OR((B15=0),B15="N"),0,1)</f>
        <v>0</v>
      </c>
      <c r="F15" s="265"/>
    </row>
    <row r="16" spans="1:14" x14ac:dyDescent="0.25">
      <c r="A16" s="268" t="s">
        <v>436</v>
      </c>
      <c r="B16" s="267" t="str">
        <f>'WORKCELL CONFIGURATOR'!H35</f>
        <v>Programming Camera</v>
      </c>
      <c r="E16" s="4">
        <f>IF(B16="N",0,LOOKUP(B16,MENU!B71:B72,MENU!AA71:AA72))</f>
        <v>2</v>
      </c>
      <c r="F16" s="265"/>
    </row>
    <row r="17" spans="1:9" x14ac:dyDescent="0.25">
      <c r="A17" s="266" t="s">
        <v>582</v>
      </c>
      <c r="B17" s="267">
        <f>'WORKCELL CONFIGURATOR'!H37</f>
        <v>0</v>
      </c>
      <c r="E17" s="4">
        <f>IF(B17="Y",1,0)</f>
        <v>0</v>
      </c>
      <c r="F17" s="265"/>
    </row>
    <row r="18" spans="1:9" x14ac:dyDescent="0.25">
      <c r="A18" s="266" t="s">
        <v>583</v>
      </c>
      <c r="B18" s="267">
        <f>'WORKCELL CONFIGURATOR'!H38</f>
        <v>0</v>
      </c>
      <c r="E18" s="4">
        <f t="shared" ref="E18:E20" si="0">IF(B18="Y",1,0)</f>
        <v>0</v>
      </c>
      <c r="F18" s="265"/>
    </row>
    <row r="19" spans="1:9" x14ac:dyDescent="0.25">
      <c r="A19" s="266" t="s">
        <v>3</v>
      </c>
      <c r="B19" s="267" t="str">
        <f>'WORKCELL CONFIGURATOR'!H39</f>
        <v>N</v>
      </c>
      <c r="E19" s="4">
        <f t="shared" si="0"/>
        <v>0</v>
      </c>
      <c r="F19" s="265"/>
    </row>
    <row r="20" spans="1:9" x14ac:dyDescent="0.25">
      <c r="A20" s="266" t="s">
        <v>141</v>
      </c>
      <c r="B20" s="267" t="str">
        <f>'WORKCELL CONFIGURATOR'!H40</f>
        <v>Y</v>
      </c>
      <c r="E20" s="4">
        <f t="shared" si="0"/>
        <v>1</v>
      </c>
      <c r="F20" s="265"/>
    </row>
    <row r="23" spans="1:9" x14ac:dyDescent="0.25">
      <c r="A23" s="284" t="s">
        <v>426</v>
      </c>
      <c r="B23" s="4" t="str">
        <f>'WORKCELL CONFIGURATOR'!H19</f>
        <v>4 Station Dispense Head Dual Tooled Manually Adjustable, 32-200mm</v>
      </c>
      <c r="E23" s="4">
        <f>VLOOKUP(B23,MENU!B32:AA41,26,FALSE)</f>
        <v>6</v>
      </c>
      <c r="F23" s="6"/>
      <c r="G23" s="6"/>
      <c r="H23" s="6"/>
      <c r="I23" s="6"/>
    </row>
    <row r="24" spans="1:9" x14ac:dyDescent="0.25">
      <c r="F24" s="6"/>
      <c r="G24" s="6"/>
      <c r="H24" s="6"/>
      <c r="I24" s="6"/>
    </row>
    <row r="25" spans="1:9" x14ac:dyDescent="0.25">
      <c r="F25" s="6"/>
      <c r="G25" s="6"/>
      <c r="H25" s="6"/>
      <c r="I25" s="6"/>
    </row>
    <row r="26" spans="1:9" x14ac:dyDescent="0.25">
      <c r="A26" s="31" t="s">
        <v>208</v>
      </c>
      <c r="B26" s="4" t="str">
        <f>'WORKCELL CONFIGURATOR'!H8</f>
        <v>2 Liter Bottle Pressure Reservoir with Scale</v>
      </c>
      <c r="E26" s="4">
        <f>VLOOKUP(B26,MENU!B8:AA29,26,FALSE)</f>
        <v>1</v>
      </c>
      <c r="F26" s="6"/>
      <c r="G26" s="6"/>
      <c r="H26" s="6"/>
      <c r="I26" s="6"/>
    </row>
    <row r="27" spans="1:9" x14ac:dyDescent="0.25">
      <c r="A27" s="31" t="s">
        <v>209</v>
      </c>
      <c r="B27" s="4" t="str">
        <f>'WORKCELL CONFIGURATOR'!H13</f>
        <v>2 Liter Bottle Pressure Reservoir</v>
      </c>
      <c r="E27" s="4">
        <f>VLOOKUP(B27,MENU!B8:AA29,26,FALSE)</f>
        <v>0</v>
      </c>
      <c r="F27" s="6"/>
      <c r="G27" s="6"/>
      <c r="H27" s="6"/>
      <c r="I27" s="6"/>
    </row>
    <row r="28" spans="1:9" x14ac:dyDescent="0.25">
      <c r="A28" s="31"/>
      <c r="F28" s="6"/>
      <c r="G28" s="6"/>
      <c r="H28" s="6"/>
      <c r="I28" s="6"/>
    </row>
    <row r="29" spans="1:9" x14ac:dyDescent="0.25">
      <c r="A29" s="31"/>
      <c r="F29" s="6"/>
      <c r="G29" s="6"/>
      <c r="H29" s="6"/>
      <c r="I29" s="6"/>
    </row>
    <row r="30" spans="1:9" x14ac:dyDescent="0.25">
      <c r="F30" s="6"/>
      <c r="G30" s="6"/>
      <c r="H30" s="6"/>
      <c r="I30" s="6"/>
    </row>
    <row r="31" spans="1:9" x14ac:dyDescent="0.25">
      <c r="F31" s="6"/>
      <c r="G31" s="6"/>
      <c r="H31" s="6"/>
      <c r="I31" s="6"/>
    </row>
  </sheetData>
  <mergeCells count="3">
    <mergeCell ref="F1:I1"/>
    <mergeCell ref="F2:H2"/>
    <mergeCell ref="K2:N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2017-02-07T14:09:23Z</dcterms:modified>
</cp:coreProperties>
</file>