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visibility="hidden" xWindow="5610" yWindow="7290" windowWidth="16500" windowHeight="7245" tabRatio="751" activeTab="1"/>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33" i="2" l="1"/>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4" i="10"/>
  <c r="L2" i="4" l="1"/>
  <c r="M5" i="10" s="1"/>
  <c r="C2" i="1" l="1"/>
  <c r="L10" i="4" l="1"/>
  <c r="F7" i="10" s="1"/>
  <c r="F4" i="7" l="1"/>
  <c r="C21" i="2" l="1"/>
  <c r="D22" i="2"/>
  <c r="A5" i="9" l="1"/>
  <c r="A6" i="9"/>
  <c r="A7" i="9"/>
  <c r="A8" i="9"/>
  <c r="A10" i="9"/>
  <c r="A4" i="9"/>
  <c r="I38" i="1" l="1"/>
  <c r="G38" i="1"/>
  <c r="S18" i="2"/>
  <c r="L52" i="4" l="1"/>
  <c r="A20" i="2" l="1"/>
  <c r="I40" i="4" l="1"/>
  <c r="C37" i="10" s="1"/>
  <c r="I41" i="4"/>
  <c r="C38" i="10" s="1"/>
  <c r="H41" i="4"/>
  <c r="B38" i="10" s="1"/>
  <c r="L27" i="2" l="1"/>
  <c r="L25" i="2"/>
  <c r="L23" i="2"/>
  <c r="L21" i="2"/>
  <c r="L19" i="2"/>
  <c r="B21" i="2" s="1"/>
  <c r="L9" i="2"/>
  <c r="L8" i="2"/>
  <c r="A21" i="2" l="1"/>
  <c r="O11" i="4"/>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I42" i="4"/>
  <c r="C39" i="10"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l="1"/>
  <c r="C44" i="10" s="1"/>
  <c r="B44" i="10"/>
  <c r="G47" i="4"/>
  <c r="S69" i="6"/>
  <c r="S70" i="6"/>
  <c r="R47" i="4" l="1"/>
  <c r="S47" i="4" s="1"/>
  <c r="N47" i="4"/>
  <c r="Q47" i="4"/>
  <c r="M47" i="4"/>
  <c r="P47" i="4"/>
  <c r="O47" i="4"/>
  <c r="A44" i="10"/>
  <c r="G44" i="10" s="1"/>
  <c r="A50" i="4" l="1"/>
  <c r="L40" i="4" l="1"/>
  <c r="F37" i="10" s="1"/>
  <c r="G40" i="4" l="1"/>
  <c r="H40" i="4"/>
  <c r="B37" i="10" s="1"/>
  <c r="H44" i="4"/>
  <c r="B41" i="10" s="1"/>
  <c r="C32" i="2"/>
  <c r="B32" i="2"/>
  <c r="O40" i="4" l="1"/>
  <c r="A37" i="10"/>
  <c r="G37" i="10" s="1"/>
  <c r="M41" i="4"/>
  <c r="P41" i="4"/>
  <c r="N41" i="4"/>
  <c r="Q41" i="4"/>
  <c r="R41" i="4"/>
  <c r="G41" i="4"/>
  <c r="A32" i="2"/>
  <c r="O41" i="4" l="1"/>
  <c r="A38" i="10"/>
  <c r="S41" i="4"/>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C10" i="10" s="1"/>
  <c r="I15" i="4"/>
  <c r="C12" i="10" s="1"/>
  <c r="I18" i="4"/>
  <c r="C15" i="10" s="1"/>
  <c r="I24" i="4"/>
  <c r="C21" i="10" s="1"/>
  <c r="I26" i="4"/>
  <c r="C23" i="10" s="1"/>
  <c r="I28" i="4"/>
  <c r="C25" i="10" s="1"/>
  <c r="I30" i="4"/>
  <c r="C27" i="10" s="1"/>
  <c r="I32" i="4"/>
  <c r="C29" i="10" s="1"/>
  <c r="L36" i="4"/>
  <c r="F33" i="10" s="1"/>
  <c r="I39" i="4"/>
  <c r="C36" i="10" s="1"/>
  <c r="I44" i="4"/>
  <c r="C41" i="10" s="1"/>
  <c r="G37" i="2"/>
  <c r="H46" i="4" s="1"/>
  <c r="G39" i="2"/>
  <c r="H48" i="4" s="1"/>
  <c r="I9" i="4"/>
  <c r="G40" i="2"/>
  <c r="H49" i="4" s="1"/>
  <c r="G9" i="4"/>
  <c r="A6" i="10" s="1"/>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C33" i="2"/>
  <c r="A33" i="2" s="1"/>
  <c r="C31" i="2"/>
  <c r="A31" i="2" s="1"/>
  <c r="H52" i="4"/>
  <c r="H24" i="4"/>
  <c r="B21" i="10" s="1"/>
  <c r="H26" i="4"/>
  <c r="B23" i="10" s="1"/>
  <c r="H28" i="4"/>
  <c r="B25" i="10" s="1"/>
  <c r="H30" i="4"/>
  <c r="B27" i="10" s="1"/>
  <c r="H32" i="4"/>
  <c r="B29" i="10" s="1"/>
  <c r="H39" i="4"/>
  <c r="B36" i="10" s="1"/>
  <c r="H13" i="4"/>
  <c r="B10" i="10" s="1"/>
  <c r="H14" i="4"/>
  <c r="B11" i="10" s="1"/>
  <c r="H15" i="4"/>
  <c r="B12" i="10" s="1"/>
  <c r="H18" i="4"/>
  <c r="B15" i="10" s="1"/>
  <c r="H19" i="4"/>
  <c r="B16" i="10" s="1"/>
  <c r="H20" i="4"/>
  <c r="B17" i="10" s="1"/>
  <c r="G4" i="2"/>
  <c r="H9" i="4" s="1"/>
  <c r="B6" i="10"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M6" i="10" s="1"/>
  <c r="B4" i="6"/>
  <c r="I3" i="4"/>
  <c r="L4" i="4"/>
  <c r="E4" i="7"/>
  <c r="S68" i="6"/>
  <c r="O64" i="6"/>
  <c r="M41" i="6"/>
  <c r="G50" i="6"/>
  <c r="R50" i="6"/>
  <c r="R3" i="6"/>
  <c r="M7" i="10" s="1"/>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A10" i="2"/>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A24" i="2"/>
  <c r="L37" i="4"/>
  <c r="F34" i="10" s="1"/>
  <c r="L28" i="2"/>
  <c r="B22" i="2"/>
  <c r="A23" i="2"/>
  <c r="A25" i="2"/>
  <c r="A27" i="2"/>
  <c r="B26" i="2"/>
  <c r="A26" i="2" s="1"/>
  <c r="A17" i="2"/>
  <c r="B15" i="2"/>
  <c r="A15" i="2" s="1"/>
  <c r="A16" i="2"/>
  <c r="A14" i="2"/>
  <c r="N9" i="2"/>
  <c r="Q9" i="2" s="1"/>
  <c r="R9" i="2" s="1"/>
  <c r="B28" i="2"/>
  <c r="N8" i="2"/>
  <c r="Q8" i="2" s="1"/>
  <c r="R8" i="2" s="1"/>
  <c r="B9" i="2"/>
  <c r="A9" i="2"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A28" i="2"/>
  <c r="A22" i="2"/>
  <c r="L47" i="4"/>
  <c r="F44" i="10" s="1"/>
  <c r="L9" i="4"/>
  <c r="F6" i="10" s="1"/>
  <c r="G6" i="10" s="1"/>
  <c r="Q42" i="4"/>
  <c r="R42" i="4"/>
  <c r="M42" i="4"/>
  <c r="N42" i="4"/>
  <c r="P42" i="4"/>
  <c r="K27" i="2"/>
  <c r="K25" i="2"/>
  <c r="K23" i="2"/>
  <c r="K21" i="2"/>
  <c r="L65" i="4"/>
  <c r="L41" i="4"/>
  <c r="F38" i="10" s="1"/>
  <c r="G42" i="4"/>
  <c r="A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39" i="10" l="1"/>
  <c r="G36" i="10"/>
  <c r="G27" i="10"/>
  <c r="G25" i="10"/>
  <c r="G7" i="10"/>
  <c r="G38" i="10"/>
  <c r="G46" i="10"/>
  <c r="G15" i="10"/>
  <c r="G23" i="10"/>
  <c r="G16" i="10"/>
  <c r="G41" i="10"/>
  <c r="G10" i="10"/>
  <c r="G11" i="10"/>
  <c r="G21" i="10"/>
  <c r="N68" i="4"/>
  <c r="Q68" i="4"/>
  <c r="L1" i="2" s="1"/>
  <c r="F49" i="2" s="1"/>
  <c r="P68" i="4"/>
  <c r="M68" i="4"/>
  <c r="O42" i="4"/>
  <c r="O68" i="4" s="1"/>
  <c r="F50" i="2" s="1"/>
  <c r="S42" i="4"/>
  <c r="S68" i="4" s="1"/>
  <c r="I49" i="2" s="1"/>
  <c r="D39" i="4" l="1"/>
  <c r="L39" i="4" s="1"/>
  <c r="F36" i="10" s="1"/>
  <c r="I36" i="10"/>
  <c r="I50" i="2"/>
  <c r="P70" i="4"/>
  <c r="L11" i="4" s="1"/>
  <c r="F8" i="10" s="1"/>
  <c r="G8" i="10" s="1"/>
  <c r="I4" i="4"/>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<sst xmlns="http://schemas.openxmlformats.org/spreadsheetml/2006/main" count="1737" uniqueCount="670">
  <si>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</si>
  <si>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</si>
  <si>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</si>
  <si>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</si>
  <si>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</si>
  <si>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</si>
  <si>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</si>
  <si>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</si>
  <si>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</si>
  <si>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</si>
  <si>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</si>
  <si>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</si>
  <si>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</si>
  <si>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</si>
  <si>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</si>
  <si>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</si>
  <si>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</si>
  <si>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</si>
  <si>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</si>
  <si>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</si>
  <si>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</si>
  <si>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</si>
  <si>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</si>
  <si>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</si>
  <si>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</si>
  <si>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</si>
  <si>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</si>
  <si>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</si>
  <si>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</si>
  <si>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</si>
  <si>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</si>
  <si>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</si>
  <si>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</si>
  <si>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</si>
  <si>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</si>
  <si>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</si>
  <si>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</si>
  <si>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</si>
  <si>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</si>
  <si>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</si>
  <si>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</si>
  <si>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</si>
  <si>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</si>
  <si>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</si>
  <si>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</si>
  <si>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</si>
  <si>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</si>
  <si>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</si>
  <si>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</si>
  <si>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</si>
  <si>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</si>
  <si>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</si>
  <si>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</si>
  <si>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</si>
  <si>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</si>
  <si>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</si>
  <si>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</si>
  <si>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</si>
  <si>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</si>
  <si>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</si>
  <si>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</si>
  <si>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</si>
  <si>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</si>
  <si>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</si>
  <si>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</si>
  <si>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</si>
  <si>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</si>
  <si>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</si>
  <si>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</si>
  <si>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</si>
  <si>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</si>
  <si>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</si>
  <si>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</si>
  <si>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</si>
  <si>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</si>
  <si>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</si>
  <si>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</si>
  <si>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</si>
  <si>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</si>
  <si>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</si>
  <si>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</si>
  <si>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</si>
  <si>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</si>
  <si>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</si>
  <si>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</si>
  <si>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</si>
  <si>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</si>
  <si>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</si>
  <si>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</si>
  <si>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</si>
  <si>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</si>
  <si>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</si>
  <si>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</si>
  <si>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</si>
  <si>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</si>
  <si>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</si>
  <si>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</si>
  <si>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</si>
  <si>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</si>
  <si>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</si>
  <si>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</si>
  <si>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</si>
  <si>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</si>
  <si>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</si>
  <si>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</si>
  <si>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</si>
  <si>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</si>
  <si>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</si>
  <si>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</si>
  <si>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</si>
  <si>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</si>
  <si>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</si>
  <si>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</si>
  <si>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</si>
  <si>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</si>
  <si>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</si>
  <si>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</si>
  <si>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</si>
  <si>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</si>
  <si>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</si>
  <si>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</si>
  <si>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</si>
  <si>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</si>
  <si>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</si>
  <si>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</si>
  <si>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</si>
  <si>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</si>
  <si>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</si>
  <si>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</si>
  <si>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</si>
  <si>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</si>
  <si>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</si>
  <si>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</si>
  <si>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</si>
  <si>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</si>
  <si>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</si>
  <si>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</si>
  <si>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</si>
  <si>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</si>
  <si>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</si>
  <si>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</si>
  <si>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</si>
  <si>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</si>
  <si>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</si>
  <si>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</si>
  <si>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</si>
  <si>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</si>
  <si>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</si>
  <si>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</si>
  <si>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</si>
  <si>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</si>
  <si>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</si>
  <si>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</si>
  <si>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</si>
  <si>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</si>
  <si>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</si>
  <si>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</si>
  <si>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</si>
  <si>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</si>
  <si>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</si>
  <si>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</si>
  <si>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</si>
  <si>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</si>
  <si>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</si>
  <si>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</si>
  <si>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</si>
  <si>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</si>
  <si>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</si>
  <si>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</si>
  <si>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</si>
  <si>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</si>
  <si>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</si>
  <si>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</si>
  <si>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</si>
  <si>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</si>
  <si>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</si>
  <si>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</si>
  <si>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</si>
  <si>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</si>
  <si>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</si>
  <si>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</si>
  <si>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</si>
  <si>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</si>
  <si>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</si>
  <si>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</si>
  <si>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</si>
  <si>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</si>
  <si>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</si>
  <si>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</si>
  <si>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</si>
  <si>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</si>
  <si>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</si>
  <si>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</si>
  <si>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</si>
  <si>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</si>
  <si>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</si>
  <si>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</si>
  <si>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</si>
  <si>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</si>
  <si>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</si>
  <si>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</si>
  <si>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</si>
  <si>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</si>
  <si>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</si>
  <si>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</si>
  <si>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</si>
  <si>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</si>
  <si>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</si>
  <si>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</si>
  <si>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</si>
  <si>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</si>
  <si>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</si>
  <si>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</si>
  <si>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</si>
  <si>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</si>
  <si>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</si>
  <si>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</si>
  <si>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</si>
  <si>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</si>
  <si>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</si>
  <si>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</si>
  <si>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</si>
  <si>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</si>
  <si>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</si>
  <si>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</si>
  <si>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</si>
  <si>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</si>
  <si>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</si>
  <si>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</si>
  <si>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</si>
  <si>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</si>
  <si>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</si>
  <si>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</si>
  <si>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</si>
  <si>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</si>
  <si>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</si>
  <si>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</si>
  <si>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</si>
  <si>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</si>
  <si>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</si>
  <si>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</si>
  <si>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</si>
  <si>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</si>
  <si>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</si>
  <si>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</si>
  <si>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</si>
  <si>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</si>
  <si>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</si>
  <si>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</si>
  <si>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</si>
  <si>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</si>
  <si>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</si>
  <si>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</si>
  <si>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</si>
  <si>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</si>
  <si>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</si>
  <si>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</si>
  <si>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</si>
  <si>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</si>
  <si>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</si>
  <si>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</si>
  <si>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</si>
  <si>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</si>
  <si>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</si>
  <si>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</si>
  <si>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</si>
  <si>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</si>
  <si>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</si>
  <si>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</si>
  <si>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</si>
  <si>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</si>
  <si>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</si>
  <si>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</si>
  <si>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</si>
  <si>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</si>
  <si>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</si>
  <si>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</si>
  <si>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</si>
  <si>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</si>
  <si>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</si>
  <si>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</si>
  <si>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</si>
  <si>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</si>
  <si>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</si>
  <si>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</si>
  <si>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</si>
  <si>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</si>
  <si>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</si>
  <si>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</si>
  <si>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</si>
  <si>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</si>
  <si>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</si>
  <si>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</si>
  <si>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</si>
  <si>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</si>
  <si>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</si>
  <si>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</si>
  <si>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</si>
  <si>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</si>
  <si>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</si>
  <si>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</si>
  <si>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</si>
  <si>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</si>
  <si>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</si>
  <si>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</si>
  <si>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</si>
  <si>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</si>
  <si>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</si>
  <si>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</si>
  <si>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</si>
  <si>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</si>
  <si>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</si>
  <si>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</si>
  <si>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</si>
  <si>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</si>
  <si>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</si>
  <si>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</si>
  <si>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</si>
  <si>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</si>
  <si>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</si>
  <si>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</si>
  <si>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</si>
  <si>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</si>
  <si>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</si>
  <si>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</si>
  <si>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</si>
  <si>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</si>
  <si>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</si>
  <si>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</si>
  <si>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</si>
  <si>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</si>
  <si>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</si>
  <si>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</si>
  <si>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</si>
  <si>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</si>
  <si>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</si>
  <si>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</si>
  <si>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</si>
  <si>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</si>
  <si>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</si>
  <si>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</si>
  <si>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</si>
  <si>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</si>
  <si>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</si>
  <si>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</si>
  <si>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</si>
  <si>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</si>
  <si>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</si>
  <si>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</si>
  <si>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</si>
  <si>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</si>
  <si>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</si>
  <si>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</si>
  <si>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</si>
  <si>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</si>
  <si>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</si>
  <si>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</si>
  <si>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</si>
  <si>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</si>
  <si>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</si>
  <si>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</si>
  <si>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</si>
  <si>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</si>
  <si>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</si>
  <si>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</si>
  <si>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</si>
  <si>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</si>
  <si>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</si>
  <si>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</si>
  <si>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</si>
  <si>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</si>
  <si>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</si>
  <si>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</si>
  <si>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</si>
  <si>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</si>
  <si>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</si>
  <si>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</si>
  <si>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</si>
  <si>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</si>
  <si>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</si>
  <si>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</si>
  <si>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</si>
  <si>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</si>
  <si>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</si>
  <si>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</si>
  <si>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</si>
  <si>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</si>
  <si>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</si>
  <si>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</si>
  <si>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</si>
  <si>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</si>
  <si>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</si>
  <si>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</si>
  <si>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</si>
  <si>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</si>
  <si>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</si>
  <si>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</si>
  <si>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</si>
  <si>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</si>
  <si>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</si>
  <si>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</si>
  <si>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</si>
  <si>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</si>
  <si>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</si>
  <si>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</si>
  <si>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</si>
  <si>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</si>
  <si>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</si>
  <si>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</si>
  <si>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</si>
  <si>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</si>
  <si>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</si>
  <si>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</si>
  <si>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</si>
  <si>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</si>
  <si>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</si>
  <si>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</si>
  <si>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</si>
  <si>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</si>
  <si>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</si>
  <si>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</si>
  <si>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</si>
  <si>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</si>
  <si>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</si>
  <si>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</si>
  <si>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</si>
  <si>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</si>
  <si>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</si>
  <si>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</si>
  <si>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</si>
  <si>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</si>
  <si>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</si>
  <si>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</si>
  <si>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</si>
  <si>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</si>
  <si>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</si>
  <si>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</si>
  <si>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</si>
  <si>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</si>
  <si>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</si>
  <si>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</si>
  <si>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</si>
  <si>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</si>
  <si>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</si>
  <si>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</si>
  <si>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</si>
  <si>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</si>
  <si>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</si>
  <si>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</si>
  <si>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</si>
  <si>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</si>
  <si>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</si>
  <si>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</si>
  <si>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</si>
  <si>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</si>
  <si>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</si>
  <si>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</si>
  <si>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</si>
  <si>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</si>
  <si>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</si>
  <si>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</si>
  <si>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</si>
  <si>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</si>
  <si>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</si>
  <si>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</si>
  <si>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</si>
  <si>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</si>
  <si>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</si>
  <si>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</si>
  <si>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</si>
  <si>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</si>
  <si>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</si>
  <si>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</si>
  <si>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</si>
  <si>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</si>
  <si>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</si>
  <si>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</si>
  <si>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</si>
  <si>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</si>
  <si>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</si>
  <si>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</si>
  <si>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</si>
  <si>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</si>
  <si>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</si>
  <si>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</si>
  <si>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</si>
  <si>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</si>
  <si>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</si>
  <si>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</si>
  <si>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</si>
  <si>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</si>
  <si>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</si>
  <si>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</si>
  <si>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</si>
  <si>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</si>
  <si>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</si>
  <si>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</si>
  <si>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</si>
  <si>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</si>
  <si>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</si>
  <si>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</si>
  <si>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</si>
  <si>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</si>
  <si>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</si>
  <si>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</si>
  <si>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</si>
  <si>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</si>
  <si>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</si>
  <si>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</si>
  <si>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</si>
  <si>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</si>
  <si>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</si>
  <si>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</si>
  <si>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</si>
  <si>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</si>
  <si>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</si>
  <si>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</si>
  <si>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</si>
  <si>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</si>
  <si>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</si>
  <si>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</si>
  <si>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</si>
  <si>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</si>
  <si>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</si>
  <si>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</si>
  <si>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</si>
  <si>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</si>
  <si>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</si>
  <si>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</si>
  <si>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</si>
  <si>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</si>
  <si>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</si>
  <si>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</si>
  <si>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</si>
  <si>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</si>
  <si>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</si>
  <si>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</si>
  <si>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</si>
  <si>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</si>
  <si>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</si>
  <si>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</si>
  <si>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</si>
  <si>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</si>
  <si>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</si>
  <si>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</si>
  <si>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</si>
  <si>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</si>
  <si>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</si>
  <si>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</si>
  <si>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</si>
  <si>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</si>
  <si>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</si>
  <si>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</si>
  <si>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</si>
  <si>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</si>
  <si>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</si>
  <si>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</si>
  <si>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</si>
  <si>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</si>
  <si>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</si>
  <si>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</si>
  <si>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</si>
  <si>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</si>
  <si>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</si>
  <si>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</si>
  <si>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</si>
  <si>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</si>
  <si>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</si>
  <si>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</si>
  <si>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</si>
  <si>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</si>
  <si>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</si>
  <si>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</si>
  <si>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</si>
  <si>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</si>
  <si>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</si>
  <si>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</si>
  <si>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</si>
  <si>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</si>
  <si>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</si>
  <si>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</si>
  <si>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</si>
  <si>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</si>
  <si>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</si>
  <si>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</si>
  <si>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</si>
  <si>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</si>
  <si>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</si>
  <si>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</si>
  <si>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</si>
  <si>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</si>
  <si>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</si>
  <si>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</si>
  <si>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</si>
  <si>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</si>
  <si>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</si>
  <si>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</si>
  <si>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</si>
  <si>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</si>
  <si>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</si>
  <si>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</si>
  <si>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</si>
  <si>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</si>
  <si>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</si>
  <si>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</si>
  <si>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</si>
  <si>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</si>
  <si>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</si>
  <si>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</si>
  <si>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</si>
  <si>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</si>
  <si>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</si>
  <si>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</si>
  <si>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</si>
  <si>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</si>
  <si>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</si>
  <si>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</si>
  <si>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</si>
  <si>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</si>
  <si>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</si>
  <si>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</si>
  <si>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</si>
  <si>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</si>
  <si>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</si>
  <si>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</si>
  <si>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</si>
  <si>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</si>
  <si>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</si>
  <si>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</si>
  <si>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</si>
  <si>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</si>
  <si>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</si>
  <si>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</si>
  <si>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</si>
  <si>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</si>
  <si>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</si>
  <si>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</si>
  <si>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</si>
  <si>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</si>
  <si>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</si>
  <si>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</si>
  <si>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</si>
  <si>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</si>
  <si>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</si>
  <si>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</si>
  <si>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</si>
  <si>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</si>
  <si>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</si>
  <si>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</si>
  <si>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</si>
  <si>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</si>
  <si>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</si>
  <si>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</si>
  <si>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</si>
  <si>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</si>
  <si>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</si>
  <si>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</si>
  <si>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</si>
  <si>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</si>
  <si>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</si>
  <si>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Notes: Material - CRAMOLIN plastic70</t>
  </si>
  <si>
    <t>Programming Value</t>
  </si>
  <si>
    <t>GLBE4470</t>
  </si>
  <si>
    <t>Company:</t>
  </si>
  <si>
    <t>Program Creation</t>
  </si>
  <si>
    <t>Barcode - Mounted on Conveyor Inlet with P Select</t>
  </si>
  <si>
    <t>Axes of Motion</t>
  </si>
  <si>
    <t>TEST2424</t>
  </si>
  <si>
    <t>S1999</t>
  </si>
  <si>
    <t>Lab Machine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</si>
</sst>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
      <left style="thick">
        <color theme="4"/>
      </left>
      <right/>
      <top style="thick">
        <color theme="4"/>
      </top>
      <bottom style="thick">
        <color theme="4"/>
      </bottom>
      <diagonal/>
    </border>
    <border>
      <left/>
      <right style="thick">
        <color theme="4"/>
      </right>
      <top style="thick">
        <color theme="4"/>
      </top>
      <bottom style="thick">
        <color theme="4"/>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14">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27" xfId="0" applyNumberFormat="1" applyBorder="1" applyAlignment="1">
      <alignment horizontal="left" vertical="center"/>
    </xf>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1" fontId="0" fillId="0" borderId="0" xfId="0" applyNumberFormat="1" applyFont="1" applyAlignment="1">
      <alignment horizontal="center" vertical="center"/>
    </xf>
    <xf numFmtId="0" fontId="24" fillId="0" borderId="29" xfId="2" applyFont="1" applyBorder="1" applyAlignment="1">
      <alignment horizontal="center" vertical="center"/>
    </xf>
    <xf numFmtId="0" fontId="0" fillId="0" borderId="30" xfId="0" applyFont="1" applyBorder="1" applyAlignment="1">
      <alignment horizontal="center" vertical="center"/>
    </xf>
    <xf numFmtId="0" fontId="0" fillId="0" borderId="0" xfId="4" applyNumberFormat="1" applyFont="1" applyAlignment="1">
      <alignment horizontal="center" vertical="center"/>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xf numFmtId="0" fontId="7" fillId="0" borderId="0" xfId="0" applyFont="1" applyBorder="1" applyAlignment="1">
      <alignment horizontal="center" vertical="center"/>
    </xf>
    <xf numFmtId="0" fontId="0" fillId="0" borderId="1" xfId="0"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36</xdr:row>
          <xdr:rowOff>121567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22082"/>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FLEX4718\DS%20Workcell%20Configurator%20A10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s>
    <sheetDataSet>
      <sheetData sheetId="0">
        <row r="64">
          <cell r="B64" t="str">
            <v>Barcode - Mounted on Conveyor Inlet with P Select</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4" zoomScaleNormal="100" workbookViewId="0">
      <pane xSplit="4" topLeftCell="E1" activePane="topRight" state="frozen"/>
      <selection pane="topRight" activeCell="I28" sqref="I28"/>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16.28515625" customWidth="1"/>
  </cols>
  <sheetData>
    <row r="1" spans="1:27" ht="61.5" customHeight="1" x14ac:dyDescent="0.25">
      <c r="A1" s="292"/>
      <c r="B1" s="293"/>
      <c r="C1" s="293"/>
      <c r="D1" s="294"/>
      <c r="E1" s="13"/>
      <c r="F1" s="115"/>
      <c r="G1" s="291" t="str">
        <f>+B4</f>
        <v>Delta 6</v>
      </c>
      <c r="H1" s="291"/>
      <c r="I1" s="291" t="str">
        <f>+B5</f>
        <v>Delta 8</v>
      </c>
      <c r="J1" s="291"/>
      <c r="L1" s="13"/>
      <c r="M1" s="13"/>
      <c r="N1" s="13"/>
      <c r="O1" s="38"/>
      <c r="P1" s="38"/>
      <c r="Q1" s="38"/>
      <c r="R1" s="38"/>
      <c r="T1" s="295" t="s">
        <v>593</v>
      </c>
      <c r="U1" s="295"/>
      <c r="V1" s="13"/>
    </row>
    <row r="2" spans="1:27" ht="41.25" customHeight="1" thickBot="1" x14ac:dyDescent="0.3">
      <c r="A2" s="290" t="s">
        <v>420</v>
      </c>
      <c r="B2" s="290"/>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63" t="s">
        <v>661</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89"/>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v>1</v>
      </c>
    </row>
    <row r="5" spans="1:27" x14ac:dyDescent="0.25">
      <c r="A5" s="115">
        <f>+A4+0.1</f>
        <v>1.2000000000000002</v>
      </c>
      <c r="B5" t="s">
        <v>411</v>
      </c>
      <c r="E5" s="289"/>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v>2</v>
      </c>
    </row>
    <row r="6" spans="1:27" x14ac:dyDescent="0.25">
      <c r="A6" s="114"/>
      <c r="H6" s="3"/>
      <c r="J6" s="3"/>
      <c r="L6" s="4"/>
      <c r="M6" s="4"/>
      <c r="N6" s="4"/>
      <c r="V6" s="22"/>
      <c r="X6" s="91"/>
      <c r="AA6">
        <v>0</v>
      </c>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c r="AA7">
        <v>0</v>
      </c>
    </row>
    <row r="8" spans="1:27" ht="15.75" hidden="1" thickTop="1" x14ac:dyDescent="0.25">
      <c r="B8" t="s">
        <v>407</v>
      </c>
      <c r="E8" s="288" t="s">
        <v>433</v>
      </c>
      <c r="F8" s="72"/>
      <c r="H8" s="3"/>
      <c r="J8" s="3"/>
      <c r="K8" s="4"/>
      <c r="S8" s="141">
        <v>0</v>
      </c>
      <c r="V8" s="22"/>
      <c r="Y8" s="116">
        <v>0</v>
      </c>
      <c r="AA8">
        <v>0</v>
      </c>
    </row>
    <row r="9" spans="1:27" ht="15.75" thickTop="1" x14ac:dyDescent="0.25">
      <c r="A9" s="115">
        <f>+A$7+0.1</f>
        <v>2.1</v>
      </c>
      <c r="B9" t="s">
        <v>337</v>
      </c>
      <c r="C9" s="4" t="s">
        <v>473</v>
      </c>
      <c r="D9" s="4" t="s">
        <v>473</v>
      </c>
      <c r="E9" s="288"/>
      <c r="F9" s="72"/>
      <c r="G9" s="3" t="s">
        <v>338</v>
      </c>
      <c r="H9" s="3" t="s">
        <v>351</v>
      </c>
      <c r="I9" s="3" t="s">
        <v>338</v>
      </c>
      <c r="J9" s="3" t="s">
        <v>351</v>
      </c>
      <c r="K9" s="4" t="s">
        <v>140</v>
      </c>
      <c r="L9" s="4" t="s">
        <v>339</v>
      </c>
      <c r="M9" s="4" t="s">
        <v>140</v>
      </c>
      <c r="N9" s="4" t="s">
        <v>140</v>
      </c>
      <c r="S9" s="141">
        <v>0</v>
      </c>
      <c r="V9" s="22">
        <v>550</v>
      </c>
      <c r="W9" s="3" t="s">
        <v>172</v>
      </c>
      <c r="X9" s="91" t="s">
        <v>313</v>
      </c>
      <c r="Y9" s="124">
        <v>1</v>
      </c>
      <c r="AA9">
        <v>0</v>
      </c>
    </row>
    <row r="10" spans="1:27" x14ac:dyDescent="0.25">
      <c r="A10" s="115">
        <f>+A9+0.1</f>
        <v>2.2000000000000002</v>
      </c>
      <c r="B10" t="s">
        <v>118</v>
      </c>
      <c r="C10" s="4" t="s">
        <v>473</v>
      </c>
      <c r="D10" s="4" t="s">
        <v>473</v>
      </c>
      <c r="E10" s="288"/>
      <c r="F10" s="72"/>
      <c r="G10" s="3" t="s">
        <v>150</v>
      </c>
      <c r="H10" s="3" t="s">
        <v>351</v>
      </c>
      <c r="I10" s="3" t="s">
        <v>150</v>
      </c>
      <c r="J10" s="3" t="s">
        <v>351</v>
      </c>
      <c r="K10" s="4" t="s">
        <v>140</v>
      </c>
      <c r="L10" s="4" t="s">
        <v>119</v>
      </c>
      <c r="M10" s="4" t="s">
        <v>140</v>
      </c>
      <c r="N10" s="4" t="s">
        <v>140</v>
      </c>
      <c r="S10" s="141">
        <v>0</v>
      </c>
      <c r="V10" s="24">
        <v>300</v>
      </c>
      <c r="W10" s="3" t="s">
        <v>172</v>
      </c>
      <c r="X10" s="91" t="s">
        <v>313</v>
      </c>
      <c r="Y10" s="124">
        <v>0</v>
      </c>
      <c r="AA10">
        <v>0</v>
      </c>
    </row>
    <row r="11" spans="1:27" x14ac:dyDescent="0.25">
      <c r="A11" s="115">
        <f t="shared" ref="A11:A17" si="0">+A10+0.1</f>
        <v>2.3000000000000003</v>
      </c>
      <c r="B11" t="s">
        <v>121</v>
      </c>
      <c r="C11" s="4" t="s">
        <v>473</v>
      </c>
      <c r="D11" s="4" t="s">
        <v>473</v>
      </c>
      <c r="E11" s="288"/>
      <c r="F11" s="72"/>
      <c r="G11" s="3" t="s">
        <v>151</v>
      </c>
      <c r="H11" s="3" t="s">
        <v>351</v>
      </c>
      <c r="I11" s="3" t="s">
        <v>151</v>
      </c>
      <c r="J11" s="3" t="s">
        <v>351</v>
      </c>
      <c r="K11" s="4" t="s">
        <v>140</v>
      </c>
      <c r="L11" s="3" t="s">
        <v>120</v>
      </c>
      <c r="M11" s="4" t="s">
        <v>140</v>
      </c>
      <c r="N11" s="4" t="s">
        <v>140</v>
      </c>
      <c r="S11" s="141">
        <v>0</v>
      </c>
      <c r="V11" s="24">
        <v>330</v>
      </c>
      <c r="W11" s="3" t="s">
        <v>172</v>
      </c>
      <c r="X11" s="91" t="s">
        <v>313</v>
      </c>
      <c r="Y11" s="124">
        <v>0</v>
      </c>
      <c r="AA11">
        <v>0</v>
      </c>
    </row>
    <row r="12" spans="1:27" x14ac:dyDescent="0.25">
      <c r="A12" s="115">
        <f t="shared" si="0"/>
        <v>2.4000000000000004</v>
      </c>
      <c r="B12" t="s">
        <v>124</v>
      </c>
      <c r="C12" s="4" t="s">
        <v>473</v>
      </c>
      <c r="D12" s="4" t="s">
        <v>473</v>
      </c>
      <c r="E12" s="288"/>
      <c r="F12" s="72"/>
      <c r="G12" s="3" t="s">
        <v>152</v>
      </c>
      <c r="H12" s="3" t="s">
        <v>351</v>
      </c>
      <c r="I12" s="3" t="s">
        <v>152</v>
      </c>
      <c r="J12" s="3" t="s">
        <v>351</v>
      </c>
      <c r="K12" s="4" t="s">
        <v>140</v>
      </c>
      <c r="L12" s="3" t="s">
        <v>122</v>
      </c>
      <c r="M12" s="4" t="s">
        <v>140</v>
      </c>
      <c r="N12" s="4" t="s">
        <v>140</v>
      </c>
      <c r="S12" s="141">
        <v>0</v>
      </c>
      <c r="V12" s="24">
        <v>600</v>
      </c>
      <c r="W12" s="3" t="s">
        <v>172</v>
      </c>
      <c r="Y12" s="124">
        <v>0</v>
      </c>
      <c r="AA12">
        <v>0</v>
      </c>
    </row>
    <row r="13" spans="1:27" x14ac:dyDescent="0.25">
      <c r="A13" s="115">
        <f t="shared" si="0"/>
        <v>2.5000000000000004</v>
      </c>
      <c r="B13" t="s">
        <v>125</v>
      </c>
      <c r="C13" s="4" t="s">
        <v>473</v>
      </c>
      <c r="D13" s="4" t="s">
        <v>473</v>
      </c>
      <c r="E13" s="288"/>
      <c r="F13" s="72"/>
      <c r="G13" s="3" t="s">
        <v>153</v>
      </c>
      <c r="H13" s="3" t="s">
        <v>351</v>
      </c>
      <c r="I13" s="3" t="s">
        <v>153</v>
      </c>
      <c r="J13" s="3" t="s">
        <v>351</v>
      </c>
      <c r="K13" s="4" t="s">
        <v>140</v>
      </c>
      <c r="L13" s="3" t="s">
        <v>123</v>
      </c>
      <c r="M13" s="4" t="s">
        <v>140</v>
      </c>
      <c r="N13" s="4" t="s">
        <v>140</v>
      </c>
      <c r="S13" s="141">
        <v>0</v>
      </c>
      <c r="V13" s="24">
        <v>670</v>
      </c>
      <c r="W13" s="3" t="s">
        <v>172</v>
      </c>
      <c r="Y13" s="124">
        <v>0</v>
      </c>
      <c r="AA13">
        <v>0</v>
      </c>
    </row>
    <row r="14" spans="1:27" x14ac:dyDescent="0.25">
      <c r="A14" s="115">
        <f t="shared" si="0"/>
        <v>2.6000000000000005</v>
      </c>
      <c r="B14" t="s">
        <v>359</v>
      </c>
      <c r="C14" s="4" t="s">
        <v>473</v>
      </c>
      <c r="D14" s="4" t="s">
        <v>473</v>
      </c>
      <c r="E14" s="288"/>
      <c r="F14" s="72"/>
      <c r="G14" s="3" t="s">
        <v>154</v>
      </c>
      <c r="H14" s="3" t="s">
        <v>351</v>
      </c>
      <c r="I14" s="3" t="s">
        <v>154</v>
      </c>
      <c r="J14" s="3" t="s">
        <v>351</v>
      </c>
      <c r="K14" s="3" t="s">
        <v>195</v>
      </c>
      <c r="L14" s="3" t="s">
        <v>127</v>
      </c>
      <c r="M14" s="4" t="s">
        <v>140</v>
      </c>
      <c r="N14" s="4" t="s">
        <v>140</v>
      </c>
      <c r="S14" s="141">
        <v>0</v>
      </c>
      <c r="V14" s="24">
        <v>930</v>
      </c>
      <c r="W14" s="3" t="s">
        <v>172</v>
      </c>
      <c r="Y14" s="124">
        <v>0</v>
      </c>
      <c r="AA14">
        <v>0</v>
      </c>
    </row>
    <row r="15" spans="1:27" x14ac:dyDescent="0.25">
      <c r="A15" s="115">
        <f t="shared" si="0"/>
        <v>2.7000000000000006</v>
      </c>
      <c r="B15" t="s">
        <v>360</v>
      </c>
      <c r="C15" s="4" t="s">
        <v>473</v>
      </c>
      <c r="D15" s="4" t="s">
        <v>473</v>
      </c>
      <c r="E15" s="288"/>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8"/>
      <c r="F16" s="72"/>
      <c r="G16" s="3" t="s">
        <v>363</v>
      </c>
      <c r="H16" s="3" t="s">
        <v>351</v>
      </c>
      <c r="I16" s="3" t="s">
        <v>363</v>
      </c>
      <c r="J16" s="3" t="s">
        <v>351</v>
      </c>
      <c r="K16" s="3" t="s">
        <v>365</v>
      </c>
      <c r="L16" s="3" t="s">
        <v>367</v>
      </c>
      <c r="M16" s="4" t="s">
        <v>140</v>
      </c>
      <c r="N16" s="4" t="s">
        <v>140</v>
      </c>
      <c r="S16" s="141">
        <v>0</v>
      </c>
      <c r="V16" s="24">
        <v>1340</v>
      </c>
      <c r="W16" s="3" t="s">
        <v>172</v>
      </c>
      <c r="Y16" s="124">
        <v>0</v>
      </c>
      <c r="AA16">
        <v>0</v>
      </c>
    </row>
    <row r="17" spans="1:27" x14ac:dyDescent="0.25">
      <c r="A17" s="115">
        <f t="shared" si="0"/>
        <v>2.9000000000000008</v>
      </c>
      <c r="B17" t="s">
        <v>362</v>
      </c>
      <c r="C17" s="4" t="s">
        <v>473</v>
      </c>
      <c r="D17" s="4" t="s">
        <v>473</v>
      </c>
      <c r="E17" s="288"/>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8"/>
      <c r="F18" s="72"/>
      <c r="G18" s="3" t="s">
        <v>156</v>
      </c>
      <c r="H18" s="3" t="s">
        <v>377</v>
      </c>
      <c r="I18" s="3" t="s">
        <v>156</v>
      </c>
      <c r="J18" s="3" t="s">
        <v>377</v>
      </c>
      <c r="K18" s="3" t="s">
        <v>197</v>
      </c>
      <c r="L18" s="3" t="s">
        <v>128</v>
      </c>
      <c r="M18" s="4" t="s">
        <v>140</v>
      </c>
      <c r="N18" s="4" t="s">
        <v>140</v>
      </c>
      <c r="S18" s="141">
        <v>0</v>
      </c>
      <c r="V18" s="24">
        <v>1020</v>
      </c>
      <c r="W18" s="3" t="s">
        <v>172</v>
      </c>
      <c r="X18" s="91" t="s">
        <v>313</v>
      </c>
      <c r="Y18" s="124">
        <v>0</v>
      </c>
      <c r="AA18">
        <v>0</v>
      </c>
    </row>
    <row r="19" spans="1:27" x14ac:dyDescent="0.25">
      <c r="A19" s="119">
        <f>+A18+0.01</f>
        <v>2.11</v>
      </c>
      <c r="B19" t="s">
        <v>132</v>
      </c>
      <c r="C19" s="4" t="s">
        <v>473</v>
      </c>
      <c r="D19" s="4" t="s">
        <v>473</v>
      </c>
      <c r="E19" s="288"/>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8"/>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8"/>
      <c r="F21" s="72"/>
      <c r="G21" s="3" t="s">
        <v>398</v>
      </c>
      <c r="H21" s="3" t="s">
        <v>351</v>
      </c>
      <c r="I21" s="3" t="s">
        <v>398</v>
      </c>
      <c r="J21" s="3" t="s">
        <v>351</v>
      </c>
      <c r="K21" s="3" t="s">
        <v>401</v>
      </c>
      <c r="L21" s="3" t="s">
        <v>404</v>
      </c>
      <c r="M21" s="4" t="s">
        <v>140</v>
      </c>
      <c r="N21" s="4" t="s">
        <v>140</v>
      </c>
      <c r="S21" s="141">
        <v>0</v>
      </c>
      <c r="V21" s="24">
        <v>2060</v>
      </c>
      <c r="W21" s="3" t="s">
        <v>172</v>
      </c>
      <c r="X21" s="91"/>
      <c r="Y21" s="124">
        <v>0</v>
      </c>
      <c r="AA21">
        <v>0</v>
      </c>
    </row>
    <row r="22" spans="1:27" x14ac:dyDescent="0.25">
      <c r="A22" s="119">
        <f t="shared" si="1"/>
        <v>2.1399999999999992</v>
      </c>
      <c r="B22" t="s">
        <v>396</v>
      </c>
      <c r="C22" s="4" t="s">
        <v>473</v>
      </c>
      <c r="D22" s="4" t="s">
        <v>473</v>
      </c>
      <c r="E22" s="288"/>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8"/>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8"/>
      <c r="F24" s="72"/>
      <c r="G24" s="3" t="s">
        <v>159</v>
      </c>
      <c r="H24" s="3" t="s">
        <v>377</v>
      </c>
      <c r="I24" s="3" t="s">
        <v>159</v>
      </c>
      <c r="J24" s="3" t="s">
        <v>377</v>
      </c>
      <c r="K24" s="3" t="s">
        <v>200</v>
      </c>
      <c r="L24" s="3" t="s">
        <v>139</v>
      </c>
      <c r="M24" s="4" t="s">
        <v>140</v>
      </c>
      <c r="N24" s="4" t="s">
        <v>140</v>
      </c>
      <c r="S24" s="141">
        <v>0</v>
      </c>
      <c r="V24" s="24">
        <v>2420</v>
      </c>
      <c r="W24" s="3" t="s">
        <v>172</v>
      </c>
      <c r="X24" s="91" t="s">
        <v>313</v>
      </c>
      <c r="Y24" s="124">
        <v>0</v>
      </c>
      <c r="AA24">
        <v>0</v>
      </c>
    </row>
    <row r="25" spans="1:27" x14ac:dyDescent="0.25">
      <c r="A25" s="119">
        <f t="shared" si="1"/>
        <v>2.1699999999999986</v>
      </c>
      <c r="B25" t="s">
        <v>135</v>
      </c>
      <c r="C25" s="4" t="s">
        <v>473</v>
      </c>
      <c r="D25" s="4" t="s">
        <v>473</v>
      </c>
      <c r="E25" s="288"/>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8"/>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+A26+0.01</f>
        <v>2.1899999999999982</v>
      </c>
      <c r="B27" t="s">
        <v>369</v>
      </c>
      <c r="C27" s="4" t="s">
        <v>473</v>
      </c>
      <c r="D27" s="4" t="s">
        <v>473</v>
      </c>
      <c r="E27" s="288"/>
      <c r="F27" s="72"/>
      <c r="G27" s="3" t="s">
        <v>370</v>
      </c>
      <c r="H27" s="3" t="s">
        <v>351</v>
      </c>
      <c r="I27" s="3" t="s">
        <v>370</v>
      </c>
      <c r="J27" s="3" t="s">
        <v>351</v>
      </c>
      <c r="K27" s="3" t="s">
        <v>371</v>
      </c>
      <c r="L27" s="3" t="s">
        <v>380</v>
      </c>
      <c r="M27" s="4" t="s">
        <v>140</v>
      </c>
      <c r="N27" s="4" t="s">
        <v>140</v>
      </c>
      <c r="S27" s="141">
        <v>0</v>
      </c>
      <c r="V27" s="24">
        <v>4790</v>
      </c>
      <c r="W27" s="3" t="s">
        <v>172</v>
      </c>
      <c r="X27" s="91"/>
      <c r="Y27" s="124">
        <v>0</v>
      </c>
      <c r="AA27">
        <v>0</v>
      </c>
    </row>
    <row r="28" spans="1:27" x14ac:dyDescent="0.25">
      <c r="A28" s="119">
        <f t="shared" si="1"/>
        <v>2.199999999999998</v>
      </c>
      <c r="B28" t="s">
        <v>534</v>
      </c>
      <c r="C28" s="4" t="s">
        <v>473</v>
      </c>
      <c r="D28" s="4" t="s">
        <v>473</v>
      </c>
      <c r="E28" s="288"/>
      <c r="F28" s="72"/>
      <c r="G28" s="207" t="str">
        <f>+IF('WORKCELL CONFIGURATOR'!$H$5="","",(IF('WORKCELL CONFIGURATOR'!$H$5=Data!$C$4,"612-2346-1","612-2346-2")))</f>
        <v>612-2346-1</v>
      </c>
      <c r="H28" s="191" t="s">
        <v>351</v>
      </c>
      <c r="I28" s="207" t="str">
        <f>+IF('WORKCELL CONFIGURATOR'!$H$5="","",(IF('WORKCELL CONFIGURATOR'!$H$5=Data!$C$4,"612-2346-3","612-2346-4")))</f>
        <v>612-2346-3</v>
      </c>
      <c r="J28" s="191" t="s">
        <v>351</v>
      </c>
      <c r="K28" s="191" t="s">
        <v>522</v>
      </c>
      <c r="L28" s="191"/>
      <c r="M28" s="4"/>
      <c r="N28" s="4"/>
      <c r="O28" s="191"/>
      <c r="P28" s="191"/>
      <c r="Q28" s="191"/>
      <c r="R28" s="191"/>
      <c r="S28" s="192"/>
      <c r="V28" s="24">
        <v>15100</v>
      </c>
      <c r="W28" s="191" t="s">
        <v>172</v>
      </c>
      <c r="X28" s="91"/>
      <c r="Y28" s="192">
        <v>0</v>
      </c>
      <c r="AA28">
        <v>0</v>
      </c>
    </row>
    <row r="29" spans="1:27" x14ac:dyDescent="0.25">
      <c r="A29" s="119">
        <f t="shared" si="1"/>
        <v>2.2099999999999977</v>
      </c>
      <c r="B29" t="s">
        <v>335</v>
      </c>
      <c r="C29" s="4" t="s">
        <v>473</v>
      </c>
      <c r="D29" s="4" t="s">
        <v>473</v>
      </c>
      <c r="E29" s="288"/>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8"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8"/>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8"/>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8"/>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8"/>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8"/>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592</v>
      </c>
      <c r="C38" s="4" t="s">
        <v>473</v>
      </c>
      <c r="D38" s="4" t="s">
        <v>473</v>
      </c>
      <c r="E38" s="288"/>
      <c r="G38" s="209" t="str">
        <f>+IF('WORKCELL CONFIGURATOR'!$H$31=Data!$B$4,"612-3338-1","612-3336-1")</f>
        <v>612-3338-1</v>
      </c>
      <c r="H38" s="209" t="s">
        <v>351</v>
      </c>
      <c r="I38" s="251" t="str">
        <f>+IF('WORKCELL CONFIGURATOR'!$H$31=Data!$B$4,"612-3338-1","612-3336-1")</f>
        <v>612-3338-1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641</v>
      </c>
      <c r="C39" s="4" t="s">
        <v>473</v>
      </c>
      <c r="D39" s="4" t="s">
        <v>473</v>
      </c>
      <c r="E39" s="288"/>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638</v>
      </c>
      <c r="C40" s="4" t="s">
        <v>473</v>
      </c>
      <c r="D40" s="4" t="s">
        <v>473</v>
      </c>
      <c r="E40" s="288"/>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8"/>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8" t="s">
        <v>434</v>
      </c>
      <c r="F44" s="288"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8"/>
      <c r="F45" s="288"/>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8"/>
      <c r="F46" s="288"/>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8"/>
      <c r="F47" s="288"/>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8"/>
      <c r="F48" s="288"/>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8"/>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8"/>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8"/>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8"/>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8"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8"/>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8"/>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600</v>
      </c>
      <c r="C58" s="4" t="s">
        <v>473</v>
      </c>
      <c r="D58" s="4" t="s">
        <v>473</v>
      </c>
      <c r="E58" s="288"/>
      <c r="G58" s="3" t="s">
        <v>602</v>
      </c>
      <c r="H58" s="3" t="s">
        <v>351</v>
      </c>
      <c r="I58" s="249" t="s">
        <v>621</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8"/>
      <c r="G59" s="3" t="s">
        <v>603</v>
      </c>
      <c r="H59" s="3" t="s">
        <v>351</v>
      </c>
      <c r="I59" s="249" t="s">
        <v>622</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88"/>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601</v>
      </c>
      <c r="C61" s="4" t="s">
        <v>473</v>
      </c>
      <c r="D61" s="4" t="s">
        <v>473</v>
      </c>
      <c r="E61" s="288"/>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599</v>
      </c>
      <c r="C62" s="4" t="s">
        <v>473</v>
      </c>
      <c r="D62" s="4" t="s">
        <v>473</v>
      </c>
      <c r="E62" s="288"/>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598</v>
      </c>
      <c r="C63" s="4" t="s">
        <v>473</v>
      </c>
      <c r="D63" s="4" t="s">
        <v>473</v>
      </c>
      <c r="E63" s="288"/>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B64" s="280" t="s">
        <v>665</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88"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88"/>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v>1</v>
      </c>
    </row>
    <row r="67" spans="1:27" x14ac:dyDescent="0.25">
      <c r="A67" s="119">
        <v>5.0999999999999996</v>
      </c>
      <c r="B67" t="s">
        <v>354</v>
      </c>
      <c r="C67" s="4" t="s">
        <v>473</v>
      </c>
      <c r="D67" s="4" t="s">
        <v>473</v>
      </c>
      <c r="E67" s="288"/>
      <c r="G67" s="3" t="s">
        <v>353</v>
      </c>
      <c r="H67" s="3" t="s">
        <v>351</v>
      </c>
      <c r="I67" s="3" t="s">
        <v>353</v>
      </c>
      <c r="J67" s="3" t="s">
        <v>351</v>
      </c>
      <c r="K67" s="4" t="s">
        <v>140</v>
      </c>
      <c r="L67" s="4" t="s">
        <v>140</v>
      </c>
      <c r="M67" s="4" t="s">
        <v>140</v>
      </c>
      <c r="N67" s="4" t="s">
        <v>140</v>
      </c>
      <c r="Q67" s="3">
        <v>-50</v>
      </c>
      <c r="S67" s="141">
        <v>0</v>
      </c>
      <c r="V67" s="22">
        <v>1080</v>
      </c>
      <c r="W67" s="3" t="s">
        <v>171</v>
      </c>
      <c r="X67" s="91" t="s">
        <v>313</v>
      </c>
      <c r="AA67">
        <v>2</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8"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8"/>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8"/>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v>1</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v>1</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1</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1</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1</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8"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8"/>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8"/>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8"/>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8"/>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8"/>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8"/>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8"/>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8"/>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abSelected="1" topLeftCell="B1" zoomScaleNormal="100" workbookViewId="0">
      <selection activeCell="B22" sqref="A1:XFD1048576"/>
    </sheetView>
  </sheetViews>
  <sheetFormatPr defaultRowHeight="15" outlineLevelCol="1" x14ac:dyDescent="0.25"/>
  <cols>
    <col min="1" max="1" width="9.140625" style="124" customWidth="1" outlineLevel="1"/>
    <col min="2" max="5" width="9.140625" style="193" customWidth="1" outlineLevel="1"/>
    <col min="6" max="6" width="22" customWidth="1"/>
    <col min="7" max="7" width="48.42578125" bestFit="1" customWidth="1"/>
    <col min="8" max="8" width="44.28515625" style="7" customWidth="1"/>
    <col min="9" max="9" width="40.140625" customWidth="1"/>
    <col min="11" max="11" width="20" customWidth="1" outlineLevel="1"/>
    <col min="12" max="12" width="9.140625" style="130" customWidth="1" outlineLevel="1"/>
    <col min="13" max="14" width="9.140625" customWidth="1" outlineLevel="1"/>
    <col min="15" max="15" width="12" customWidth="1" outlineLevel="1"/>
    <col min="16" max="17" width="9.140625" customWidth="1" outlineLevel="1"/>
    <col min="18" max="18" width="12.28515625" customWidth="1" outlineLevel="1"/>
    <col min="19" max="19" width="9.28515625"/>
    <col min="22" max="22" width="9.140625" customWidth="1"/>
    <col min="36" max="39" width="8.85546875" customWidth="1"/>
  </cols>
  <sheetData>
    <row r="1" spans="1:27" ht="60.75" customHeight="1" x14ac:dyDescent="0.25">
      <c r="F1" s="292"/>
      <c r="G1" s="293"/>
      <c r="H1" s="293"/>
      <c r="I1" s="294"/>
      <c r="K1" s="137" t="s">
        <v>345</v>
      </c>
      <c r="L1" s="40">
        <f>+'WORKCELL BOM'!Q68</f>
        <v>4</v>
      </c>
      <c r="M1" t="s">
        <v>449</v>
      </c>
    </row>
    <row r="2" spans="1:27" ht="28.5" customHeight="1" thickBot="1" x14ac:dyDescent="0.3">
      <c r="F2" s="299" t="s">
        <v>420</v>
      </c>
      <c r="G2" s="300"/>
      <c r="H2" s="300"/>
      <c r="I2" s="28"/>
    </row>
    <row r="3" spans="1:27" ht="15.75" thickTop="1" x14ac:dyDescent="0.25">
      <c r="F3" s="29"/>
      <c r="G3" s="8"/>
      <c r="H3" s="26"/>
      <c r="I3" s="30"/>
      <c r="K3" s="10"/>
    </row>
    <row r="4" spans="1:27" x14ac:dyDescent="0.25">
      <c r="F4" s="298" t="s">
        <v>424</v>
      </c>
      <c r="G4" s="117" t="str">
        <f>+MENU!B3</f>
        <v>Work Cell</v>
      </c>
      <c r="H4" s="301" t="s">
        <v>322</v>
      </c>
      <c r="I4" s="302"/>
      <c r="K4" s="10" t="s">
        <v>432</v>
      </c>
    </row>
    <row r="5" spans="1:27" ht="15" customHeight="1" x14ac:dyDescent="0.25">
      <c r="F5" s="298"/>
      <c r="G5" s="117" t="str">
        <f>+Data!C3</f>
        <v>Voltage</v>
      </c>
      <c r="H5" s="296" t="s">
        <v>642</v>
      </c>
      <c r="I5" s="296"/>
      <c r="K5" s="10" t="s">
        <v>12</v>
      </c>
    </row>
    <row r="6" spans="1:27" ht="156" customHeight="1" x14ac:dyDescent="0.25">
      <c r="F6" s="298"/>
      <c r="G6" s="117" t="str">
        <f>+Data!E3</f>
        <v>Certification</v>
      </c>
      <c r="H6" s="296" t="s">
        <v>407</v>
      </c>
      <c r="I6" s="296"/>
      <c r="K6" s="10" t="s">
        <v>356</v>
      </c>
    </row>
    <row r="7" spans="1:27" hidden="1" x14ac:dyDescent="0.25">
      <c r="A7" s="124">
        <f>IF(AND(H8="N",H13="N"),0,1)</f>
        <v>0</v>
      </c>
      <c r="F7" s="232"/>
      <c r="G7" s="13"/>
      <c r="H7" s="13"/>
      <c r="I7" s="90"/>
      <c r="K7" s="10"/>
      <c r="M7" s="124"/>
      <c r="N7" s="124"/>
      <c r="R7" s="138" t="s">
        <v>440</v>
      </c>
    </row>
    <row r="8" spans="1:27" ht="15" hidden="1" customHeight="1" x14ac:dyDescent="0.25">
      <c r="A8" s="124">
        <f>IF(H$8="N",0,1)</f>
        <v>0</v>
      </c>
      <c r="F8" s="297" t="s">
        <v>425</v>
      </c>
      <c r="G8" s="31" t="s">
        <v>208</v>
      </c>
      <c r="H8" s="296" t="s">
        <v>407</v>
      </c>
      <c r="I8" s="296"/>
      <c r="K8" s="8" t="s">
        <v>433</v>
      </c>
      <c r="L8" s="132">
        <f>IFERROR(VLOOKUP(H8,MENU!B8:Y29,24,FALSE),0)</f>
        <v>0</v>
      </c>
      <c r="M8" s="124">
        <f>IF(OR(H$22=1,H$24=1,H$26=1,H$28=1),0,1)</f>
        <v>0</v>
      </c>
      <c r="N8" s="124">
        <f>IF(OR(L8=0,AND(L8=1,M8=1)),1,0)</f>
        <v>1</v>
      </c>
      <c r="O8" s="124">
        <f>IF(H8="",0,1)</f>
        <v>1</v>
      </c>
      <c r="P8" s="124">
        <f>+IF(H8="N",0,1)</f>
        <v>0</v>
      </c>
      <c r="Q8" s="124">
        <f>+N8*O8*P8</f>
        <v>0</v>
      </c>
      <c r="R8" s="138" t="str">
        <f>IF(Q8=1,1,"")</f>
        <v/>
      </c>
    </row>
    <row r="9" spans="1:27" ht="15" hidden="1" customHeight="1" x14ac:dyDescent="0.25">
      <c r="A9" s="124">
        <f>+B9*C9</f>
        <v>0</v>
      </c>
      <c r="B9" s="124">
        <f>IF(OR(H$8="N",L8=1),0,1)</f>
        <v>0</v>
      </c>
      <c r="C9" s="193">
        <f>+IF($H$8=MENU!$B$28,0,1)</f>
        <v>1</v>
      </c>
      <c r="F9" s="297"/>
      <c r="G9" s="31" t="s">
        <v>451</v>
      </c>
      <c r="H9" s="296" t="s">
        <v>407</v>
      </c>
      <c r="I9" s="296"/>
      <c r="K9" s="10" t="s">
        <v>11</v>
      </c>
      <c r="L9" s="132">
        <f>IFERROR(VLOOKUP(H13,MENU!B8:Y29,24,FALSE),0)</f>
        <v>0</v>
      </c>
      <c r="M9" s="124">
        <f>IF(OR(H$22=2,H$24=2,H$26=2,H$28=2),0,1)</f>
        <v>0</v>
      </c>
      <c r="N9" s="124">
        <f>IF(OR(L9=0,AND(L9=1,M9=1)),1,0)</f>
        <v>1</v>
      </c>
      <c r="O9" s="124">
        <f>IF(H13="",0,1)</f>
        <v>1</v>
      </c>
      <c r="P9" s="124">
        <f>+IF(H13="N",0,1)</f>
        <v>0</v>
      </c>
      <c r="Q9" s="124">
        <f>+N9*O9*P9</f>
        <v>0</v>
      </c>
      <c r="R9" s="138" t="str">
        <f>IF(Q9=1,2,"")</f>
        <v/>
      </c>
      <c r="S9" s="162"/>
    </row>
    <row r="10" spans="1:27" ht="15" hidden="1" customHeight="1" x14ac:dyDescent="0.25">
      <c r="A10" s="193">
        <f>+B10*C10</f>
        <v>0</v>
      </c>
      <c r="B10" s="124">
        <f>IF(OR(H$8="N",L8=1),0,1)</f>
        <v>0</v>
      </c>
      <c r="C10" s="193">
        <f>+IF($H$8=MENU!$B$28,0,1)</f>
        <v>1</v>
      </c>
      <c r="F10" s="297"/>
      <c r="G10" s="31" t="s">
        <v>178</v>
      </c>
      <c r="H10" s="296" t="s">
        <v>407</v>
      </c>
      <c r="I10" s="296"/>
      <c r="K10" s="10" t="s">
        <v>174</v>
      </c>
      <c r="S10" s="162"/>
    </row>
    <row r="11" spans="1:27" ht="15" hidden="1" customHeight="1" x14ac:dyDescent="0.25">
      <c r="A11" s="124">
        <f>IF(H$8="N",0,1)</f>
        <v>0</v>
      </c>
      <c r="F11" s="297"/>
      <c r="G11" s="31" t="s">
        <v>452</v>
      </c>
      <c r="H11" s="296" t="s">
        <v>60</v>
      </c>
      <c r="I11" s="296"/>
      <c r="K11" s="10" t="s">
        <v>99</v>
      </c>
      <c r="S11" s="162"/>
      <c r="T11" s="162"/>
      <c r="U11" s="162"/>
      <c r="V11" s="162"/>
      <c r="W11" s="162"/>
      <c r="X11" s="162"/>
      <c r="Y11" s="162"/>
      <c r="Z11" s="162"/>
      <c r="AA11" s="162"/>
    </row>
    <row r="12" spans="1:27" ht="19.5" hidden="1" customHeight="1" x14ac:dyDescent="0.25">
      <c r="A12" s="124">
        <f>IF(H$8="N",0,1)</f>
        <v>0</v>
      </c>
      <c r="F12" s="297"/>
      <c r="G12" s="31" t="s">
        <v>453</v>
      </c>
      <c r="H12" s="296" t="s">
        <v>63</v>
      </c>
      <c r="I12" s="296"/>
      <c r="K12" s="10" t="str">
        <f>VLOOKUP(H11,Material!A2:B10,2,FALSE)</f>
        <v>Humiseal</v>
      </c>
    </row>
    <row r="13" spans="1:27" ht="15" customHeight="1" x14ac:dyDescent="0.25">
      <c r="A13" s="193">
        <f>+IF($H$8=MENU!$B$28,0,1)</f>
        <v>1</v>
      </c>
      <c r="B13" s="124"/>
      <c r="F13" s="297"/>
      <c r="G13" s="31" t="s">
        <v>209</v>
      </c>
      <c r="H13" s="296" t="s">
        <v>407</v>
      </c>
      <c r="I13" s="296"/>
      <c r="K13" s="8" t="s">
        <v>433</v>
      </c>
    </row>
    <row r="14" spans="1:27" ht="15" hidden="1" customHeight="1" x14ac:dyDescent="0.25">
      <c r="A14" s="193">
        <f>+B14*C14</f>
        <v>0</v>
      </c>
      <c r="B14" s="124">
        <f>IF(OR(H$13="N",L9=1),0,1)</f>
        <v>0</v>
      </c>
      <c r="C14" s="193">
        <f>+IF($H$8=MENU!$B$28,0,1)</f>
        <v>1</v>
      </c>
      <c r="F14" s="297"/>
      <c r="G14" s="31" t="s">
        <v>454</v>
      </c>
      <c r="H14" s="296" t="s">
        <v>271</v>
      </c>
      <c r="I14" s="296"/>
      <c r="K14" s="10" t="s">
        <v>11</v>
      </c>
    </row>
    <row r="15" spans="1:27" hidden="1" x14ac:dyDescent="0.25">
      <c r="A15" s="193">
        <f>+B15*C15</f>
        <v>0</v>
      </c>
      <c r="B15" s="124">
        <f>IF(OR(H10="N",H$13="N",L9=1),0,1)</f>
        <v>0</v>
      </c>
      <c r="C15" s="193">
        <f>+IF($H$8=MENU!$B$28,0,1)</f>
        <v>1</v>
      </c>
      <c r="F15" s="297"/>
      <c r="G15" s="31" t="s">
        <v>179</v>
      </c>
      <c r="H15" s="296"/>
      <c r="I15" s="296"/>
      <c r="K15" s="10" t="s">
        <v>11</v>
      </c>
    </row>
    <row r="16" spans="1:27" ht="15" hidden="1" customHeight="1" x14ac:dyDescent="0.25">
      <c r="A16" s="193">
        <f>+B16*C16</f>
        <v>0</v>
      </c>
      <c r="B16" s="124">
        <f>IF(H$13="N",0,1)</f>
        <v>0</v>
      </c>
      <c r="C16" s="193">
        <f>+IF($H$8=MENU!$B$28,0,1)</f>
        <v>1</v>
      </c>
      <c r="F16" s="297"/>
      <c r="G16" s="31" t="s">
        <v>455</v>
      </c>
      <c r="H16" s="296" t="s">
        <v>60</v>
      </c>
      <c r="I16" s="296"/>
      <c r="K16" s="10" t="s">
        <v>99</v>
      </c>
    </row>
    <row r="17" spans="1:47" ht="15" hidden="1" customHeight="1" x14ac:dyDescent="0.25">
      <c r="A17" s="193">
        <f>+B17*C17</f>
        <v>0</v>
      </c>
      <c r="B17" s="124">
        <f>IF(H$13="N",0,1)</f>
        <v>0</v>
      </c>
      <c r="C17" s="193">
        <f>+IF($H$8=MENU!$B$28,0,1)</f>
        <v>1</v>
      </c>
      <c r="F17" s="298"/>
      <c r="G17" s="31" t="s">
        <v>456</v>
      </c>
      <c r="H17" s="296" t="s">
        <v>64</v>
      </c>
      <c r="I17" s="296"/>
      <c r="K17" s="10" t="str">
        <f>VLOOKUP(H16,Material!A2:B10,2,FALSE)</f>
        <v>Humiseal</v>
      </c>
    </row>
    <row r="18" spans="1:47" ht="15" customHeight="1" x14ac:dyDescent="0.25">
      <c r="A18" s="124">
        <v>1</v>
      </c>
      <c r="F18" s="232"/>
      <c r="G18" s="13"/>
      <c r="H18" s="13"/>
      <c r="I18" s="90"/>
      <c r="K18" s="10"/>
      <c r="S18" s="316" t="str">
        <f>IF(OR(H19="N",H19=""),"",H19)</f>
        <v>Servo 4th Axis with 3 Dispense Stations and (2) Two Position Tilts</v>
      </c>
      <c r="T18" s="316"/>
      <c r="U18" s="316"/>
      <c r="V18" s="316"/>
      <c r="W18" s="316"/>
      <c r="X18" s="316"/>
      <c r="Y18" s="316"/>
    </row>
    <row r="19" spans="1:47" x14ac:dyDescent="0.25">
      <c r="A19" s="124">
        <v>1</v>
      </c>
      <c r="F19" s="126" t="s">
        <v>426</v>
      </c>
      <c r="G19" s="31" t="s">
        <v>412</v>
      </c>
      <c r="H19" s="315" t="s">
        <v>491</v>
      </c>
      <c r="I19" s="296"/>
      <c r="K19" s="10" t="str">
        <f>+MENU!E32</f>
        <v>DISPENSE_HEAD</v>
      </c>
      <c r="L19" s="130">
        <f>IFERROR(VLOOKUP(H19,MENU!B33:Y41,24,FALSE),0)</f>
        <v>3</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297" t="s">
        <v>427</v>
      </c>
      <c r="G21" s="31" t="s">
        <v>504</v>
      </c>
      <c r="H21" s="296" t="s">
        <v>9</v>
      </c>
      <c r="I21" s="296"/>
      <c r="K21" s="10" t="str">
        <f>IF(L$28&gt;=2,"POD_NOSPRAY","POD")</f>
        <v>POD</v>
      </c>
      <c r="L21" s="130">
        <f>IFERROR(VLOOKUP(H21,MENU!B$44:Y$52,24,FALSE),0)</f>
        <v>0</v>
      </c>
    </row>
    <row r="22" spans="1:47" ht="15" customHeight="1" x14ac:dyDescent="0.25">
      <c r="A22" s="124">
        <f>+B22*C22*D22</f>
        <v>1</v>
      </c>
      <c r="B22" s="124">
        <f>IF(AND(L$19&gt;=1,H21&lt;&gt;"N"),1,0)</f>
        <v>1</v>
      </c>
      <c r="C22" s="193">
        <v>1</v>
      </c>
      <c r="D22" s="193">
        <f>+IF(OR($H$19=MENU!$B$39,$H$19=MENU!$B$40),0,1)</f>
        <v>1</v>
      </c>
      <c r="F22" s="297"/>
      <c r="G22" s="31" t="s">
        <v>505</v>
      </c>
      <c r="H22" s="296">
        <v>1</v>
      </c>
      <c r="I22" s="296"/>
      <c r="K22" s="12" t="s">
        <v>440</v>
      </c>
    </row>
    <row r="23" spans="1:47" ht="15" customHeight="1" x14ac:dyDescent="0.25">
      <c r="A23" s="124">
        <f>IF(L$19&gt;=2,1,0)</f>
        <v>1</v>
      </c>
      <c r="F23" s="297"/>
      <c r="G23" s="31" t="s">
        <v>506</v>
      </c>
      <c r="H23" s="296" t="s">
        <v>2</v>
      </c>
      <c r="I23" s="296"/>
      <c r="K23" s="10" t="str">
        <f>IF(L$28&gt;=2,"POD_NOSPRAY","POD")</f>
        <v>POD</v>
      </c>
      <c r="L23" s="130">
        <f>IFERROR(VLOOKUP(H23,MENU!B$44:Y$52,24,FALSE),0)</f>
        <v>0</v>
      </c>
    </row>
    <row r="24" spans="1:47" x14ac:dyDescent="0.25">
      <c r="A24" s="193">
        <f>+B24*C24</f>
        <v>1</v>
      </c>
      <c r="B24" s="124">
        <f>IF(AND(L$19&gt;=2,H23&lt;&gt;"N"),1,0)</f>
        <v>1</v>
      </c>
      <c r="C24" s="208">
        <v>1</v>
      </c>
      <c r="F24" s="297"/>
      <c r="G24" s="31" t="s">
        <v>507</v>
      </c>
      <c r="H24" s="296">
        <v>1</v>
      </c>
      <c r="I24" s="296"/>
      <c r="K24" s="12" t="s">
        <v>440</v>
      </c>
    </row>
    <row r="25" spans="1:47" x14ac:dyDescent="0.25">
      <c r="A25" s="124">
        <f>IF(L$19&gt;=3,1,0)</f>
        <v>1</v>
      </c>
      <c r="F25" s="297"/>
      <c r="G25" s="31" t="s">
        <v>531</v>
      </c>
      <c r="H25" s="296" t="s">
        <v>1</v>
      </c>
      <c r="I25" s="296"/>
      <c r="K25" s="10" t="str">
        <f>IF(L$28&gt;=2,"POD_NOSPRAY","POD")</f>
        <v>POD</v>
      </c>
      <c r="L25" s="130">
        <f>IFERROR(VLOOKUP(H25,MENU!B$44:Y$52,24,FALSE),0)</f>
        <v>0</v>
      </c>
    </row>
    <row r="26" spans="1:47" x14ac:dyDescent="0.25">
      <c r="A26" s="193">
        <f>+B26*C26</f>
        <v>1</v>
      </c>
      <c r="B26" s="124">
        <f>IF(AND(L$19&gt;=3,H25&lt;&gt;"N"),1,0)</f>
        <v>1</v>
      </c>
      <c r="C26" s="208">
        <v>1</v>
      </c>
      <c r="F26" s="297"/>
      <c r="G26" s="31" t="s">
        <v>508</v>
      </c>
      <c r="H26" s="296">
        <v>2</v>
      </c>
      <c r="I26" s="296"/>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297"/>
      <c r="G27" s="31" t="s">
        <v>509</v>
      </c>
      <c r="H27" s="296" t="s">
        <v>407</v>
      </c>
      <c r="I27" s="296"/>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297"/>
      <c r="G28" s="31" t="s">
        <v>510</v>
      </c>
      <c r="H28" s="296"/>
      <c r="I28" s="296"/>
      <c r="K28" s="12" t="s">
        <v>440</v>
      </c>
      <c r="L28" s="130">
        <f>L21+L23+L25+L27</f>
        <v>0</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297" t="s">
        <v>428</v>
      </c>
      <c r="G30" s="117" t="str">
        <f>+IF(H30="","Part Handling",IF(B31=0,"Fixture","Conveyor"))</f>
        <v>Conveyor</v>
      </c>
      <c r="H30" s="296" t="s">
        <v>532</v>
      </c>
      <c r="I30" s="296"/>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297"/>
      <c r="G31" s="117" t="s">
        <v>13</v>
      </c>
      <c r="H31" s="296" t="s">
        <v>16</v>
      </c>
      <c r="I31" s="296"/>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297"/>
      <c r="G32" s="117" t="s">
        <v>611</v>
      </c>
      <c r="H32" s="296" t="s">
        <v>596</v>
      </c>
      <c r="I32" s="296"/>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297"/>
      <c r="G33" s="117" t="str">
        <f>+[1]MENU!B64</f>
        <v>Barcode - Mounted on Conveyor Inlet with P Select</v>
      </c>
      <c r="H33" s="296" t="s">
        <v>407</v>
      </c>
      <c r="I33" s="296"/>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6" t="s">
        <v>407</v>
      </c>
      <c r="I35" s="296"/>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298" t="s">
        <v>430</v>
      </c>
      <c r="G37" s="117" t="str">
        <f>+MENU!B75</f>
        <v>Fan Width Sensor</v>
      </c>
      <c r="H37" s="296" t="s">
        <v>407</v>
      </c>
      <c r="I37" s="296"/>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298"/>
      <c r="G38" s="117" t="str">
        <f>+MENU!B76</f>
        <v>Fan Width Sensor with Continuous Film Calibration</v>
      </c>
      <c r="H38" s="296"/>
      <c r="I38" s="296"/>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298"/>
      <c r="G39" s="117" t="str">
        <f>+MENU!B77</f>
        <v>Needle Calibration, 3 axis</v>
      </c>
      <c r="H39" s="296" t="s">
        <v>407</v>
      </c>
      <c r="I39" s="296"/>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298"/>
      <c r="G40" s="117" t="str">
        <f>+MENU!B78</f>
        <v>Black Light</v>
      </c>
      <c r="H40" s="296" t="s">
        <v>271</v>
      </c>
      <c r="I40" s="296"/>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298" t="s">
        <v>441</v>
      </c>
      <c r="G42" s="109" t="s">
        <v>442</v>
      </c>
      <c r="H42" s="296" t="s">
        <v>407</v>
      </c>
      <c r="I42" s="296"/>
      <c r="K42" s="10" t="s">
        <v>11</v>
      </c>
      <c r="L42" s="133"/>
      <c r="V42" s="178"/>
      <c r="W42" s="178"/>
      <c r="X42" s="178"/>
      <c r="Y42" s="178"/>
      <c r="Z42" s="178"/>
      <c r="AA42" s="178"/>
      <c r="AB42" s="178"/>
      <c r="AC42" s="178"/>
      <c r="AD42" s="178"/>
      <c r="AE42" s="178"/>
      <c r="AF42" s="178"/>
    </row>
    <row r="43" spans="1:43" x14ac:dyDescent="0.25">
      <c r="A43" s="198">
        <f>+IF(H5=Data!C4,1,0)</f>
        <v>1</v>
      </c>
      <c r="B43" s="198"/>
      <c r="C43" s="198"/>
      <c r="D43" s="198"/>
      <c r="E43" s="198"/>
      <c r="F43" s="298"/>
      <c r="G43" s="109" t="str">
        <f>+MENU!B91</f>
        <v>Fume Extractor</v>
      </c>
      <c r="H43" s="296" t="s">
        <v>407</v>
      </c>
      <c r="I43" s="296"/>
      <c r="K43" s="10" t="s">
        <v>11</v>
      </c>
      <c r="L43" s="197"/>
    </row>
    <row r="44" spans="1:43" x14ac:dyDescent="0.25">
      <c r="A44" s="201">
        <v>1</v>
      </c>
      <c r="B44" s="201"/>
      <c r="C44" s="201"/>
      <c r="D44" s="201"/>
      <c r="E44" s="201"/>
      <c r="F44" s="298"/>
      <c r="G44" s="31" t="s">
        <v>444</v>
      </c>
      <c r="H44" s="296" t="s">
        <v>407</v>
      </c>
      <c r="I44" s="296"/>
      <c r="K44" s="10" t="str">
        <f>+MENU!$E$92</f>
        <v>UNMOUNTED</v>
      </c>
      <c r="L44" s="200"/>
    </row>
    <row r="45" spans="1:43" hidden="1" x14ac:dyDescent="0.25">
      <c r="A45" s="201">
        <f>+B45*C45</f>
        <v>0</v>
      </c>
      <c r="B45" s="201">
        <f>+IF(H44="N",0,1)</f>
        <v>0</v>
      </c>
      <c r="C45" s="201">
        <f>+IF(H44="",0,1)</f>
        <v>1</v>
      </c>
      <c r="D45" s="201"/>
      <c r="E45" s="201"/>
      <c r="F45" s="298"/>
      <c r="G45" s="31" t="s">
        <v>445</v>
      </c>
      <c r="H45" s="296"/>
      <c r="I45" s="296"/>
      <c r="K45" s="10" t="str">
        <f>+MENU!$E$92</f>
        <v>UNMOUNTED</v>
      </c>
      <c r="L45" s="200"/>
    </row>
    <row r="46" spans="1:43" hidden="1" x14ac:dyDescent="0.25">
      <c r="A46" s="203">
        <f t="shared" ref="A46:A47" si="0">+B46*C46</f>
        <v>0</v>
      </c>
      <c r="B46" s="203">
        <f t="shared" ref="B46:B47" si="1">+IF(H45="N",0,1)</f>
        <v>1</v>
      </c>
      <c r="C46" s="203">
        <f>+IF(H45="",0,1)</f>
        <v>0</v>
      </c>
      <c r="D46" s="201"/>
      <c r="E46" s="201"/>
      <c r="F46" s="298"/>
      <c r="G46" s="31" t="s">
        <v>446</v>
      </c>
      <c r="H46" s="296"/>
      <c r="I46" s="296"/>
      <c r="K46" s="10" t="str">
        <f>+MENU!$E$92</f>
        <v>UNMOUNTED</v>
      </c>
      <c r="L46" s="200"/>
    </row>
    <row r="47" spans="1:43" hidden="1" x14ac:dyDescent="0.25">
      <c r="A47" s="203">
        <f t="shared" si="0"/>
        <v>0</v>
      </c>
      <c r="B47" s="203">
        <f t="shared" si="1"/>
        <v>1</v>
      </c>
      <c r="C47" s="203">
        <f>+IF(H46="",0,1)</f>
        <v>0</v>
      </c>
      <c r="D47" s="201"/>
      <c r="E47" s="201"/>
      <c r="F47" s="298"/>
      <c r="G47" s="31" t="s">
        <v>447</v>
      </c>
      <c r="H47" s="296"/>
      <c r="I47" s="296"/>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78950</v>
      </c>
      <c r="K49" s="10"/>
      <c r="L49" s="183"/>
      <c r="T49" s="178"/>
      <c r="U49" s="178"/>
      <c r="V49" s="178"/>
      <c r="W49" s="178"/>
      <c r="X49" s="178"/>
    </row>
    <row r="50" spans="1:25" ht="23.1" customHeight="1" x14ac:dyDescent="0.25">
      <c r="F50" s="187" t="str">
        <f>IF(B31=0,"",CONCATENATE("Conveyor Rail Available ",'WORKCELL BOM'!O68,"mm"))</f>
        <v>Conveyor Rail Available 170mm</v>
      </c>
      <c r="G50" s="260"/>
      <c r="H50" s="258"/>
      <c r="I50" s="261" t="str">
        <f>CONCATENATE("Work Area Estimate ",'WORKCELL BOM'!M68,"mm x ",'WORKCELL BOM'!N68,"mm")</f>
        <v>Work Area Estimate 326mm x 465mm</v>
      </c>
      <c r="T50" s="317" t="str">
        <f>+IF(I51="Y","MAKE ARRANGEMENTS FOR SAMPLE PARTS","")</f>
        <v/>
      </c>
      <c r="U50" s="317"/>
      <c r="V50" s="317"/>
      <c r="W50" s="317"/>
      <c r="X50" s="317"/>
    </row>
    <row r="51" spans="1:25" ht="15" customHeight="1" x14ac:dyDescent="0.25">
      <c r="F51" s="98" t="s">
        <v>340</v>
      </c>
      <c r="G51" s="99">
        <v>42765</v>
      </c>
      <c r="H51" s="96" t="s">
        <v>344</v>
      </c>
      <c r="I51" s="36" t="s">
        <v>407</v>
      </c>
      <c r="K51" t="s">
        <v>11</v>
      </c>
      <c r="L51" s="159"/>
      <c r="M51" s="159"/>
      <c r="N51" s="159"/>
      <c r="O51" s="159"/>
      <c r="P51" s="159"/>
      <c r="Q51" s="159"/>
      <c r="R51" s="159"/>
      <c r="T51" s="317" t="str">
        <f>+IF(I51="Y","MAKE ARRANGEMENTS FOR SAMPLE MATERIAL","")</f>
        <v/>
      </c>
      <c r="U51" s="317"/>
      <c r="V51" s="317"/>
      <c r="W51" s="317"/>
      <c r="X51" s="317"/>
      <c r="Y51" s="175"/>
    </row>
    <row r="52" spans="1:25" ht="15" customHeight="1" x14ac:dyDescent="0.25">
      <c r="F52" s="212" t="s">
        <v>341</v>
      </c>
      <c r="G52" s="213">
        <f>IF(G51="","",WORKDAY(G54,-8))</f>
        <v>42802</v>
      </c>
      <c r="H52" s="97" t="s">
        <v>346</v>
      </c>
      <c r="I52" s="36" t="s">
        <v>667</v>
      </c>
      <c r="L52" s="159"/>
      <c r="M52" s="159"/>
      <c r="N52" s="159"/>
      <c r="O52" s="159"/>
      <c r="P52" s="159"/>
      <c r="Q52" s="159"/>
      <c r="R52" s="159"/>
      <c r="T52" s="317" t="str">
        <f>+IF(I51="Y","SCHEDULE ACCEPTANCE WITH DAVID FILBERT","")</f>
        <v/>
      </c>
      <c r="U52" s="317"/>
      <c r="V52" s="317"/>
      <c r="W52" s="317"/>
      <c r="X52" s="317"/>
      <c r="Y52" s="175"/>
    </row>
    <row r="53" spans="1:25" ht="15" customHeight="1" x14ac:dyDescent="0.25">
      <c r="F53" s="212" t="s">
        <v>342</v>
      </c>
      <c r="G53" s="213">
        <f>IF(G51="","",WORKDAY(G54,-2))</f>
        <v>42810</v>
      </c>
      <c r="H53" s="97" t="s">
        <v>347</v>
      </c>
      <c r="I53" s="36" t="s">
        <v>668</v>
      </c>
      <c r="Y53" s="175"/>
    </row>
    <row r="54" spans="1:25" ht="15" customHeight="1" x14ac:dyDescent="0.25">
      <c r="F54" s="212" t="str">
        <f>IF(I51="Y","Acceptance","Shipping")</f>
        <v>Shipping</v>
      </c>
      <c r="G54" s="214">
        <v>42814</v>
      </c>
      <c r="H54" s="97" t="s">
        <v>348</v>
      </c>
      <c r="I54" s="36">
        <v>29243</v>
      </c>
      <c r="Y54" s="162"/>
    </row>
    <row r="55" spans="1:25" ht="30" customHeight="1" x14ac:dyDescent="0.25">
      <c r="F55" s="312" t="s">
        <v>349</v>
      </c>
      <c r="G55" s="313"/>
      <c r="H55" s="313"/>
      <c r="I55" s="314"/>
      <c r="T55" s="162"/>
      <c r="U55" s="162"/>
      <c r="V55" s="162"/>
      <c r="W55" s="162"/>
      <c r="X55" s="162"/>
      <c r="Y55" s="162"/>
    </row>
    <row r="56" spans="1:25" x14ac:dyDescent="0.25">
      <c r="F56" s="29"/>
      <c r="G56" s="8"/>
      <c r="H56" s="26"/>
      <c r="I56" s="30"/>
    </row>
    <row r="57" spans="1:25" ht="25.15" customHeight="1" thickBot="1" x14ac:dyDescent="0.3">
      <c r="F57" s="29"/>
      <c r="G57" s="34" t="s">
        <v>164</v>
      </c>
      <c r="H57" s="144" t="s">
        <v>669</v>
      </c>
      <c r="I57" s="30"/>
      <c r="S57" s="295" t="s">
        <v>645</v>
      </c>
      <c r="T57" s="295"/>
      <c r="U57" s="295"/>
      <c r="W57" s="295" t="s">
        <v>646</v>
      </c>
      <c r="X57" s="295"/>
      <c r="Y57" s="295"/>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303" t="s">
        <v>660</v>
      </c>
      <c r="G64" s="304"/>
      <c r="H64" s="304"/>
      <c r="I64" s="305"/>
    </row>
    <row r="65" spans="1:9" x14ac:dyDescent="0.25">
      <c r="A65" s="205">
        <f t="shared" ref="A65:A69" si="2">+IF($I$54="",0,1)</f>
        <v>1</v>
      </c>
      <c r="F65" s="306"/>
      <c r="G65" s="307"/>
      <c r="H65" s="307"/>
      <c r="I65" s="308"/>
    </row>
    <row r="66" spans="1:9" x14ac:dyDescent="0.25">
      <c r="A66" s="205">
        <f t="shared" si="2"/>
        <v>1</v>
      </c>
      <c r="F66" s="306"/>
      <c r="G66" s="307"/>
      <c r="H66" s="307"/>
      <c r="I66" s="308"/>
    </row>
    <row r="67" spans="1:9" x14ac:dyDescent="0.25">
      <c r="A67" s="205">
        <f t="shared" si="2"/>
        <v>1</v>
      </c>
      <c r="F67" s="306"/>
      <c r="G67" s="307"/>
      <c r="H67" s="307"/>
      <c r="I67" s="308"/>
    </row>
    <row r="68" spans="1:9" x14ac:dyDescent="0.25">
      <c r="A68" s="205">
        <f t="shared" si="2"/>
        <v>1</v>
      </c>
      <c r="F68" s="306"/>
      <c r="G68" s="307"/>
      <c r="H68" s="307"/>
      <c r="I68" s="308"/>
    </row>
    <row r="69" spans="1:9" x14ac:dyDescent="0.25">
      <c r="A69" s="205">
        <f t="shared" si="2"/>
        <v>1</v>
      </c>
      <c r="F69" s="309"/>
      <c r="G69" s="310"/>
      <c r="H69" s="310"/>
      <c r="I69" s="311"/>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workbookViewId="0">
      <selection activeCell="B26" sqref="B26"/>
    </sheetView>
  </sheetViews>
  <sheetFormatPr defaultRowHeight="15" outlineLevelCol="1" x14ac:dyDescent="0.25"/>
  <cols>
    <col min="1" max="6" width="8.85546875" style="243" customWidth="1" outlineLevel="1"/>
    <col min="7" max="7" width="9.140625" customWidth="1"/>
    <col min="8" max="8" width="44.7109375" bestFit="1" customWidth="1"/>
    <col min="9" max="9" width="60.85546875" customWidth="1"/>
    <col min="10" max="10" width="5.7109375" customWidth="1"/>
    <col min="11" max="11" width="11.42578125" customWidth="1"/>
    <col min="12" max="12" width="19.42578125" bestFit="1" customWidth="1"/>
    <col min="13" max="13" width="10.42578125" style="40" customWidth="1" outlineLevel="1"/>
    <col min="14" max="17" width="9.42578125" style="40" customWidth="1" outlineLevel="1"/>
    <col min="18" max="19" width="16.85546875" customWidth="1" outlineLevel="1"/>
    <col min="20" max="23" width="9.140625" customWidth="1" outlineLevel="1"/>
    <col min="24" max="24" width="8.85546875"/>
  </cols>
  <sheetData>
    <row r="1" spans="1:22" ht="31.7" customHeight="1" thickBot="1" x14ac:dyDescent="0.3">
      <c r="G1" s="328" t="s">
        <v>467</v>
      </c>
      <c r="H1" s="328"/>
      <c r="I1" s="328"/>
      <c r="J1" s="328"/>
      <c r="K1" s="328"/>
      <c r="L1" s="328"/>
      <c r="M1" s="328"/>
      <c r="N1" s="328"/>
      <c r="O1" s="328"/>
      <c r="P1" s="328"/>
      <c r="Q1" s="328"/>
      <c r="R1" s="328"/>
      <c r="S1" s="328"/>
    </row>
    <row r="2" spans="1:22" ht="20.25" thickTop="1" x14ac:dyDescent="0.25">
      <c r="G2" s="329" t="s">
        <v>186</v>
      </c>
      <c r="H2" s="329"/>
      <c r="I2" s="326" t="str">
        <f>+'WORKCELL CONFIGURATOR'!H57</f>
        <v>Lab Machine</v>
      </c>
      <c r="J2" s="326"/>
      <c r="K2" s="47" t="s">
        <v>204</v>
      </c>
      <c r="L2" s="142" t="str">
        <f>+'WORKCELL CONFIGURATOR'!I52</f>
        <v>TEST2424</v>
      </c>
      <c r="M2" s="41"/>
      <c r="N2" s="41"/>
      <c r="O2" s="41"/>
      <c r="P2" s="41"/>
      <c r="Q2" s="165"/>
      <c r="R2" s="46"/>
      <c r="S2" s="44"/>
    </row>
    <row r="3" spans="1:22" ht="20.25" thickBot="1" x14ac:dyDescent="0.3">
      <c r="G3" s="330" t="s">
        <v>185</v>
      </c>
      <c r="H3" s="330"/>
      <c r="I3" s="327">
        <f>+'WORKCELL CONFIGURATOR'!I54</f>
        <v>29243</v>
      </c>
      <c r="J3" s="327"/>
      <c r="K3" s="48" t="s">
        <v>205</v>
      </c>
      <c r="L3" s="143" t="str">
        <f>+'WORKCELL CONFIGURATOR'!I53</f>
        <v>S1999</v>
      </c>
      <c r="M3" s="42"/>
      <c r="N3" s="42"/>
      <c r="O3" s="42"/>
      <c r="P3" s="42"/>
      <c r="Q3" s="166"/>
      <c r="R3" s="43"/>
      <c r="S3" s="45"/>
    </row>
    <row r="4" spans="1:22" ht="15.75" thickTop="1" x14ac:dyDescent="0.25">
      <c r="G4" s="320" t="s">
        <v>343</v>
      </c>
      <c r="H4" s="320"/>
      <c r="I4" s="25">
        <f>+'WORKCELL CONFIGURATOR'!L1</f>
        <v>4</v>
      </c>
      <c r="J4" s="320" t="s">
        <v>340</v>
      </c>
      <c r="K4" s="320"/>
      <c r="L4" s="95">
        <f>+'WORKCELL CONFIGURATOR'!G51</f>
        <v>42765</v>
      </c>
      <c r="M4"/>
      <c r="N4"/>
      <c r="O4"/>
      <c r="P4"/>
      <c r="Q4" s="141"/>
    </row>
    <row r="5" spans="1:22" x14ac:dyDescent="0.25">
      <c r="G5" s="321" t="s">
        <v>356</v>
      </c>
      <c r="H5" s="321"/>
      <c r="I5" s="109" t="str">
        <f>+'WORKCELL CONFIGURATOR'!H6</f>
        <v>N</v>
      </c>
      <c r="J5" s="323" t="s">
        <v>341</v>
      </c>
      <c r="K5" s="323"/>
      <c r="L5" s="95">
        <f>+'WORKCELL CONFIGURATOR'!G52</f>
        <v>42802</v>
      </c>
      <c r="M5"/>
      <c r="N5"/>
      <c r="O5"/>
      <c r="P5"/>
      <c r="Q5" s="141"/>
    </row>
    <row r="6" spans="1:22" x14ac:dyDescent="0.25">
      <c r="G6" s="321" t="s">
        <v>12</v>
      </c>
      <c r="H6" s="321"/>
      <c r="I6" s="31" t="str">
        <f>+'WORKCELL CONFIGURATOR'!H5</f>
        <v>100-120v 50/60Hz</v>
      </c>
      <c r="J6" s="324" t="s">
        <v>342</v>
      </c>
      <c r="K6" s="324"/>
      <c r="L6" s="95">
        <f>+'WORKCELL CONFIGURATOR'!G53</f>
        <v>42810</v>
      </c>
      <c r="M6"/>
      <c r="N6"/>
      <c r="O6"/>
      <c r="P6"/>
      <c r="Q6" s="141"/>
    </row>
    <row r="7" spans="1:22" ht="16.5" thickBot="1" x14ac:dyDescent="0.3">
      <c r="G7" s="322" t="s">
        <v>613</v>
      </c>
      <c r="H7" s="322"/>
      <c r="I7" s="152" t="str">
        <f>+IF(I41=MENU!B66,MENU!T66,IF(I9=MENU!B4,MENU!T4,MENU!U5))</f>
        <v>180mm</v>
      </c>
      <c r="J7" s="325" t="str">
        <f>+'WORKCELL CONFIGURATOR'!F54</f>
        <v>Shipping</v>
      </c>
      <c r="K7" s="325"/>
      <c r="L7" s="110">
        <f>+'WORKCELL CONFIGURATOR'!G54</f>
        <v>42814</v>
      </c>
      <c r="M7"/>
      <c r="N7"/>
      <c r="O7"/>
      <c r="P7"/>
      <c r="Q7" s="141"/>
    </row>
    <row r="8" spans="1:22" ht="36" thickTop="1" thickBot="1" x14ac:dyDescent="0.3">
      <c r="G8" s="111" t="s">
        <v>108</v>
      </c>
      <c r="H8" s="111" t="s">
        <v>109</v>
      </c>
      <c r="I8" s="334" t="s">
        <v>106</v>
      </c>
      <c r="J8" s="334"/>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35" t="str">
        <f>+'WORKCELL CONFIGURATOR'!H4</f>
        <v>Delta 6</v>
      </c>
      <c r="J9" s="335"/>
      <c r="K9" s="10"/>
      <c r="L9" s="11" t="str">
        <f>+IFERROR(VLOOKUP(I9,MENU!B$4:I$90,$U$9,FALSE),"")</f>
        <v>642-0221</v>
      </c>
      <c r="M9" s="247">
        <f>+IFERROR(VLOOKUP($I9,MENU!$B$4:$Y$100,14,FALSE),0)</f>
        <v>511</v>
      </c>
      <c r="N9" s="247">
        <f>+IFERROR(VLOOKUP($I9,MENU!$B$4:$Y$100,15,FALSE),0)</f>
        <v>475</v>
      </c>
      <c r="O9" s="247">
        <f>+IFERROR(VLOOKUP($I9,MENU!$B$4:$Y$100,16,FALSE),0)*G9</f>
        <v>400</v>
      </c>
      <c r="P9" s="247">
        <f>+IFERROR(VLOOKUP($I9,MENU!$B$4:$Y$100,17,FALSE),0)</f>
        <v>3</v>
      </c>
      <c r="Q9" s="247">
        <f>+IFERROR(VLOOKUP($I9,MENU!$B$4:$Y$100,18,FALSE),0)</f>
        <v>4</v>
      </c>
      <c r="R9" s="147">
        <f>+IFERROR(VLOOKUP($I9,MENU!$B$4:$Y$100,21,FALSE),0)</f>
        <v>35540</v>
      </c>
      <c r="S9" s="22">
        <f>IFERROR(G9*R9,0)</f>
        <v>35540</v>
      </c>
      <c r="U9">
        <f>+VLOOKUP(I9,Data!B12:C14,2,FALSE)</f>
        <v>6</v>
      </c>
      <c r="V9">
        <f>+VLOOKUP(I9,Data!E12:F14,2,FALSE)</f>
        <v>3</v>
      </c>
    </row>
    <row r="10" spans="1:22" x14ac:dyDescent="0.25">
      <c r="A10" s="243">
        <v>1</v>
      </c>
      <c r="G10" s="124">
        <v>1</v>
      </c>
      <c r="H10" s="12" t="s">
        <v>316</v>
      </c>
      <c r="I10" s="318"/>
      <c r="J10" s="318"/>
      <c r="K10" s="10"/>
      <c r="L10" s="148" t="str">
        <f>IFERROR(VLOOKUP('WORKCELL CONFIGURATOR'!H35,MENU!B70:Y72,24,FALSE),MENU!Y70)</f>
        <v>B92-00008</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8" t="s">
        <v>480</v>
      </c>
      <c r="J11" s="318"/>
      <c r="K11" s="10"/>
      <c r="L11" s="11" t="str">
        <f>VLOOKUP(P70,Data!B17:E19,V9,FALSE)</f>
        <v>612-2254-4</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8"/>
      <c r="J12" s="318"/>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hidden="1" x14ac:dyDescent="0.25">
      <c r="A13" s="141">
        <f>+B13*C13</f>
        <v>0</v>
      </c>
      <c r="B13" s="141">
        <f>IF('WORKCELL CONFIGURATOR'!H8="",0,1)</f>
        <v>1</v>
      </c>
      <c r="C13" s="141">
        <f>IF('WORKCELL CONFIGURATOR'!H8="N",0,1)</f>
        <v>0</v>
      </c>
      <c r="G13" s="124">
        <f>+A13</f>
        <v>0</v>
      </c>
      <c r="H13" s="12" t="str">
        <f>+'WORKCELL CONFIGURATOR'!G8</f>
        <v>Material Reservoir - 1</v>
      </c>
      <c r="I13" s="318" t="str">
        <f>+'WORKCELL CONFIGURATOR'!H8</f>
        <v>N</v>
      </c>
      <c r="J13" s="318"/>
      <c r="K13" s="182">
        <v>1</v>
      </c>
      <c r="L13" s="11">
        <f>+IFERROR(VLOOKUP(I13,MENU!B$4:I$90,$U$9,FALSE),"")</f>
        <v>0</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0</v>
      </c>
      <c r="S13" s="22">
        <f t="shared" ref="S13:S52" si="0">IFERROR(G13*R13,0)</f>
        <v>0</v>
      </c>
    </row>
    <row r="14" spans="1:22" hidden="1" x14ac:dyDescent="0.25">
      <c r="A14" s="141">
        <f>+B14*C14</f>
        <v>0</v>
      </c>
      <c r="B14" s="141">
        <f>IF('WORKCELL CONFIGURATOR'!H9="",0,1)</f>
        <v>1</v>
      </c>
      <c r="C14" s="141">
        <f>IF('WORKCELL CONFIGURATOR'!H9="N",0,1)</f>
        <v>0</v>
      </c>
      <c r="G14" s="141">
        <f>+A14</f>
        <v>0</v>
      </c>
      <c r="H14" s="12" t="str">
        <f>+'WORKCELL CONFIGURATOR'!G9</f>
        <v>Flow Meter - 1</v>
      </c>
      <c r="I14" s="318" t="s">
        <v>423</v>
      </c>
      <c r="J14" s="318"/>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8" t="str">
        <f>+'WORKCELL CONFIGURATOR'!H10</f>
        <v>N</v>
      </c>
      <c r="J15" s="318"/>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8"/>
      <c r="J16" s="318"/>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8"/>
      <c r="J17" s="318"/>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hidden="1" x14ac:dyDescent="0.25">
      <c r="A18" s="141">
        <f>+B18*C18</f>
        <v>0</v>
      </c>
      <c r="B18" s="141">
        <f>IF('WORKCELL CONFIGURATOR'!H13="",0,1)</f>
        <v>1</v>
      </c>
      <c r="C18" s="141">
        <f>IF('WORKCELL CONFIGURATOR'!H13="N",0,1)</f>
        <v>0</v>
      </c>
      <c r="G18" s="141">
        <f>+A18</f>
        <v>0</v>
      </c>
      <c r="H18" s="12" t="str">
        <f>+'WORKCELL CONFIGURATOR'!G13</f>
        <v>Material Reservoir - 2</v>
      </c>
      <c r="I18" s="318" t="str">
        <f>+'WORKCELL CONFIGURATOR'!H13</f>
        <v>N</v>
      </c>
      <c r="J18" s="318"/>
      <c r="K18" s="3">
        <v>2</v>
      </c>
      <c r="L18" s="11">
        <f>+IFERROR(VLOOKUP(I18,MENU!B$4:I$90,$U$9,FALSE),"")</f>
        <v>0</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0</v>
      </c>
      <c r="S18" s="22">
        <f t="shared" si="0"/>
        <v>0</v>
      </c>
    </row>
    <row r="19" spans="1:19" x14ac:dyDescent="0.25">
      <c r="A19" s="141">
        <f>+B19*C19</f>
        <v>1</v>
      </c>
      <c r="B19" s="141">
        <f>IF('WORKCELL CONFIGURATOR'!H14="",0,1)</f>
        <v>1</v>
      </c>
      <c r="C19" s="141">
        <f>IF('WORKCELL CONFIGURATOR'!H14="N",0,1)</f>
        <v>1</v>
      </c>
      <c r="G19" s="141">
        <f>+A19</f>
        <v>1</v>
      </c>
      <c r="H19" s="12" t="str">
        <f>+'WORKCELL CONFIGURATOR'!G14</f>
        <v>Flow Meter - 2</v>
      </c>
      <c r="I19" s="318" t="s">
        <v>423</v>
      </c>
      <c r="J19" s="318"/>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8760</v>
      </c>
    </row>
    <row r="20" spans="1:19" hidden="1" x14ac:dyDescent="0.25">
      <c r="A20" s="141">
        <f>+B20*C20</f>
        <v>0</v>
      </c>
      <c r="B20" s="141">
        <f>IF('WORKCELL CONFIGURATOR'!H15="",0,1)</f>
        <v>0</v>
      </c>
      <c r="C20" s="141">
        <f>IF('WORKCELL CONFIGURATOR'!H15="N",0,1)</f>
        <v>1</v>
      </c>
      <c r="G20" s="141">
        <f>+A20</f>
        <v>0</v>
      </c>
      <c r="H20" s="12" t="str">
        <f>+'WORKCELL CONFIGURATOR'!G15</f>
        <v>Solvent Flush - 2</v>
      </c>
      <c r="I20" s="318" t="s">
        <v>443</v>
      </c>
      <c r="J20" s="318"/>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8"/>
      <c r="J21" s="318"/>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8"/>
      <c r="J22" s="318"/>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8"/>
      <c r="J23" s="318"/>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8" t="str">
        <f>+'WORKCELL CONFIGURATOR'!H19</f>
        <v>Servo 4th Axis with 3 Dispense Stations and (2) Two Position Tilts</v>
      </c>
      <c r="J24" s="318"/>
      <c r="K24" s="136"/>
      <c r="L24" s="11" t="str">
        <f>+IFERROR(VLOOKUP(I24,MENU!B$4:I$90,$U$9,FALSE),"")</f>
        <v>612-1867-1</v>
      </c>
      <c r="M24" s="247">
        <f>+IFERROR(VLOOKUP($I24,MENU!$B$4:$Y$100,14,FALSE),0)</f>
        <v>-60</v>
      </c>
      <c r="N24" s="247">
        <f>+IFERROR(VLOOKUP($I24,MENU!$B$4:$Y$100,15,FALSE),0)</f>
        <v>-10</v>
      </c>
      <c r="O24" s="247">
        <f>+IFERROR(VLOOKUP($I24,MENU!$B$4:$Y$100,16,FALSE),0)*G24</f>
        <v>-230</v>
      </c>
      <c r="P24" s="247">
        <f>+IFERROR(VLOOKUP($I24,MENU!$B$4:$Y$100,17,FALSE),0)</f>
        <v>1</v>
      </c>
      <c r="Q24" s="247">
        <f>+IFERROR(VLOOKUP($I24,MENU!$B$4:$Y$100,18,FALSE),0)</f>
        <v>0</v>
      </c>
      <c r="R24" s="147">
        <f>+IFERROR(VLOOKUP($I24,MENU!$B$4:$Y$100,21,FALSE),0)</f>
        <v>9370</v>
      </c>
      <c r="S24" s="22">
        <f t="shared" si="0"/>
        <v>9370</v>
      </c>
    </row>
    <row r="25" spans="1:19" hidden="1" x14ac:dyDescent="0.25">
      <c r="A25" s="141">
        <v>0</v>
      </c>
      <c r="B25" s="141"/>
      <c r="C25" s="141"/>
      <c r="G25" s="141"/>
      <c r="H25" s="12"/>
      <c r="I25" s="318"/>
      <c r="J25" s="318"/>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8" t="str">
        <f>+'WORKCELL CONFIGURATOR'!H21</f>
        <v>FC100-CF</v>
      </c>
      <c r="J26" s="318"/>
      <c r="K26" s="136">
        <f>+'WORKCELL CONFIGURATOR'!H22</f>
        <v>1</v>
      </c>
      <c r="L26" s="11" t="str">
        <f>+IFERROR(VLOOKUP(I26,MENU!B$4:I$90,$U$9,FALSE),"")</f>
        <v>612-1869-1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8"/>
      <c r="J27" s="318"/>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8" t="str">
        <f>+'WORKCELL CONFIGURATOR'!H23</f>
        <v>FCM100</v>
      </c>
      <c r="J28" s="318"/>
      <c r="K28" s="136">
        <f>+'WORKCELL CONFIGURATOR'!H24</f>
        <v>1</v>
      </c>
      <c r="L28" s="11" t="str">
        <f>+IFERROR(VLOOKUP(I28,MENU!B$4:I$90,$U$9,FALSE),"")</f>
        <v>612-1873-1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19" hidden="1" x14ac:dyDescent="0.25">
      <c r="A29" s="141">
        <v>0</v>
      </c>
      <c r="B29" s="141"/>
      <c r="C29" s="141"/>
      <c r="G29" s="141"/>
      <c r="H29" s="12"/>
      <c r="I29" s="318"/>
      <c r="J29" s="318"/>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x14ac:dyDescent="0.25">
      <c r="A30" s="141">
        <f>+B30*C30</f>
        <v>1</v>
      </c>
      <c r="B30" s="141">
        <f>IF('WORKCELL CONFIGURATOR'!H25="",0,1)</f>
        <v>1</v>
      </c>
      <c r="C30" s="141">
        <f>IF('WORKCELL CONFIGURATOR'!H25="N",0,1)</f>
        <v>1</v>
      </c>
      <c r="G30" s="141">
        <f>+A30</f>
        <v>1</v>
      </c>
      <c r="H30" s="12" t="str">
        <f>+'WORKCELL CONFIGURATOR'!G25</f>
        <v>Station 3</v>
      </c>
      <c r="I30" s="318" t="str">
        <f>+'WORKCELL CONFIGURATOR'!H25</f>
        <v>FC100-MC</v>
      </c>
      <c r="J30" s="318"/>
      <c r="K30" s="136">
        <f>+'WORKCELL CONFIGURATOR'!H26</f>
        <v>2</v>
      </c>
      <c r="L30" s="11" t="str">
        <f>+IFERROR(VLOOKUP(I30,MENU!B$4:I$90,$U$9,FALSE),"")</f>
        <v>612-1874-1</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2780</v>
      </c>
      <c r="S30" s="22">
        <f t="shared" si="0"/>
        <v>2780</v>
      </c>
    </row>
    <row r="31" spans="1:19" hidden="1" x14ac:dyDescent="0.25">
      <c r="A31" s="141">
        <v>0</v>
      </c>
      <c r="B31" s="141"/>
      <c r="C31" s="141"/>
      <c r="G31" s="141"/>
      <c r="H31" s="12"/>
      <c r="I31" s="318"/>
      <c r="J31" s="318"/>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1</v>
      </c>
      <c r="C32" s="141">
        <f>IF('WORKCELL CONFIGURATOR'!H27="N",0,1)</f>
        <v>0</v>
      </c>
      <c r="G32" s="141">
        <f>+A32</f>
        <v>0</v>
      </c>
      <c r="H32" s="12" t="str">
        <f>+'WORKCELL CONFIGURATOR'!G27</f>
        <v>Station 4</v>
      </c>
      <c r="I32" s="318" t="str">
        <f>+'WORKCELL CONFIGURATOR'!H27</f>
        <v>N</v>
      </c>
      <c r="J32" s="318"/>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8"/>
      <c r="J33" s="318"/>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8"/>
      <c r="J34" s="318"/>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8"/>
      <c r="J35" s="318"/>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8"/>
      <c r="J36" s="318"/>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8"/>
      <c r="J37" s="318"/>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8"/>
      <c r="J38" s="318"/>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-E</v>
      </c>
      <c r="G39" s="141">
        <f>+A39</f>
        <v>1</v>
      </c>
      <c r="H39" s="12" t="str">
        <f>+'WORKCELL CONFIGURATOR'!G30</f>
        <v>Conveyor</v>
      </c>
      <c r="I39" s="318" t="str">
        <f>+'WORKCELL CONFIGURATOR'!H30</f>
        <v>Edge Chain Conveyor with Auto Adjust</v>
      </c>
      <c r="J39" s="318"/>
      <c r="K39" s="3"/>
      <c r="L39" s="11" t="str">
        <f>+IFERROR(VLOOKUP(I39,MENU!B$4:I$90,$U$9,FALSE),"")&amp;D39</f>
        <v>612-2996-31-E</v>
      </c>
      <c r="M39" s="247">
        <f>+IFERROR(VLOOKUP($I39,MENU!$B$4:$Y$100,14,FALSE),0)</f>
        <v>-75</v>
      </c>
      <c r="N39" s="247">
        <f>+IFERROR(VLOOKUP($I39,MENU!$B$4:$Y$100,15,FALSE),0)</f>
        <v>0</v>
      </c>
      <c r="O39" s="247">
        <f>+IFERROR(VLOOKUP($I39,MENU!$B$4:$Y$100,16,FALSE),0)*G39</f>
        <v>0</v>
      </c>
      <c r="P39" s="247">
        <f>+IFERROR(VLOOKUP($I39,MENU!$B$4:$Y$100,17,FALSE),0)</f>
        <v>1</v>
      </c>
      <c r="Q39" s="247">
        <f>+IFERROR(VLOOKUP($I39,MENU!$B$4:$Y$100,18,FALSE),0)</f>
        <v>0</v>
      </c>
      <c r="R39" s="147">
        <f>+IFERROR(VLOOKUP($I39,MENU!$B$4:$Y$100,21,FALSE),0)</f>
        <v>12050</v>
      </c>
      <c r="S39" s="22">
        <f t="shared" si="0"/>
        <v>12050</v>
      </c>
    </row>
    <row r="40" spans="1:27" hidden="1" x14ac:dyDescent="0.25">
      <c r="A40" s="141">
        <v>0</v>
      </c>
      <c r="B40" s="141"/>
      <c r="C40" s="141"/>
      <c r="G40" s="221">
        <f>+A40</f>
        <v>0</v>
      </c>
      <c r="H40" s="12" t="str">
        <f>+'WORKCELL CONFIGURATOR'!G31</f>
        <v>Direction</v>
      </c>
      <c r="I40" s="318" t="str">
        <f>+'WORKCELL CONFIGURATOR'!H31</f>
        <v>Left to Right</v>
      </c>
      <c r="J40" s="318"/>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f>+A41</f>
        <v>1</v>
      </c>
      <c r="H41" s="12" t="str">
        <f>+'WORKCELL CONFIGURATOR'!G32</f>
        <v>Conveyor Options</v>
      </c>
      <c r="I41" s="318" t="str">
        <f>+'WORKCELL CONFIGURATOR'!H32</f>
        <v>Pin Locators</v>
      </c>
      <c r="J41" s="318"/>
      <c r="K41" s="220"/>
      <c r="L41" s="11" t="str">
        <f>+IFERROR(VLOOKUP(I41,MENU!B$4:I$90,$U$9,FALSE),"")</f>
        <v>612-3144-1</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2160</v>
      </c>
      <c r="S41" s="22">
        <f t="shared" ref="S41" si="1">IFERROR(G41*R41,0)</f>
        <v>2160</v>
      </c>
    </row>
    <row r="42" spans="1:27" hidden="1" x14ac:dyDescent="0.25">
      <c r="A42" s="141">
        <f>+B42*C42</f>
        <v>0</v>
      </c>
      <c r="B42" s="141">
        <f>IF('WORKCELL CONFIGURATOR'!H33="",0,1)</f>
        <v>1</v>
      </c>
      <c r="C42" s="141">
        <f>IF('WORKCELL CONFIGURATOR'!H33="N",0,1)</f>
        <v>0</v>
      </c>
      <c r="G42" s="221">
        <f>+A42</f>
        <v>0</v>
      </c>
      <c r="H42" s="12" t="s">
        <v>619</v>
      </c>
      <c r="I42" s="318" t="str">
        <f>+'WORKCELL CONFIGURATOR'!G33</f>
        <v>Barcode - Mounted on Conveyor Inlet with P Select</v>
      </c>
      <c r="J42" s="318"/>
      <c r="K42" s="3"/>
      <c r="L42" s="11" t="str">
        <f>+IFERROR(VLOOKUP(I42,MENU!B$4:I$90,$U$9,FALSE),"")</f>
        <v>612-1001-7</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4330</v>
      </c>
      <c r="S42" s="22">
        <f t="shared" si="0"/>
        <v>0</v>
      </c>
    </row>
    <row r="43" spans="1:27" hidden="1" x14ac:dyDescent="0.25">
      <c r="A43" s="141">
        <v>0</v>
      </c>
      <c r="B43" s="141"/>
      <c r="C43" s="141"/>
      <c r="G43" s="221"/>
      <c r="H43" s="12"/>
      <c r="I43" s="318"/>
      <c r="J43" s="318"/>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hidden="1" x14ac:dyDescent="0.25">
      <c r="A44" s="141">
        <f>+B44*C44</f>
        <v>0</v>
      </c>
      <c r="B44" s="141">
        <f>IF('WORKCELL CONFIGURATOR'!H35="",0,1)</f>
        <v>1</v>
      </c>
      <c r="C44" s="141">
        <f>IF('WORKCELL CONFIGURATOR'!H35="N",0,1)</f>
        <v>0</v>
      </c>
      <c r="G44" s="141">
        <f>+A44</f>
        <v>0</v>
      </c>
      <c r="H44" s="12" t="str">
        <f>+'WORKCELL CONFIGURATOR'!G35</f>
        <v>Camera</v>
      </c>
      <c r="I44" s="318" t="str">
        <f>+'WORKCELL CONFIGURATOR'!H35</f>
        <v>N</v>
      </c>
      <c r="J44" s="318"/>
      <c r="K44" s="3"/>
      <c r="L44" s="11">
        <f>+IFERROR(VLOOKUP(I44,MENU!B$4:I$90,$U$9,FALSE),"")</f>
        <v>0</v>
      </c>
      <c r="M44" s="247">
        <f>+IFERROR(VLOOKUP($I44,MENU!$B$4:$Y$100,14,FALSE),0)</f>
        <v>0</v>
      </c>
      <c r="N44" s="247">
        <f>+IFERROR(VLOOKUP($I44,MENU!$B$4:$Y$100,15,FALSE),0)</f>
        <v>0</v>
      </c>
      <c r="O44" s="247">
        <f>+IFERROR(VLOOKUP($I44,MENU!$B$4:$Y$100,16,FALSE),0)*G44</f>
        <v>0</v>
      </c>
      <c r="P44" s="247">
        <f>+IFERROR(VLOOKUP($I44,MENU!$B$4:$Y$100,17,FALSE),0)</f>
        <v>0</v>
      </c>
      <c r="Q44" s="247">
        <f>+IFERROR(VLOOKUP($I44,MENU!$B$4:$Y$100,18,FALSE),0)</f>
        <v>0</v>
      </c>
      <c r="R44" s="147">
        <f>+IFERROR(VLOOKUP($I44,MENU!$B$4:$Y$100,21,FALSE),0)</f>
        <v>0</v>
      </c>
      <c r="S44" s="22">
        <f t="shared" si="0"/>
        <v>0</v>
      </c>
    </row>
    <row r="45" spans="1:27" hidden="1" x14ac:dyDescent="0.25">
      <c r="A45" s="141">
        <v>0</v>
      </c>
      <c r="B45" s="141"/>
      <c r="C45" s="141"/>
      <c r="G45" s="141"/>
      <c r="H45" s="12"/>
      <c r="I45" s="318"/>
      <c r="J45" s="318"/>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f>+A46</f>
        <v>0</v>
      </c>
      <c r="H46" s="12" t="str">
        <f>+'WORKCELL CONFIGURATOR'!G37</f>
        <v>Fan Width Sensor</v>
      </c>
      <c r="I46" s="318" t="str">
        <f>+H46</f>
        <v>Fan Width Sensor</v>
      </c>
      <c r="J46" s="318"/>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8" t="str">
        <f>+H47</f>
        <v>Fan Width Sensor with Continuous Film Calibration</v>
      </c>
      <c r="J47" s="318"/>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8" t="str">
        <f t="shared" ref="I48:I49" si="3">+H48</f>
        <v>Needle Calibration, 3 axis</v>
      </c>
      <c r="J48" s="318"/>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19" t="str">
        <f t="shared" si="3"/>
        <v>Black Light</v>
      </c>
      <c r="J49" s="319"/>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hidden="1" thickBot="1" x14ac:dyDescent="0.3">
      <c r="A50" s="115">
        <f>IF('WORKCELL CONFIGURATOR'!H$42="Y",1,0)</f>
        <v>0</v>
      </c>
      <c r="G50" s="153"/>
      <c r="H50" s="154"/>
      <c r="I50" s="332"/>
      <c r="J50" s="332"/>
      <c r="K50" s="151"/>
      <c r="L50" s="152"/>
      <c r="N50" s="148"/>
      <c r="O50" s="11"/>
      <c r="P50" s="247"/>
      <c r="Q50" s="141"/>
      <c r="R50" s="147"/>
      <c r="S50" s="22"/>
      <c r="X50" s="8"/>
      <c r="Y50" s="8"/>
      <c r="Z50" s="8"/>
      <c r="AA50" s="8"/>
    </row>
    <row r="51" spans="1:27" ht="21.75" hidden="1" thickBot="1" x14ac:dyDescent="0.4">
      <c r="A51" s="115">
        <f>IF('WORKCELL CONFIGURATOR'!H$42="Y",1,0)</f>
        <v>0</v>
      </c>
      <c r="G51" s="158" t="s">
        <v>466</v>
      </c>
      <c r="H51" s="155"/>
      <c r="I51" s="333"/>
      <c r="J51" s="333"/>
      <c r="K51" s="149"/>
      <c r="L51" s="150" t="str">
        <f>+IFERROR(VLOOKUP(I51,MENU!B$4:I$90,$U$9,FALSE),"")</f>
        <v/>
      </c>
      <c r="N51" s="148"/>
      <c r="O51" s="11"/>
      <c r="P51" s="11"/>
      <c r="Q51" s="141"/>
      <c r="R51" s="147"/>
      <c r="S51" s="22"/>
      <c r="X51" s="8"/>
      <c r="Y51" s="8"/>
      <c r="Z51" s="8"/>
      <c r="AA51" s="8"/>
    </row>
    <row r="52" spans="1:27" hidden="1" x14ac:dyDescent="0.25">
      <c r="A52" s="141">
        <f>IF('WORKCELL CONFIGURATOR'!H$42="Y",1,0)</f>
        <v>0</v>
      </c>
      <c r="G52" s="124">
        <f>IF('WORKCELL CONFIGURATOR'!H$42="Y",1,0)</f>
        <v>0</v>
      </c>
      <c r="H52" s="12" t="str">
        <f>+'WORKCELL CONFIGURATOR'!G42</f>
        <v>Spare Parts</v>
      </c>
      <c r="I52" s="318" t="s">
        <v>485</v>
      </c>
      <c r="J52" s="318"/>
      <c r="K52" s="136"/>
      <c r="L52" s="11" t="str">
        <f>+IFERROR(VLOOKUP('WORKCELL CONFIGURATOR'!H4,MENU!B4:K5,10,FALSE),"")</f>
        <v>612-1957-1</v>
      </c>
      <c r="M52" s="148"/>
      <c r="N52" s="148"/>
      <c r="O52" s="11"/>
      <c r="P52" s="11"/>
      <c r="Q52" s="141"/>
      <c r="R52" s="147">
        <f>+MENU!V90</f>
        <v>3190</v>
      </c>
      <c r="S52" s="22">
        <f t="shared" si="0"/>
        <v>0</v>
      </c>
      <c r="X52" s="8"/>
      <c r="Y52" s="8"/>
      <c r="Z52" s="8"/>
      <c r="AA52" s="8"/>
    </row>
    <row r="53" spans="1:27" hidden="1" x14ac:dyDescent="0.25">
      <c r="A53" s="243">
        <f t="shared" ref="A53:A59" si="4">+B53*C53*D53</f>
        <v>0</v>
      </c>
      <c r="B53" s="141">
        <f>IF('WORKCELL CONFIGURATOR'!H$42="Y",1,0)</f>
        <v>0</v>
      </c>
      <c r="C53">
        <f>IF('WORKCELL CONFIGURATOR'!H8="",0,1)</f>
        <v>1</v>
      </c>
      <c r="D53">
        <f>IF('WORKCELL CONFIGURATOR'!H8="N",0,1)</f>
        <v>0</v>
      </c>
      <c r="G53" s="141">
        <f t="shared" ref="G53:G59" si="5">+A53</f>
        <v>0</v>
      </c>
      <c r="H53" s="12" t="str">
        <f>+'WORKCELL CONFIGURATOR'!G8</f>
        <v>Material Reservoir - 1</v>
      </c>
      <c r="I53" s="318" t="str">
        <f>+'WORKCELL CONFIGURATOR'!H8</f>
        <v>N</v>
      </c>
      <c r="J53" s="318"/>
      <c r="K53" s="136"/>
      <c r="L53" s="11">
        <f>+IFERROR(VLOOKUP(I53,MENU!B$4:K$90,10,FALSE),"")</f>
        <v>0</v>
      </c>
      <c r="M53" s="148"/>
      <c r="N53" s="148"/>
      <c r="O53" s="11"/>
      <c r="P53" s="11"/>
      <c r="Q53" s="141"/>
      <c r="R53" s="147"/>
      <c r="S53" s="22"/>
      <c r="X53" s="8"/>
      <c r="Y53" s="8"/>
      <c r="Z53" s="8"/>
      <c r="AA53" s="8"/>
    </row>
    <row r="54" spans="1:27" hidden="1" x14ac:dyDescent="0.25">
      <c r="A54" s="243">
        <f t="shared" si="4"/>
        <v>0</v>
      </c>
      <c r="B54" s="141">
        <f>IF('WORKCELL CONFIGURATOR'!H$42="Y",1,0)</f>
        <v>0</v>
      </c>
      <c r="C54">
        <f>IF('WORKCELL CONFIGURATOR'!H13="",0,1)</f>
        <v>1</v>
      </c>
      <c r="D54">
        <f>IF('WORKCELL CONFIGURATOR'!H13="N",0,1)</f>
        <v>0</v>
      </c>
      <c r="G54" s="141">
        <f t="shared" si="5"/>
        <v>0</v>
      </c>
      <c r="H54" s="12" t="str">
        <f>+'WORKCELL CONFIGURATOR'!G13</f>
        <v>Material Reservoir - 2</v>
      </c>
      <c r="I54" s="318" t="str">
        <f>+'WORKCELL CONFIGURATOR'!H13</f>
        <v>N</v>
      </c>
      <c r="J54" s="318"/>
      <c r="K54" s="136"/>
      <c r="L54" s="11">
        <f>+IFERROR(VLOOKUP(I54,MENU!B$4:K$90,10,FALSE),"")</f>
        <v>0</v>
      </c>
      <c r="M54" s="148"/>
      <c r="N54" s="148"/>
      <c r="O54" s="11"/>
      <c r="P54" s="11"/>
      <c r="Q54" s="141"/>
      <c r="R54" s="147"/>
      <c r="S54" s="22"/>
      <c r="X54" s="8"/>
      <c r="Y54" s="8"/>
      <c r="Z54" s="8"/>
      <c r="AA54" s="8"/>
    </row>
    <row r="55" spans="1:27" hidden="1" x14ac:dyDescent="0.25">
      <c r="A55" s="243">
        <f t="shared" si="4"/>
        <v>0</v>
      </c>
      <c r="B55" s="141">
        <f>IF('WORKCELL CONFIGURATOR'!H$42="Y",1,0)</f>
        <v>0</v>
      </c>
      <c r="C55">
        <f>IF('WORKCELL CONFIGURATOR'!H10="",0,1)</f>
        <v>1</v>
      </c>
      <c r="D55">
        <f>IF('WORKCELL CONFIGURATOR'!H10="N",0,1)</f>
        <v>0</v>
      </c>
      <c r="G55" s="141">
        <f t="shared" si="5"/>
        <v>0</v>
      </c>
      <c r="H55" s="12" t="str">
        <f>+'WORKCELL CONFIGURATOR'!G10</f>
        <v>Solvent Flush - 1</v>
      </c>
      <c r="I55" s="318" t="str">
        <f>+'WORKCELL CONFIGURATOR'!H10</f>
        <v>N</v>
      </c>
      <c r="J55" s="318"/>
      <c r="K55" s="136"/>
      <c r="L55" s="11">
        <f>+IFERROR(VLOOKUP(I55,MENU!B$4:K$90,10,FALSE),"")</f>
        <v>0</v>
      </c>
      <c r="M55" s="148"/>
      <c r="N55" s="148"/>
      <c r="O55" s="11"/>
      <c r="P55" s="11"/>
      <c r="Q55" s="141"/>
      <c r="R55" s="147"/>
      <c r="S55" s="22"/>
    </row>
    <row r="56" spans="1:27" hidden="1" x14ac:dyDescent="0.25">
      <c r="A56" s="243">
        <f t="shared" si="4"/>
        <v>0</v>
      </c>
      <c r="B56" s="141">
        <f>IF('WORKCELL CONFIGURATOR'!H$42="Y",1,0)</f>
        <v>0</v>
      </c>
      <c r="C56">
        <f>IF('WORKCELL CONFIGURATOR'!H21="",0,1)</f>
        <v>1</v>
      </c>
      <c r="D56">
        <f>IF('WORKCELL CONFIGURATOR'!H21="N",0,1)</f>
        <v>1</v>
      </c>
      <c r="G56" s="141">
        <f t="shared" si="5"/>
        <v>0</v>
      </c>
      <c r="H56" s="12" t="str">
        <f>+'WORKCELL CONFIGURATOR'!G21</f>
        <v>Station 1</v>
      </c>
      <c r="I56" s="318" t="str">
        <f>+'WORKCELL CONFIGURATOR'!H21</f>
        <v>FC100-CF</v>
      </c>
      <c r="J56" s="318"/>
      <c r="K56" s="136"/>
      <c r="L56" s="11" t="str">
        <f>+IFERROR(VLOOKUP(I56,MENU!B$4:K$90,10,FALSE),"")</f>
        <v>612-1961-1</v>
      </c>
      <c r="M56" s="148"/>
      <c r="N56" s="148"/>
      <c r="O56" s="11"/>
      <c r="P56" s="11"/>
      <c r="Q56" s="141"/>
      <c r="R56" s="147"/>
      <c r="S56" s="22"/>
    </row>
    <row r="57" spans="1:27" hidden="1" x14ac:dyDescent="0.25">
      <c r="A57" s="243">
        <f t="shared" si="4"/>
        <v>0</v>
      </c>
      <c r="B57" s="141">
        <f>IF('WORKCELL CONFIGURATOR'!H$42="Y",1,0)</f>
        <v>0</v>
      </c>
      <c r="C57">
        <f>IF('WORKCELL CONFIGURATOR'!H23="",0,1)</f>
        <v>1</v>
      </c>
      <c r="D57">
        <f>IF('WORKCELL CONFIGURATOR'!H23="N",0,1)</f>
        <v>1</v>
      </c>
      <c r="G57" s="141">
        <f t="shared" si="5"/>
        <v>0</v>
      </c>
      <c r="H57" s="12" t="str">
        <f>+'WORKCELL CONFIGURATOR'!G23</f>
        <v>Station 2</v>
      </c>
      <c r="I57" s="318" t="str">
        <f>+'WORKCELL CONFIGURATOR'!H23</f>
        <v>FCM100</v>
      </c>
      <c r="J57" s="318"/>
      <c r="K57" s="136"/>
      <c r="L57" s="11" t="str">
        <f>+IFERROR(VLOOKUP(I57,MENU!B$4:K$90,10,FALSE),"")</f>
        <v>612-1965-1</v>
      </c>
      <c r="M57" s="148"/>
      <c r="N57" s="148"/>
      <c r="O57" s="11"/>
      <c r="P57" s="11"/>
      <c r="Q57" s="141"/>
      <c r="R57" s="147"/>
      <c r="S57" s="22"/>
    </row>
    <row r="58" spans="1:27" hidden="1" x14ac:dyDescent="0.25">
      <c r="A58" s="243">
        <f t="shared" si="4"/>
        <v>0</v>
      </c>
      <c r="B58" s="141">
        <f>IF('WORKCELL CONFIGURATOR'!H$42="Y",1,0)</f>
        <v>0</v>
      </c>
      <c r="C58">
        <f>IF('WORKCELL CONFIGURATOR'!H25="",0,1)</f>
        <v>1</v>
      </c>
      <c r="D58">
        <f>IF('WORKCELL CONFIGURATOR'!H25="N",0,1)</f>
        <v>1</v>
      </c>
      <c r="G58" s="141">
        <f t="shared" si="5"/>
        <v>0</v>
      </c>
      <c r="H58" s="12" t="str">
        <f>+'WORKCELL CONFIGURATOR'!G25</f>
        <v>Station 3</v>
      </c>
      <c r="I58" s="318" t="str">
        <f>+'WORKCELL CONFIGURATOR'!H25</f>
        <v>FC100-MC</v>
      </c>
      <c r="J58" s="318"/>
      <c r="K58" s="136"/>
      <c r="L58" s="11" t="str">
        <f>+IFERROR(VLOOKUP(I58,MENU!B$4:K$90,10,FALSE),"")</f>
        <v>612-1966-1</v>
      </c>
      <c r="M58" s="148"/>
      <c r="N58" s="148"/>
      <c r="O58" s="11"/>
      <c r="P58" s="11"/>
      <c r="Q58" s="141"/>
      <c r="R58" s="147"/>
      <c r="S58" s="22"/>
    </row>
    <row r="59" spans="1:27" hidden="1" x14ac:dyDescent="0.25">
      <c r="A59" s="243">
        <f t="shared" si="4"/>
        <v>0</v>
      </c>
      <c r="B59" s="141">
        <f>IF('WORKCELL CONFIGURATOR'!H$42="Y",1,0)</f>
        <v>0</v>
      </c>
      <c r="C59">
        <f>IF('WORKCELL CONFIGURATOR'!H27="",0,1)</f>
        <v>1</v>
      </c>
      <c r="D59">
        <f>IF('WORKCELL CONFIGURATOR'!H27="N",0,1)</f>
        <v>0</v>
      </c>
      <c r="G59" s="141">
        <f t="shared" si="5"/>
        <v>0</v>
      </c>
      <c r="H59" s="12" t="str">
        <f>+'WORKCELL CONFIGURATOR'!G27</f>
        <v>Station 4</v>
      </c>
      <c r="I59" s="318" t="str">
        <f>+'WORKCELL CONFIGURATOR'!H27</f>
        <v>N</v>
      </c>
      <c r="J59" s="318"/>
      <c r="K59" s="136"/>
      <c r="L59" s="11">
        <f>+IFERROR(VLOOKUP(I59,MENU!B$4:K$90,10,FALSE),"")</f>
        <v>0</v>
      </c>
      <c r="M59" s="148"/>
      <c r="N59" s="148"/>
      <c r="O59" s="11"/>
      <c r="P59" s="11"/>
      <c r="Q59" s="141"/>
      <c r="R59" s="147"/>
      <c r="S59" s="22"/>
    </row>
    <row r="60" spans="1:27" ht="15.75" hidden="1" thickBot="1" x14ac:dyDescent="0.3">
      <c r="A60" s="40">
        <f>IF(MAX($G$62:$G$66)&gt;0,1,0)</f>
        <v>0</v>
      </c>
      <c r="G60" s="153"/>
      <c r="H60" s="154"/>
      <c r="I60" s="332"/>
      <c r="J60" s="332"/>
      <c r="K60" s="151"/>
      <c r="L60" s="152"/>
      <c r="N60" s="148"/>
      <c r="O60" s="11"/>
      <c r="P60" s="11"/>
      <c r="Q60" s="198"/>
      <c r="R60" s="147"/>
      <c r="S60" s="22"/>
    </row>
    <row r="61" spans="1:27" ht="21.75" hidden="1" thickBot="1" x14ac:dyDescent="0.4">
      <c r="A61" s="40">
        <f>IF(MAX($G$62:$G$66)&gt;0,1,0)</f>
        <v>0</v>
      </c>
      <c r="G61" s="158" t="s">
        <v>526</v>
      </c>
      <c r="H61" s="155"/>
      <c r="I61" s="333"/>
      <c r="J61" s="333"/>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8"/>
      <c r="J62" s="318"/>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8" t="str">
        <f>+'WORKCELL CONFIGURATOR'!H44</f>
        <v>N</v>
      </c>
      <c r="J63" s="318"/>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8">
        <f>+'WORKCELL CONFIGURATOR'!H45</f>
        <v>0</v>
      </c>
      <c r="J64" s="318"/>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8">
        <f>+'WORKCELL CONFIGURATOR'!H46</f>
        <v>0</v>
      </c>
      <c r="J65" s="318"/>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8">
        <f>+'WORKCELL CONFIGURATOR'!H47</f>
        <v>0</v>
      </c>
      <c r="J66" s="318"/>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8"/>
      <c r="J67" s="318"/>
      <c r="K67" s="136"/>
      <c r="L67" s="11"/>
      <c r="N67" s="148"/>
      <c r="O67" s="11"/>
      <c r="P67" s="11"/>
      <c r="Q67" s="141"/>
      <c r="R67" s="147"/>
      <c r="S67" s="22"/>
    </row>
    <row r="68" spans="1:20" x14ac:dyDescent="0.25">
      <c r="G68" s="331" t="s">
        <v>333</v>
      </c>
      <c r="H68" s="331"/>
      <c r="I68" s="331"/>
      <c r="J68" s="331"/>
      <c r="K68" s="331" t="s">
        <v>218</v>
      </c>
      <c r="L68" s="331"/>
      <c r="M68" s="244">
        <f>SUM(M9:M49)</f>
        <v>326</v>
      </c>
      <c r="N68" s="244">
        <f t="shared" ref="N68:P68" si="9">SUM(N9:N49)</f>
        <v>465</v>
      </c>
      <c r="O68" s="244">
        <f t="shared" si="9"/>
        <v>170</v>
      </c>
      <c r="P68" s="244">
        <f t="shared" si="9"/>
        <v>5</v>
      </c>
      <c r="Q68" s="244">
        <f>+SUM(Q9:Q49)</f>
        <v>4</v>
      </c>
      <c r="R68" s="22"/>
      <c r="S68" s="23">
        <f>SUM(S9:S67)</f>
        <v>78950</v>
      </c>
    </row>
    <row r="69" spans="1:20" x14ac:dyDescent="0.25">
      <c r="G69" s="331"/>
      <c r="H69" s="331"/>
      <c r="I69" s="331"/>
      <c r="J69" s="331"/>
      <c r="K69" s="331"/>
      <c r="L69" s="331"/>
      <c r="R69" s="22"/>
      <c r="S69" s="22"/>
    </row>
    <row r="70" spans="1:20" x14ac:dyDescent="0.25">
      <c r="G70" s="331" t="s">
        <v>334</v>
      </c>
      <c r="H70" s="331"/>
      <c r="I70" s="331"/>
      <c r="J70" s="331"/>
      <c r="K70" s="331" t="s">
        <v>218</v>
      </c>
      <c r="L70" s="331"/>
      <c r="O70" s="245" t="s">
        <v>612</v>
      </c>
      <c r="P70" s="246">
        <f>IF(P68&gt;4,8,4)</f>
        <v>8</v>
      </c>
      <c r="R70" s="22"/>
      <c r="S70" s="22"/>
    </row>
    <row r="71" spans="1:20" x14ac:dyDescent="0.25">
      <c r="G71" s="331"/>
      <c r="H71" s="331"/>
      <c r="I71" s="331"/>
      <c r="J71" s="331"/>
      <c r="K71" s="331"/>
      <c r="L71" s="331"/>
      <c r="R71" s="22"/>
      <c r="S71" s="22"/>
    </row>
    <row r="72" spans="1:20" x14ac:dyDescent="0.25">
      <c r="G72" s="331" t="s">
        <v>332</v>
      </c>
      <c r="H72" s="331"/>
      <c r="I72" s="331"/>
      <c r="J72" s="331"/>
      <c r="K72" s="331" t="s">
        <v>218</v>
      </c>
      <c r="L72" s="331"/>
      <c r="R72" s="22"/>
      <c r="S72" s="22"/>
    </row>
    <row r="73" spans="1:20" x14ac:dyDescent="0.25">
      <c r="G73" s="331"/>
      <c r="H73" s="331"/>
      <c r="I73" s="331"/>
      <c r="J73" s="331"/>
      <c r="K73" s="331"/>
      <c r="L73" s="331"/>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K36" sqref="K36"/>
    </sheetView>
  </sheetViews>
  <sheetFormatPr defaultRowHeight="15" x14ac:dyDescent="0.25"/>
  <cols>
    <col min="6" max="6" width="9.140625" customWidth="1"/>
  </cols>
  <sheetData>
    <row r="1" spans="1:22" ht="15" customHeight="1" x14ac:dyDescent="0.25">
      <c r="A1" s="348" t="s">
        <v>210</v>
      </c>
      <c r="B1" s="349"/>
      <c r="C1" s="349"/>
      <c r="D1" s="349"/>
      <c r="E1" s="349"/>
      <c r="F1" s="349"/>
      <c r="G1" s="349"/>
      <c r="H1" s="349"/>
      <c r="I1" s="349"/>
      <c r="J1" s="349"/>
      <c r="K1" s="350"/>
      <c r="L1" s="346" t="s">
        <v>298</v>
      </c>
      <c r="M1" s="346"/>
      <c r="N1" s="346"/>
      <c r="O1" s="346"/>
      <c r="P1" s="346"/>
      <c r="Q1" s="346"/>
      <c r="R1" s="346"/>
      <c r="S1" s="346"/>
      <c r="T1" s="346"/>
      <c r="U1" s="346"/>
      <c r="V1" s="346"/>
    </row>
    <row r="2" spans="1:22" ht="15" customHeight="1" x14ac:dyDescent="0.25">
      <c r="A2" s="351"/>
      <c r="B2" s="352"/>
      <c r="C2" s="352"/>
      <c r="D2" s="352"/>
      <c r="E2" s="352"/>
      <c r="F2" s="352"/>
      <c r="G2" s="352"/>
      <c r="H2" s="352"/>
      <c r="I2" s="352"/>
      <c r="J2" s="352"/>
      <c r="K2" s="353"/>
      <c r="L2" s="346"/>
      <c r="M2" s="346"/>
      <c r="N2" s="346"/>
      <c r="O2" s="346"/>
      <c r="P2" s="346"/>
      <c r="Q2" s="346"/>
      <c r="R2" s="346"/>
      <c r="S2" s="346"/>
      <c r="T2" s="346"/>
      <c r="U2" s="346"/>
      <c r="V2" s="346"/>
    </row>
    <row r="3" spans="1:22" x14ac:dyDescent="0.25">
      <c r="A3" s="51" t="s">
        <v>212</v>
      </c>
      <c r="B3" s="347" t="str">
        <f>+'WORKCELL CONFIGURATOR'!$H$4</f>
        <v>Delta 6</v>
      </c>
      <c r="C3" s="347"/>
      <c r="D3" s="347"/>
      <c r="E3" s="347"/>
      <c r="F3" s="52" t="s">
        <v>214</v>
      </c>
      <c r="G3" s="347" t="str">
        <f>+'WORKCELL CONFIGURATOR'!$H$57</f>
        <v>Lab Machine</v>
      </c>
      <c r="H3" s="347"/>
      <c r="I3" s="347"/>
      <c r="J3" s="347"/>
      <c r="K3" s="347"/>
      <c r="L3" s="51" t="s">
        <v>212</v>
      </c>
      <c r="M3" s="347" t="str">
        <f>+'WORKCELL CONFIGURATOR'!$H$4</f>
        <v>Delta 6</v>
      </c>
      <c r="N3" s="347"/>
      <c r="O3" s="347"/>
      <c r="P3" s="347"/>
      <c r="Q3" s="52" t="s">
        <v>214</v>
      </c>
      <c r="R3" s="347" t="str">
        <f>+'WORKCELL CONFIGURATOR'!$H$57</f>
        <v>Lab Machine</v>
      </c>
      <c r="S3" s="347"/>
      <c r="T3" s="347"/>
      <c r="U3" s="347"/>
      <c r="V3" s="347"/>
    </row>
    <row r="4" spans="1:22" x14ac:dyDescent="0.25">
      <c r="A4" s="51" t="s">
        <v>213</v>
      </c>
      <c r="B4" s="347" t="str">
        <f>+'WORKCELL BOM'!$L$2</f>
        <v>TEST2424</v>
      </c>
      <c r="C4" s="347"/>
      <c r="D4" s="347"/>
      <c r="E4" s="347"/>
      <c r="F4" s="52" t="s">
        <v>215</v>
      </c>
      <c r="G4" s="347" t="str">
        <f>+'WORKCELL BOM'!$L$3</f>
        <v>S1999</v>
      </c>
      <c r="H4" s="347"/>
      <c r="I4" s="347"/>
      <c r="J4" s="347"/>
      <c r="K4" s="347"/>
      <c r="L4" s="51" t="s">
        <v>213</v>
      </c>
      <c r="M4" s="347" t="s">
        <v>662</v>
      </c>
      <c r="N4" s="347"/>
      <c r="O4" s="347"/>
      <c r="P4" s="347"/>
      <c r="Q4" s="52" t="s">
        <v>215</v>
      </c>
      <c r="R4" s="347" t="str">
        <f>+'WORKCELL BOM'!$L$3</f>
        <v>S1999</v>
      </c>
      <c r="S4" s="347"/>
      <c r="T4" s="347"/>
      <c r="U4" s="347"/>
      <c r="V4" s="347"/>
    </row>
    <row r="6" spans="1:22" x14ac:dyDescent="0.25">
      <c r="A6" s="59" t="s">
        <v>564</v>
      </c>
      <c r="B6" s="60"/>
      <c r="C6" s="60"/>
      <c r="D6" s="60"/>
      <c r="E6" s="60"/>
      <c r="F6" s="60"/>
      <c r="G6" s="60"/>
      <c r="H6" s="60"/>
      <c r="I6" s="60"/>
      <c r="J6" s="60"/>
      <c r="K6" s="61"/>
      <c r="L6" s="346" t="s">
        <v>220</v>
      </c>
      <c r="M6" s="346"/>
      <c r="N6" s="346"/>
      <c r="O6" s="346"/>
      <c r="P6" s="346"/>
      <c r="Q6" s="346"/>
      <c r="R6" s="346"/>
      <c r="S6" s="346"/>
      <c r="T6" s="346"/>
      <c r="U6" s="346"/>
      <c r="V6" s="346"/>
    </row>
    <row r="7" spans="1:22" x14ac:dyDescent="0.25">
      <c r="A7" s="56" t="s">
        <v>222</v>
      </c>
      <c r="B7" s="336" t="s">
        <v>223</v>
      </c>
      <c r="C7" s="336"/>
      <c r="D7" s="336"/>
      <c r="E7" s="336"/>
      <c r="F7" s="58" t="s">
        <v>222</v>
      </c>
      <c r="G7" s="336" t="s">
        <v>227</v>
      </c>
      <c r="H7" s="336"/>
      <c r="I7" s="336"/>
      <c r="J7" s="336"/>
      <c r="K7" s="30"/>
      <c r="L7" s="346"/>
      <c r="M7" s="346"/>
      <c r="N7" s="346"/>
      <c r="O7" s="346"/>
      <c r="P7" s="346"/>
      <c r="Q7" s="346"/>
      <c r="R7" s="346"/>
      <c r="S7" s="346"/>
      <c r="T7" s="346"/>
      <c r="U7" s="346"/>
      <c r="V7" s="346"/>
    </row>
    <row r="8" spans="1:22" x14ac:dyDescent="0.25">
      <c r="A8" s="56" t="s">
        <v>222</v>
      </c>
      <c r="B8" s="336" t="s">
        <v>224</v>
      </c>
      <c r="C8" s="336"/>
      <c r="D8" s="336"/>
      <c r="E8" s="336"/>
      <c r="F8" s="58" t="s">
        <v>222</v>
      </c>
      <c r="G8" s="336" t="s">
        <v>228</v>
      </c>
      <c r="H8" s="336"/>
      <c r="I8" s="336"/>
      <c r="J8" s="336"/>
      <c r="K8" s="30"/>
      <c r="L8" s="50" t="s">
        <v>217</v>
      </c>
      <c r="M8" s="50" t="s">
        <v>218</v>
      </c>
      <c r="N8" s="50" t="s">
        <v>549</v>
      </c>
      <c r="O8" s="354" t="s">
        <v>106</v>
      </c>
      <c r="P8" s="355"/>
      <c r="Q8" s="355"/>
      <c r="R8" s="355"/>
      <c r="S8" s="355"/>
      <c r="T8" s="356"/>
      <c r="U8" s="50" t="s">
        <v>219</v>
      </c>
      <c r="V8" s="50" t="s">
        <v>218</v>
      </c>
    </row>
    <row r="9" spans="1:22" x14ac:dyDescent="0.25">
      <c r="A9" s="56" t="s">
        <v>222</v>
      </c>
      <c r="B9" s="336" t="s">
        <v>225</v>
      </c>
      <c r="C9" s="336"/>
      <c r="D9" s="336"/>
      <c r="E9" s="336"/>
      <c r="F9" s="58" t="s">
        <v>222</v>
      </c>
      <c r="G9" s="336" t="s">
        <v>229</v>
      </c>
      <c r="H9" s="336"/>
      <c r="I9" s="336"/>
      <c r="J9" s="336"/>
      <c r="K9" s="30"/>
      <c r="L9" s="49"/>
      <c r="M9" s="49"/>
      <c r="N9" s="206"/>
      <c r="O9" s="292"/>
      <c r="P9" s="293"/>
      <c r="Q9" s="293"/>
      <c r="R9" s="293"/>
      <c r="S9" s="293"/>
      <c r="T9" s="294"/>
      <c r="U9" s="49"/>
      <c r="V9" s="49"/>
    </row>
    <row r="10" spans="1:22" x14ac:dyDescent="0.25">
      <c r="A10" s="56" t="s">
        <v>222</v>
      </c>
      <c r="B10" s="336" t="s">
        <v>226</v>
      </c>
      <c r="C10" s="336"/>
      <c r="D10" s="336"/>
      <c r="E10" s="336"/>
      <c r="F10" s="58" t="s">
        <v>222</v>
      </c>
      <c r="G10" s="336" t="s">
        <v>230</v>
      </c>
      <c r="H10" s="336"/>
      <c r="I10" s="336"/>
      <c r="J10" s="336"/>
      <c r="K10" s="30"/>
      <c r="L10" s="49"/>
      <c r="M10" s="49"/>
      <c r="N10" s="206"/>
      <c r="O10" s="292"/>
      <c r="P10" s="293"/>
      <c r="Q10" s="293"/>
      <c r="R10" s="293"/>
      <c r="S10" s="293"/>
      <c r="T10" s="294"/>
      <c r="U10" s="49"/>
      <c r="V10" s="49"/>
    </row>
    <row r="11" spans="1:22" x14ac:dyDescent="0.25">
      <c r="A11" s="62" t="s">
        <v>306</v>
      </c>
      <c r="B11" s="63"/>
      <c r="C11" s="63"/>
      <c r="D11" s="63"/>
      <c r="E11" s="63"/>
      <c r="F11" s="60"/>
      <c r="G11" s="60"/>
      <c r="H11" s="60"/>
      <c r="I11" s="60"/>
      <c r="J11" s="60"/>
      <c r="K11" s="61"/>
      <c r="L11" s="49"/>
      <c r="M11" s="49"/>
      <c r="N11" s="206"/>
      <c r="O11" s="292"/>
      <c r="P11" s="293"/>
      <c r="Q11" s="293"/>
      <c r="R11" s="293"/>
      <c r="S11" s="293"/>
      <c r="T11" s="294"/>
      <c r="U11" s="49"/>
      <c r="V11" s="49"/>
    </row>
    <row r="12" spans="1:22" x14ac:dyDescent="0.25">
      <c r="A12" s="343" t="s">
        <v>232</v>
      </c>
      <c r="B12" s="344" t="s">
        <v>234</v>
      </c>
      <c r="C12" s="344"/>
      <c r="D12" s="344"/>
      <c r="E12" s="344"/>
      <c r="G12" s="343" t="s">
        <v>235</v>
      </c>
      <c r="H12" s="344" t="s">
        <v>234</v>
      </c>
      <c r="I12" s="344"/>
      <c r="J12" s="344"/>
      <c r="K12" s="344"/>
      <c r="L12" s="49"/>
      <c r="M12" s="49"/>
      <c r="N12" s="206"/>
      <c r="O12" s="292"/>
      <c r="P12" s="293"/>
      <c r="Q12" s="293"/>
      <c r="R12" s="293"/>
      <c r="S12" s="293"/>
      <c r="T12" s="294"/>
      <c r="U12" s="49"/>
      <c r="V12" s="49"/>
    </row>
    <row r="13" spans="1:22" x14ac:dyDescent="0.25">
      <c r="A13" s="343"/>
      <c r="B13" s="344"/>
      <c r="C13" s="344"/>
      <c r="D13" s="344"/>
      <c r="E13" s="344"/>
      <c r="G13" s="343"/>
      <c r="H13" s="344"/>
      <c r="I13" s="344"/>
      <c r="J13" s="344"/>
      <c r="K13" s="344"/>
      <c r="L13" s="49"/>
      <c r="M13" s="49"/>
      <c r="N13" s="206"/>
      <c r="O13" s="292"/>
      <c r="P13" s="293"/>
      <c r="Q13" s="293"/>
      <c r="R13" s="293"/>
      <c r="S13" s="293"/>
      <c r="T13" s="294"/>
      <c r="U13" s="49"/>
      <c r="V13" s="49"/>
    </row>
    <row r="14" spans="1:22" x14ac:dyDescent="0.25">
      <c r="A14" s="343" t="s">
        <v>233</v>
      </c>
      <c r="B14" s="344" t="s">
        <v>234</v>
      </c>
      <c r="C14" s="344"/>
      <c r="D14" s="344"/>
      <c r="E14" s="344"/>
      <c r="G14" s="343" t="s">
        <v>236</v>
      </c>
      <c r="H14" s="344" t="s">
        <v>234</v>
      </c>
      <c r="I14" s="344"/>
      <c r="J14" s="344"/>
      <c r="K14" s="344"/>
      <c r="L14" s="49"/>
      <c r="M14" s="49"/>
      <c r="N14" s="206"/>
      <c r="O14" s="292"/>
      <c r="P14" s="293"/>
      <c r="Q14" s="293"/>
      <c r="R14" s="293"/>
      <c r="S14" s="293"/>
      <c r="T14" s="294"/>
      <c r="U14" s="49"/>
      <c r="V14" s="49"/>
    </row>
    <row r="15" spans="1:22" x14ac:dyDescent="0.25">
      <c r="A15" s="343"/>
      <c r="B15" s="344"/>
      <c r="C15" s="344"/>
      <c r="D15" s="344"/>
      <c r="E15" s="344"/>
      <c r="G15" s="343"/>
      <c r="H15" s="344"/>
      <c r="I15" s="344"/>
      <c r="J15" s="344"/>
      <c r="K15" s="344"/>
      <c r="L15" s="49"/>
      <c r="M15" s="49"/>
      <c r="N15" s="206"/>
      <c r="O15" s="292"/>
      <c r="P15" s="293"/>
      <c r="Q15" s="293"/>
      <c r="R15" s="293"/>
      <c r="S15" s="293"/>
      <c r="T15" s="294"/>
      <c r="U15" s="49"/>
      <c r="V15" s="49"/>
    </row>
    <row r="16" spans="1:22" x14ac:dyDescent="0.25">
      <c r="A16" s="337" t="s">
        <v>231</v>
      </c>
      <c r="B16" s="338"/>
      <c r="C16" s="338"/>
      <c r="D16" s="338"/>
      <c r="E16" s="338"/>
      <c r="F16" s="338"/>
      <c r="G16" s="338"/>
      <c r="H16" s="339"/>
      <c r="I16" s="337" t="s">
        <v>168</v>
      </c>
      <c r="J16" s="338"/>
      <c r="K16" s="339"/>
      <c r="L16" s="49"/>
      <c r="M16" s="49"/>
      <c r="N16" s="206"/>
      <c r="O16" s="292"/>
      <c r="P16" s="293"/>
      <c r="Q16" s="293"/>
      <c r="R16" s="293"/>
      <c r="S16" s="293"/>
      <c r="T16" s="294"/>
      <c r="U16" s="49"/>
      <c r="V16" s="49"/>
    </row>
    <row r="17" spans="1:22" x14ac:dyDescent="0.25">
      <c r="A17" s="340"/>
      <c r="B17" s="341"/>
      <c r="C17" s="341"/>
      <c r="D17" s="341"/>
      <c r="E17" s="341"/>
      <c r="F17" s="341"/>
      <c r="G17" s="341"/>
      <c r="H17" s="342"/>
      <c r="I17" s="340"/>
      <c r="J17" s="341"/>
      <c r="K17" s="342"/>
      <c r="L17" s="49"/>
      <c r="M17" s="49"/>
      <c r="N17" s="206"/>
      <c r="O17" s="292"/>
      <c r="P17" s="293"/>
      <c r="Q17" s="293"/>
      <c r="R17" s="293"/>
      <c r="S17" s="293"/>
      <c r="T17" s="294"/>
      <c r="U17" s="49"/>
      <c r="V17" s="49"/>
    </row>
    <row r="18" spans="1:22" x14ac:dyDescent="0.25">
      <c r="L18" s="49"/>
      <c r="M18" s="49"/>
      <c r="N18" s="206"/>
      <c r="O18" s="292"/>
      <c r="P18" s="293"/>
      <c r="Q18" s="293"/>
      <c r="R18" s="293"/>
      <c r="S18" s="293"/>
      <c r="T18" s="294"/>
      <c r="U18" s="49"/>
      <c r="V18" s="49"/>
    </row>
    <row r="19" spans="1:22" x14ac:dyDescent="0.25">
      <c r="A19" s="68" t="s">
        <v>243</v>
      </c>
      <c r="B19" s="69"/>
      <c r="C19" s="69"/>
      <c r="D19" s="69"/>
      <c r="E19" s="69"/>
      <c r="F19" s="69"/>
      <c r="G19" s="69"/>
      <c r="H19" s="69"/>
      <c r="I19" s="69"/>
      <c r="J19" s="69"/>
      <c r="K19" s="70"/>
      <c r="L19" s="49"/>
      <c r="M19" s="49"/>
      <c r="N19" s="206"/>
      <c r="O19" s="292"/>
      <c r="P19" s="293"/>
      <c r="Q19" s="293"/>
      <c r="R19" s="293"/>
      <c r="S19" s="293"/>
      <c r="T19" s="294"/>
      <c r="U19" s="49"/>
      <c r="V19" s="49"/>
    </row>
    <row r="20" spans="1:22" x14ac:dyDescent="0.25">
      <c r="A20" s="56" t="s">
        <v>222</v>
      </c>
      <c r="B20" s="345" t="s">
        <v>253</v>
      </c>
      <c r="C20" s="345"/>
      <c r="D20" s="345"/>
      <c r="E20" s="345"/>
      <c r="F20" s="58" t="s">
        <v>222</v>
      </c>
      <c r="G20" s="57" t="s">
        <v>248</v>
      </c>
      <c r="H20" s="57"/>
      <c r="I20" s="57"/>
      <c r="J20" s="57"/>
      <c r="K20" s="30"/>
      <c r="L20" s="49"/>
      <c r="M20" s="49"/>
      <c r="N20" s="206"/>
      <c r="O20" s="292"/>
      <c r="P20" s="293"/>
      <c r="Q20" s="293"/>
      <c r="R20" s="293"/>
      <c r="S20" s="293"/>
      <c r="T20" s="294"/>
      <c r="U20" s="49"/>
      <c r="V20" s="49"/>
    </row>
    <row r="21" spans="1:22" x14ac:dyDescent="0.25">
      <c r="A21" s="56" t="s">
        <v>222</v>
      </c>
      <c r="B21" s="336" t="s">
        <v>245</v>
      </c>
      <c r="C21" s="336"/>
      <c r="D21" s="336"/>
      <c r="E21" s="336"/>
      <c r="F21" s="58" t="s">
        <v>222</v>
      </c>
      <c r="G21" s="336" t="s">
        <v>249</v>
      </c>
      <c r="H21" s="336"/>
      <c r="I21" s="336"/>
      <c r="J21" s="336"/>
      <c r="K21" s="30"/>
      <c r="L21" s="49"/>
      <c r="M21" s="49"/>
      <c r="N21" s="206"/>
      <c r="O21" s="292"/>
      <c r="P21" s="293"/>
      <c r="Q21" s="293"/>
      <c r="R21" s="293"/>
      <c r="S21" s="293"/>
      <c r="T21" s="294"/>
      <c r="U21" s="49"/>
      <c r="V21" s="49"/>
    </row>
    <row r="22" spans="1:22" x14ac:dyDescent="0.25">
      <c r="A22" s="56" t="s">
        <v>222</v>
      </c>
      <c r="B22" s="336" t="s">
        <v>246</v>
      </c>
      <c r="C22" s="336"/>
      <c r="D22" s="336"/>
      <c r="E22" s="336"/>
      <c r="F22" s="58" t="s">
        <v>222</v>
      </c>
      <c r="G22" s="57" t="s">
        <v>250</v>
      </c>
      <c r="H22" s="57"/>
      <c r="I22" s="57"/>
      <c r="J22" s="57"/>
      <c r="K22" s="30"/>
      <c r="L22" s="49"/>
      <c r="M22" s="49"/>
      <c r="N22" s="206"/>
      <c r="O22" s="292"/>
      <c r="P22" s="293"/>
      <c r="Q22" s="293"/>
      <c r="R22" s="293"/>
      <c r="S22" s="293"/>
      <c r="T22" s="294"/>
      <c r="U22" s="49"/>
      <c r="V22" s="49"/>
    </row>
    <row r="23" spans="1:22" x14ac:dyDescent="0.25">
      <c r="A23" s="56" t="s">
        <v>222</v>
      </c>
      <c r="B23" s="336" t="s">
        <v>247</v>
      </c>
      <c r="C23" s="336"/>
      <c r="D23" s="336"/>
      <c r="E23" s="336"/>
      <c r="F23" s="58" t="s">
        <v>222</v>
      </c>
      <c r="G23" s="57" t="s">
        <v>275</v>
      </c>
      <c r="H23" s="57"/>
      <c r="I23" s="57"/>
      <c r="J23" s="57"/>
      <c r="K23" s="30"/>
      <c r="L23" s="49"/>
      <c r="M23" s="49"/>
      <c r="N23" s="206"/>
      <c r="O23" s="292"/>
      <c r="P23" s="293"/>
      <c r="Q23" s="293"/>
      <c r="R23" s="293"/>
      <c r="S23" s="293"/>
      <c r="T23" s="294"/>
      <c r="U23" s="49"/>
      <c r="V23" s="49"/>
    </row>
    <row r="24" spans="1:22" x14ac:dyDescent="0.25">
      <c r="A24" s="56" t="s">
        <v>222</v>
      </c>
      <c r="B24" s="336" t="s">
        <v>251</v>
      </c>
      <c r="C24" s="336"/>
      <c r="D24" s="336"/>
      <c r="E24" s="336"/>
      <c r="F24" s="58" t="s">
        <v>222</v>
      </c>
      <c r="G24" s="57" t="s">
        <v>252</v>
      </c>
      <c r="H24" s="57"/>
      <c r="I24" s="57"/>
      <c r="J24" s="57"/>
      <c r="K24" s="30"/>
      <c r="L24" s="49"/>
      <c r="M24" s="49"/>
      <c r="N24" s="206"/>
      <c r="O24" s="292"/>
      <c r="P24" s="293"/>
      <c r="Q24" s="293"/>
      <c r="R24" s="293"/>
      <c r="S24" s="293"/>
      <c r="T24" s="294"/>
      <c r="U24" s="49"/>
      <c r="V24" s="49"/>
    </row>
    <row r="25" spans="1:22" x14ac:dyDescent="0.25">
      <c r="A25" s="68" t="s">
        <v>244</v>
      </c>
      <c r="B25" s="69"/>
      <c r="C25" s="69"/>
      <c r="D25" s="69"/>
      <c r="E25" s="69"/>
      <c r="F25" s="69"/>
      <c r="G25" s="69"/>
      <c r="H25" s="69"/>
      <c r="I25" s="69"/>
      <c r="J25" s="69"/>
      <c r="K25" s="70"/>
      <c r="L25" s="49"/>
      <c r="M25" s="49"/>
      <c r="N25" s="206"/>
      <c r="O25" s="292"/>
      <c r="P25" s="293"/>
      <c r="Q25" s="293"/>
      <c r="R25" s="293"/>
      <c r="S25" s="293"/>
      <c r="T25" s="294"/>
      <c r="U25" s="49"/>
      <c r="V25" s="49"/>
    </row>
    <row r="26" spans="1:22" x14ac:dyDescent="0.25">
      <c r="A26" s="56" t="s">
        <v>222</v>
      </c>
      <c r="B26" s="57" t="s">
        <v>254</v>
      </c>
      <c r="C26" s="57"/>
      <c r="D26" s="57"/>
      <c r="E26" s="57"/>
      <c r="F26" s="58" t="s">
        <v>222</v>
      </c>
      <c r="G26" s="57" t="s">
        <v>277</v>
      </c>
      <c r="H26" s="57"/>
      <c r="I26" s="57"/>
      <c r="J26" s="57"/>
      <c r="K26" s="30"/>
      <c r="L26" s="49"/>
      <c r="M26" s="49"/>
      <c r="N26" s="206"/>
      <c r="O26" s="292"/>
      <c r="P26" s="293"/>
      <c r="Q26" s="293"/>
      <c r="R26" s="293"/>
      <c r="S26" s="293"/>
      <c r="T26" s="294"/>
      <c r="U26" s="49"/>
      <c r="V26" s="49"/>
    </row>
    <row r="27" spans="1:22" x14ac:dyDescent="0.25">
      <c r="A27" s="56" t="s">
        <v>222</v>
      </c>
      <c r="B27" s="71" t="s">
        <v>255</v>
      </c>
      <c r="C27" s="57"/>
      <c r="D27" s="57"/>
      <c r="E27" s="57"/>
      <c r="F27" s="58" t="s">
        <v>222</v>
      </c>
      <c r="G27" s="57" t="s">
        <v>257</v>
      </c>
      <c r="H27" s="57"/>
      <c r="I27" s="57"/>
      <c r="J27" s="57"/>
      <c r="K27" s="30"/>
      <c r="L27" s="49"/>
      <c r="M27" s="49"/>
      <c r="N27" s="206"/>
      <c r="O27" s="292"/>
      <c r="P27" s="293"/>
      <c r="Q27" s="293"/>
      <c r="R27" s="293"/>
      <c r="S27" s="293"/>
      <c r="T27" s="294"/>
      <c r="U27" s="49"/>
      <c r="V27" s="49"/>
    </row>
    <row r="28" spans="1:22" x14ac:dyDescent="0.25">
      <c r="A28" s="56" t="s">
        <v>222</v>
      </c>
      <c r="B28" s="71" t="s">
        <v>278</v>
      </c>
      <c r="C28" s="57"/>
      <c r="D28" s="57"/>
      <c r="E28" s="57"/>
      <c r="F28" s="58" t="s">
        <v>222</v>
      </c>
      <c r="G28" s="71" t="s">
        <v>258</v>
      </c>
      <c r="H28" s="57"/>
      <c r="I28" s="57"/>
      <c r="J28" s="57"/>
      <c r="K28" s="30"/>
      <c r="L28" s="49"/>
      <c r="M28" s="49"/>
      <c r="N28" s="206"/>
      <c r="O28" s="292"/>
      <c r="P28" s="293"/>
      <c r="Q28" s="293"/>
      <c r="R28" s="293"/>
      <c r="S28" s="293"/>
      <c r="T28" s="294"/>
      <c r="U28" s="49"/>
      <c r="V28" s="49"/>
    </row>
    <row r="29" spans="1:22" x14ac:dyDescent="0.25">
      <c r="A29" s="58" t="s">
        <v>222</v>
      </c>
      <c r="B29" s="57" t="s">
        <v>256</v>
      </c>
      <c r="C29" s="57"/>
      <c r="D29" s="57"/>
      <c r="E29" s="57"/>
      <c r="F29" s="58" t="s">
        <v>222</v>
      </c>
      <c r="G29" s="71" t="s">
        <v>259</v>
      </c>
      <c r="H29" s="57"/>
      <c r="I29" s="57"/>
      <c r="J29" s="57"/>
      <c r="K29" s="30"/>
      <c r="L29" s="49"/>
      <c r="M29" s="49"/>
      <c r="N29" s="206"/>
      <c r="O29" s="292"/>
      <c r="P29" s="293"/>
      <c r="Q29" s="293"/>
      <c r="R29" s="293"/>
      <c r="S29" s="293"/>
      <c r="T29" s="294"/>
      <c r="U29" s="49"/>
      <c r="V29" s="49"/>
    </row>
    <row r="30" spans="1:22" x14ac:dyDescent="0.25">
      <c r="A30" s="58" t="s">
        <v>222</v>
      </c>
      <c r="B30" s="57" t="s">
        <v>276</v>
      </c>
      <c r="C30" s="8"/>
      <c r="D30" s="8"/>
      <c r="E30" s="8"/>
      <c r="H30" s="8"/>
      <c r="I30" s="8"/>
      <c r="J30" s="8"/>
      <c r="K30" s="30"/>
      <c r="L30" s="357" t="s">
        <v>280</v>
      </c>
      <c r="M30" s="357"/>
      <c r="N30" s="357"/>
      <c r="O30" s="357"/>
      <c r="P30" s="357"/>
      <c r="Q30" s="357"/>
      <c r="R30" s="357"/>
      <c r="S30" s="357"/>
      <c r="T30" s="357" t="s">
        <v>218</v>
      </c>
      <c r="U30" s="357"/>
      <c r="V30" s="357"/>
    </row>
    <row r="31" spans="1:22" x14ac:dyDescent="0.25">
      <c r="C31" s="8"/>
      <c r="D31" s="8"/>
      <c r="E31" s="8"/>
      <c r="H31" s="8"/>
      <c r="I31" s="8"/>
      <c r="J31" s="8"/>
      <c r="K31" s="30"/>
      <c r="L31" s="357"/>
      <c r="M31" s="357"/>
      <c r="N31" s="357"/>
      <c r="O31" s="357"/>
      <c r="P31" s="357"/>
      <c r="Q31" s="357"/>
      <c r="R31" s="357"/>
      <c r="S31" s="357"/>
      <c r="T31" s="357"/>
      <c r="U31" s="357"/>
      <c r="V31" s="357"/>
    </row>
    <row r="32" spans="1:22" x14ac:dyDescent="0.25">
      <c r="A32" s="364" t="s">
        <v>260</v>
      </c>
      <c r="B32" s="365"/>
      <c r="C32" s="366" t="s">
        <v>261</v>
      </c>
      <c r="D32" s="366"/>
      <c r="E32" s="366"/>
      <c r="F32" s="366"/>
      <c r="G32" s="366"/>
      <c r="H32" s="366"/>
      <c r="I32" s="337" t="s">
        <v>168</v>
      </c>
      <c r="J32" s="338"/>
      <c r="K32" s="339"/>
      <c r="L32" s="357" t="s">
        <v>281</v>
      </c>
      <c r="M32" s="357"/>
      <c r="N32" s="357"/>
      <c r="O32" s="357"/>
      <c r="P32" s="357"/>
      <c r="Q32" s="357"/>
      <c r="R32" s="357"/>
      <c r="S32" s="357"/>
      <c r="T32" s="357" t="s">
        <v>218</v>
      </c>
      <c r="U32" s="357"/>
      <c r="V32" s="357"/>
    </row>
    <row r="33" spans="1:22" x14ac:dyDescent="0.25">
      <c r="A33" s="364"/>
      <c r="B33" s="365"/>
      <c r="C33" s="366"/>
      <c r="D33" s="366"/>
      <c r="E33" s="366"/>
      <c r="F33" s="366"/>
      <c r="G33" s="366"/>
      <c r="H33" s="366"/>
      <c r="I33" s="340"/>
      <c r="J33" s="341"/>
      <c r="K33" s="342"/>
      <c r="L33" s="357"/>
      <c r="M33" s="357"/>
      <c r="N33" s="357"/>
      <c r="O33" s="357"/>
      <c r="P33" s="357"/>
      <c r="Q33" s="357"/>
      <c r="R33" s="357"/>
      <c r="S33" s="357"/>
      <c r="T33" s="357"/>
      <c r="U33" s="357"/>
      <c r="V33" s="357"/>
    </row>
    <row r="34" spans="1:22" x14ac:dyDescent="0.25">
      <c r="A34" s="337" t="s">
        <v>262</v>
      </c>
      <c r="B34" s="338"/>
      <c r="C34" s="338"/>
      <c r="D34" s="338"/>
      <c r="E34" s="338"/>
      <c r="F34" s="338"/>
      <c r="G34" s="338"/>
      <c r="H34" s="339"/>
      <c r="I34" s="337" t="s">
        <v>168</v>
      </c>
      <c r="J34" s="338"/>
      <c r="K34" s="339"/>
      <c r="L34" s="357" t="s">
        <v>303</v>
      </c>
      <c r="M34" s="357"/>
      <c r="N34" s="357"/>
      <c r="O34" s="357"/>
      <c r="P34" s="357"/>
      <c r="Q34" s="357"/>
      <c r="R34" s="357"/>
      <c r="S34" s="357"/>
      <c r="T34" s="357" t="s">
        <v>218</v>
      </c>
      <c r="U34" s="357"/>
      <c r="V34" s="357"/>
    </row>
    <row r="35" spans="1:22" x14ac:dyDescent="0.25">
      <c r="A35" s="340"/>
      <c r="B35" s="341"/>
      <c r="C35" s="341"/>
      <c r="D35" s="341"/>
      <c r="E35" s="341"/>
      <c r="F35" s="341"/>
      <c r="G35" s="341"/>
      <c r="H35" s="342"/>
      <c r="I35" s="340"/>
      <c r="J35" s="341"/>
      <c r="K35" s="342"/>
      <c r="L35" s="357"/>
      <c r="M35" s="357"/>
      <c r="N35" s="357"/>
      <c r="O35" s="357"/>
      <c r="P35" s="357"/>
      <c r="Q35" s="357"/>
      <c r="R35" s="357"/>
      <c r="S35" s="357"/>
      <c r="T35" s="357"/>
      <c r="U35" s="357"/>
      <c r="V35" s="357"/>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80" t="s">
        <v>305</v>
      </c>
      <c r="M37" s="381"/>
      <c r="N37" s="381"/>
      <c r="O37" s="381"/>
      <c r="P37" s="381"/>
      <c r="Q37" s="381"/>
      <c r="R37" s="381"/>
      <c r="S37" s="381"/>
      <c r="T37" s="381"/>
      <c r="U37" s="381"/>
      <c r="V37" s="382"/>
    </row>
    <row r="38" spans="1:22" ht="15" customHeight="1" x14ac:dyDescent="0.25">
      <c r="A38" s="56" t="s">
        <v>222</v>
      </c>
      <c r="B38" s="336" t="s">
        <v>237</v>
      </c>
      <c r="C38" s="336"/>
      <c r="D38" s="336"/>
      <c r="E38" s="336"/>
      <c r="F38" s="58" t="s">
        <v>222</v>
      </c>
      <c r="G38" s="336" t="s">
        <v>240</v>
      </c>
      <c r="H38" s="336"/>
      <c r="I38" s="336"/>
      <c r="J38" s="336"/>
      <c r="K38" s="30"/>
      <c r="L38" s="383"/>
      <c r="M38" s="384"/>
      <c r="N38" s="384"/>
      <c r="O38" s="384"/>
      <c r="P38" s="384"/>
      <c r="Q38" s="384"/>
      <c r="R38" s="384"/>
      <c r="S38" s="384"/>
      <c r="T38" s="384"/>
      <c r="U38" s="384"/>
      <c r="V38" s="385"/>
    </row>
    <row r="39" spans="1:22" ht="15" customHeight="1" x14ac:dyDescent="0.25">
      <c r="A39" s="56" t="s">
        <v>222</v>
      </c>
      <c r="B39" s="336" t="s">
        <v>238</v>
      </c>
      <c r="C39" s="336"/>
      <c r="D39" s="336"/>
      <c r="E39" s="336"/>
      <c r="F39" s="58" t="s">
        <v>222</v>
      </c>
      <c r="G39" s="336" t="s">
        <v>242</v>
      </c>
      <c r="H39" s="336"/>
      <c r="I39" s="336"/>
      <c r="J39" s="336"/>
      <c r="K39" s="30"/>
      <c r="L39" s="383"/>
      <c r="M39" s="384"/>
      <c r="N39" s="384"/>
      <c r="O39" s="384"/>
      <c r="P39" s="384"/>
      <c r="Q39" s="384"/>
      <c r="R39" s="384"/>
      <c r="S39" s="384"/>
      <c r="T39" s="384"/>
      <c r="U39" s="384"/>
      <c r="V39" s="385"/>
    </row>
    <row r="40" spans="1:22" x14ac:dyDescent="0.25">
      <c r="A40" s="78" t="s">
        <v>222</v>
      </c>
      <c r="B40" s="368" t="s">
        <v>239</v>
      </c>
      <c r="C40" s="368"/>
      <c r="D40" s="368"/>
      <c r="E40" s="368"/>
      <c r="F40" s="79" t="s">
        <v>222</v>
      </c>
      <c r="G40" s="368" t="s">
        <v>241</v>
      </c>
      <c r="H40" s="368"/>
      <c r="I40" s="368"/>
      <c r="J40" s="368"/>
      <c r="K40" s="33"/>
      <c r="L40" s="386"/>
      <c r="M40" s="387"/>
      <c r="N40" s="387"/>
      <c r="O40" s="387"/>
      <c r="P40" s="387"/>
      <c r="Q40" s="387"/>
      <c r="R40" s="387"/>
      <c r="S40" s="387"/>
      <c r="T40" s="387"/>
      <c r="U40" s="387"/>
      <c r="V40" s="388"/>
    </row>
    <row r="41" spans="1:22" x14ac:dyDescent="0.25">
      <c r="A41" s="337" t="s">
        <v>231</v>
      </c>
      <c r="B41" s="338"/>
      <c r="C41" s="338"/>
      <c r="D41" s="338"/>
      <c r="E41" s="338"/>
      <c r="F41" s="338"/>
      <c r="G41" s="338"/>
      <c r="H41" s="339"/>
      <c r="I41" s="337" t="s">
        <v>168</v>
      </c>
      <c r="J41" s="338"/>
      <c r="K41" s="339"/>
      <c r="L41" s="389" t="s">
        <v>214</v>
      </c>
      <c r="M41" s="361" t="str">
        <f>+'WORKCELL CONFIGURATOR'!$H$57</f>
        <v>Lab Machine</v>
      </c>
      <c r="N41" s="361"/>
      <c r="O41" s="361"/>
      <c r="P41" s="361"/>
      <c r="Q41" s="361"/>
      <c r="R41" s="397" t="s">
        <v>300</v>
      </c>
      <c r="S41" s="397"/>
      <c r="T41" s="397"/>
      <c r="U41" s="397"/>
      <c r="V41" s="397"/>
    </row>
    <row r="42" spans="1:22" x14ac:dyDescent="0.25">
      <c r="A42" s="340"/>
      <c r="B42" s="341"/>
      <c r="C42" s="341"/>
      <c r="D42" s="341"/>
      <c r="E42" s="341"/>
      <c r="F42" s="341"/>
      <c r="G42" s="341"/>
      <c r="H42" s="342"/>
      <c r="I42" s="340"/>
      <c r="J42" s="341"/>
      <c r="K42" s="342"/>
      <c r="L42" s="390"/>
      <c r="M42" s="361"/>
      <c r="N42" s="361"/>
      <c r="O42" s="361"/>
      <c r="P42" s="361"/>
      <c r="Q42" s="361"/>
      <c r="R42" s="397"/>
      <c r="S42" s="397"/>
      <c r="T42" s="397"/>
      <c r="U42" s="397"/>
      <c r="V42" s="397"/>
    </row>
    <row r="43" spans="1:22" x14ac:dyDescent="0.25">
      <c r="L43" s="391" t="s">
        <v>484</v>
      </c>
      <c r="M43" s="392"/>
      <c r="N43" s="392"/>
      <c r="O43" s="392"/>
      <c r="P43" s="392"/>
      <c r="Q43" s="393"/>
      <c r="R43" s="397" t="s">
        <v>301</v>
      </c>
      <c r="S43" s="397"/>
      <c r="T43" s="397"/>
      <c r="U43" s="397"/>
      <c r="V43" s="397"/>
    </row>
    <row r="44" spans="1:22" x14ac:dyDescent="0.25">
      <c r="L44" s="394"/>
      <c r="M44" s="395"/>
      <c r="N44" s="395"/>
      <c r="O44" s="395"/>
      <c r="P44" s="395"/>
      <c r="Q44" s="396"/>
      <c r="R44" s="397"/>
      <c r="S44" s="397"/>
      <c r="T44" s="397"/>
      <c r="U44" s="397"/>
      <c r="V44" s="397"/>
    </row>
    <row r="45" spans="1:22" x14ac:dyDescent="0.25">
      <c r="L45" s="391" t="s">
        <v>218</v>
      </c>
      <c r="M45" s="392"/>
      <c r="N45" s="392"/>
      <c r="O45" s="392"/>
      <c r="P45" s="392"/>
      <c r="Q45" s="393"/>
      <c r="R45" s="397" t="s">
        <v>302</v>
      </c>
      <c r="S45" s="397"/>
      <c r="T45" s="397"/>
      <c r="U45" s="397"/>
      <c r="V45" s="397"/>
    </row>
    <row r="46" spans="1:22" x14ac:dyDescent="0.25">
      <c r="A46" s="67"/>
      <c r="B46" s="67"/>
      <c r="C46" s="67"/>
      <c r="D46" s="67"/>
      <c r="E46" s="67"/>
      <c r="F46" s="67"/>
      <c r="G46" s="67"/>
      <c r="H46" s="67"/>
      <c r="I46" s="67"/>
      <c r="J46" s="67"/>
      <c r="K46" s="67"/>
      <c r="L46" s="394"/>
      <c r="M46" s="395"/>
      <c r="N46" s="395"/>
      <c r="O46" s="395"/>
      <c r="P46" s="395"/>
      <c r="Q46" s="396"/>
      <c r="R46" s="397"/>
      <c r="S46" s="397"/>
      <c r="T46" s="397"/>
      <c r="U46" s="397"/>
      <c r="V46" s="397"/>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62" t="s">
        <v>211</v>
      </c>
      <c r="B48" s="362"/>
      <c r="C48" s="362"/>
      <c r="D48" s="362"/>
      <c r="E48" s="362"/>
      <c r="F48" s="362"/>
      <c r="G48" s="362"/>
      <c r="H48" s="362"/>
      <c r="I48" s="362"/>
      <c r="J48" s="362"/>
      <c r="K48" s="362"/>
      <c r="L48" s="363" t="s">
        <v>309</v>
      </c>
      <c r="M48" s="363"/>
      <c r="N48" s="363"/>
      <c r="O48" s="363"/>
      <c r="P48" s="363"/>
      <c r="Q48" s="363"/>
      <c r="R48" s="363"/>
      <c r="S48" s="363"/>
      <c r="T48" s="363"/>
      <c r="U48" s="363"/>
      <c r="V48" s="363"/>
    </row>
    <row r="49" spans="1:22" ht="15" customHeight="1" x14ac:dyDescent="0.25">
      <c r="A49" s="362"/>
      <c r="B49" s="362"/>
      <c r="C49" s="362"/>
      <c r="D49" s="362"/>
      <c r="E49" s="362"/>
      <c r="F49" s="362"/>
      <c r="G49" s="362"/>
      <c r="H49" s="362"/>
      <c r="I49" s="362"/>
      <c r="J49" s="362"/>
      <c r="K49" s="362"/>
      <c r="L49" s="363"/>
      <c r="M49" s="363"/>
      <c r="N49" s="363"/>
      <c r="O49" s="363"/>
      <c r="P49" s="363"/>
      <c r="Q49" s="363"/>
      <c r="R49" s="363"/>
      <c r="S49" s="363"/>
      <c r="T49" s="363"/>
      <c r="U49" s="363"/>
      <c r="V49" s="363"/>
    </row>
    <row r="50" spans="1:22" x14ac:dyDescent="0.25">
      <c r="A50" s="51" t="s">
        <v>212</v>
      </c>
      <c r="B50" s="347" t="str">
        <f>+'WORKCELL CONFIGURATOR'!$H$4</f>
        <v>Delta 6</v>
      </c>
      <c r="C50" s="347"/>
      <c r="D50" s="347"/>
      <c r="E50" s="347"/>
      <c r="F50" s="52" t="s">
        <v>214</v>
      </c>
      <c r="G50" s="347" t="str">
        <f>+'WORKCELL CONFIGURATOR'!$H$57</f>
        <v>Lab Machine</v>
      </c>
      <c r="H50" s="347"/>
      <c r="I50" s="347"/>
      <c r="J50" s="347"/>
      <c r="K50" s="347"/>
      <c r="L50" s="51" t="s">
        <v>212</v>
      </c>
      <c r="M50" s="347" t="str">
        <f>+'WORKCELL CONFIGURATOR'!$H$4</f>
        <v>Delta 6</v>
      </c>
      <c r="N50" s="347"/>
      <c r="O50" s="347"/>
      <c r="P50" s="347"/>
      <c r="Q50" s="52" t="s">
        <v>214</v>
      </c>
      <c r="R50" s="347" t="str">
        <f>+'WORKCELL CONFIGURATOR'!$H$57</f>
        <v>Lab Machine</v>
      </c>
      <c r="S50" s="347"/>
      <c r="T50" s="347"/>
      <c r="U50" s="347"/>
      <c r="V50" s="347"/>
    </row>
    <row r="51" spans="1:22" x14ac:dyDescent="0.25">
      <c r="A51" s="51" t="s">
        <v>213</v>
      </c>
      <c r="B51" s="347" t="str">
        <f>+'WORKCELL BOM'!$L$2</f>
        <v>TEST2424</v>
      </c>
      <c r="C51" s="347"/>
      <c r="D51" s="347"/>
      <c r="E51" s="347"/>
      <c r="F51" s="52" t="s">
        <v>215</v>
      </c>
      <c r="G51" s="347" t="str">
        <f>+'WORKCELL BOM'!$L$3</f>
        <v>S1999</v>
      </c>
      <c r="H51" s="347"/>
      <c r="I51" s="347"/>
      <c r="J51" s="347"/>
      <c r="K51" s="347"/>
      <c r="L51" s="51" t="s">
        <v>213</v>
      </c>
      <c r="M51" s="347" t="str">
        <f>+'WORKCELL BOM'!$L$2</f>
        <v>TEST2424</v>
      </c>
      <c r="N51" s="347"/>
      <c r="O51" s="347"/>
      <c r="P51" s="347"/>
      <c r="Q51" s="52" t="s">
        <v>215</v>
      </c>
      <c r="R51" s="347" t="str">
        <f>+'WORKCELL BOM'!$L$3</f>
        <v>S1999</v>
      </c>
      <c r="S51" s="347"/>
      <c r="T51" s="347"/>
      <c r="U51" s="347"/>
      <c r="V51" s="347"/>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36" t="s">
        <v>282</v>
      </c>
      <c r="C55" s="336"/>
      <c r="D55" s="336"/>
      <c r="E55" s="336"/>
      <c r="F55" s="58" t="s">
        <v>222</v>
      </c>
      <c r="G55" s="336" t="s">
        <v>289</v>
      </c>
      <c r="H55" s="336"/>
      <c r="I55" s="336"/>
      <c r="J55" s="336"/>
      <c r="K55" s="30"/>
      <c r="L55" s="398" t="s">
        <v>314</v>
      </c>
      <c r="M55" s="399"/>
      <c r="N55" s="399"/>
      <c r="O55" s="399"/>
      <c r="P55" s="399"/>
      <c r="Q55" s="399"/>
      <c r="R55" s="399"/>
      <c r="S55" s="400"/>
      <c r="T55" s="398" t="s">
        <v>218</v>
      </c>
      <c r="U55" s="399"/>
      <c r="V55" s="400"/>
    </row>
    <row r="56" spans="1:22" x14ac:dyDescent="0.25">
      <c r="A56" s="56" t="s">
        <v>222</v>
      </c>
      <c r="B56" s="57" t="s">
        <v>283</v>
      </c>
      <c r="C56" s="57"/>
      <c r="D56" s="57"/>
      <c r="E56" s="57"/>
      <c r="F56" s="58" t="s">
        <v>222</v>
      </c>
      <c r="G56" s="57" t="s">
        <v>284</v>
      </c>
      <c r="H56" s="57"/>
      <c r="I56" s="57"/>
      <c r="J56" s="57"/>
      <c r="K56" s="30"/>
      <c r="L56" s="401"/>
      <c r="M56" s="402"/>
      <c r="N56" s="402"/>
      <c r="O56" s="402"/>
      <c r="P56" s="402"/>
      <c r="Q56" s="402"/>
      <c r="R56" s="402"/>
      <c r="S56" s="403"/>
      <c r="T56" s="401"/>
      <c r="U56" s="402"/>
      <c r="V56" s="403"/>
    </row>
    <row r="57" spans="1:22" x14ac:dyDescent="0.25">
      <c r="A57" s="56" t="s">
        <v>222</v>
      </c>
      <c r="B57" s="57" t="s">
        <v>288</v>
      </c>
      <c r="C57" s="57"/>
      <c r="D57" s="57"/>
      <c r="E57" s="57"/>
      <c r="F57" s="58" t="s">
        <v>222</v>
      </c>
      <c r="G57" s="57" t="s">
        <v>285</v>
      </c>
      <c r="H57" s="8"/>
      <c r="I57" s="8"/>
      <c r="J57" s="8"/>
      <c r="K57" s="30"/>
      <c r="L57" s="398" t="s">
        <v>315</v>
      </c>
      <c r="M57" s="399"/>
      <c r="N57" s="399"/>
      <c r="O57" s="399"/>
      <c r="P57" s="399"/>
      <c r="Q57" s="399"/>
      <c r="R57" s="399"/>
      <c r="S57" s="400"/>
      <c r="T57" s="398" t="s">
        <v>218</v>
      </c>
      <c r="U57" s="399"/>
      <c r="V57" s="400"/>
    </row>
    <row r="58" spans="1:22" x14ac:dyDescent="0.25">
      <c r="A58" s="56" t="s">
        <v>222</v>
      </c>
      <c r="B58" s="57" t="s">
        <v>297</v>
      </c>
      <c r="C58" s="57"/>
      <c r="D58" s="57"/>
      <c r="E58" s="57"/>
      <c r="F58" s="8"/>
      <c r="G58" s="8"/>
      <c r="H58" s="8"/>
      <c r="I58" s="8"/>
      <c r="J58" s="8"/>
      <c r="K58" s="30"/>
      <c r="L58" s="401"/>
      <c r="M58" s="402"/>
      <c r="N58" s="402"/>
      <c r="O58" s="402"/>
      <c r="P58" s="402"/>
      <c r="Q58" s="402"/>
      <c r="R58" s="402"/>
      <c r="S58" s="403"/>
      <c r="T58" s="401"/>
      <c r="U58" s="402"/>
      <c r="V58" s="403"/>
    </row>
    <row r="59" spans="1:22" x14ac:dyDescent="0.25">
      <c r="A59" s="29"/>
      <c r="B59" s="8"/>
      <c r="C59" s="8"/>
      <c r="D59" s="8"/>
      <c r="E59" s="8"/>
      <c r="F59" s="8"/>
      <c r="G59" s="8"/>
      <c r="H59" s="8"/>
      <c r="I59" s="8"/>
      <c r="J59" s="8"/>
      <c r="K59" s="30"/>
    </row>
    <row r="60" spans="1:22" x14ac:dyDescent="0.25">
      <c r="A60" s="337" t="s">
        <v>231</v>
      </c>
      <c r="B60" s="338"/>
      <c r="C60" s="338"/>
      <c r="D60" s="338"/>
      <c r="E60" s="338"/>
      <c r="F60" s="338"/>
      <c r="G60" s="338"/>
      <c r="H60" s="339"/>
      <c r="I60" s="337" t="s">
        <v>168</v>
      </c>
      <c r="J60" s="338"/>
      <c r="K60" s="339"/>
    </row>
    <row r="61" spans="1:22" x14ac:dyDescent="0.25">
      <c r="A61" s="340"/>
      <c r="B61" s="341"/>
      <c r="C61" s="341"/>
      <c r="D61" s="341"/>
      <c r="E61" s="341"/>
      <c r="F61" s="341"/>
      <c r="G61" s="341"/>
      <c r="H61" s="342"/>
      <c r="I61" s="340"/>
      <c r="J61" s="341"/>
      <c r="K61" s="342"/>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67" t="s">
        <v>264</v>
      </c>
      <c r="N63" s="367"/>
      <c r="O63" s="367" t="s">
        <v>215</v>
      </c>
      <c r="P63" s="367"/>
      <c r="Q63" s="8"/>
      <c r="R63" s="367" t="s">
        <v>269</v>
      </c>
      <c r="S63" s="367" t="s">
        <v>274</v>
      </c>
      <c r="T63" s="367"/>
      <c r="U63" s="379" t="s">
        <v>279</v>
      </c>
      <c r="V63" s="379"/>
    </row>
    <row r="64" spans="1:22" x14ac:dyDescent="0.25">
      <c r="A64" s="364" t="s">
        <v>290</v>
      </c>
      <c r="B64" s="365"/>
      <c r="C64" s="358"/>
      <c r="D64" s="358"/>
      <c r="E64" s="358"/>
      <c r="F64" s="8"/>
      <c r="G64" s="359" t="s">
        <v>292</v>
      </c>
      <c r="H64" s="360"/>
      <c r="I64" s="358"/>
      <c r="J64" s="358"/>
      <c r="K64" s="358"/>
      <c r="L64" s="83">
        <v>1</v>
      </c>
      <c r="M64" s="361"/>
      <c r="N64" s="361"/>
      <c r="O64" s="361" t="str">
        <f>+IF(M64="N/A","N/A","")</f>
        <v/>
      </c>
      <c r="P64" s="361"/>
      <c r="Q64" s="8"/>
      <c r="R64" s="365"/>
      <c r="S64" s="365"/>
      <c r="T64" s="365"/>
      <c r="U64" s="364"/>
      <c r="V64" s="364"/>
    </row>
    <row r="65" spans="1:22" x14ac:dyDescent="0.25">
      <c r="A65" s="365"/>
      <c r="B65" s="365"/>
      <c r="C65" s="358"/>
      <c r="D65" s="358"/>
      <c r="E65" s="358"/>
      <c r="F65" s="8"/>
      <c r="G65" s="360"/>
      <c r="H65" s="360"/>
      <c r="I65" s="358"/>
      <c r="J65" s="358"/>
      <c r="K65" s="358"/>
      <c r="L65" s="83">
        <v>2</v>
      </c>
      <c r="M65" s="361"/>
      <c r="N65" s="361"/>
      <c r="O65" s="361"/>
      <c r="P65" s="361"/>
      <c r="Q65" s="8"/>
      <c r="R65" s="83" t="s">
        <v>270</v>
      </c>
      <c r="S65" s="366"/>
      <c r="T65" s="366"/>
      <c r="U65" s="377" t="str">
        <f>+IF('WORKCELL CONFIGURATOR'!H9="Y","","N/A")</f>
        <v>N/A</v>
      </c>
      <c r="V65" s="378"/>
    </row>
    <row r="66" spans="1:22" x14ac:dyDescent="0.25">
      <c r="A66" s="364" t="s">
        <v>291</v>
      </c>
      <c r="B66" s="365"/>
      <c r="C66" s="358"/>
      <c r="D66" s="358"/>
      <c r="E66" s="358"/>
      <c r="F66" s="8"/>
      <c r="G66" s="8"/>
      <c r="H66" s="8"/>
      <c r="I66" s="8"/>
      <c r="J66" s="8"/>
      <c r="K66" s="30"/>
      <c r="L66" s="83">
        <v>3</v>
      </c>
      <c r="M66" s="361"/>
      <c r="N66" s="361"/>
      <c r="O66" s="361"/>
      <c r="P66" s="361"/>
      <c r="Q66" s="8"/>
      <c r="R66" s="83" t="s">
        <v>271</v>
      </c>
      <c r="S66" s="365"/>
      <c r="T66" s="365"/>
      <c r="U66" s="377" t="str">
        <f>+IF('WORKCELL CONFIGURATOR'!H14="Y","","N/A")</f>
        <v/>
      </c>
      <c r="V66" s="378"/>
    </row>
    <row r="67" spans="1:22" x14ac:dyDescent="0.25">
      <c r="A67" s="365"/>
      <c r="B67" s="365"/>
      <c r="C67" s="358"/>
      <c r="D67" s="358"/>
      <c r="E67" s="358"/>
      <c r="F67" s="8"/>
      <c r="G67" s="8"/>
      <c r="H67" s="8"/>
      <c r="I67" s="8"/>
      <c r="J67" s="8"/>
      <c r="K67" s="30"/>
      <c r="L67" s="157">
        <v>4</v>
      </c>
      <c r="M67" s="361"/>
      <c r="N67" s="361"/>
      <c r="O67" s="361"/>
      <c r="P67" s="361"/>
      <c r="Q67" s="8"/>
      <c r="R67" s="83" t="s">
        <v>272</v>
      </c>
      <c r="S67" s="365"/>
      <c r="T67" s="365"/>
      <c r="U67" s="72"/>
      <c r="V67" s="81"/>
    </row>
    <row r="68" spans="1:22" x14ac:dyDescent="0.25">
      <c r="A68" s="29"/>
      <c r="B68" s="8"/>
      <c r="C68" s="8"/>
      <c r="D68" s="8"/>
      <c r="E68" s="8"/>
      <c r="F68" s="8"/>
      <c r="G68" s="8"/>
      <c r="H68" s="8"/>
      <c r="I68" s="8"/>
      <c r="J68" s="8"/>
      <c r="K68" s="30"/>
      <c r="L68" s="29"/>
      <c r="M68" s="8"/>
      <c r="N68" s="8"/>
      <c r="O68" s="8"/>
      <c r="P68" s="8"/>
      <c r="Q68" s="8"/>
      <c r="R68" s="83" t="s">
        <v>273</v>
      </c>
      <c r="S68" s="358" t="str">
        <f>+IF('WORKCELL CONFIGURATOR'!H4=3,"N/A","")</f>
        <v/>
      </c>
      <c r="T68" s="358"/>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58" t="str">
        <f>+IF('WORKCELL CONFIGURATOR'!H5=3,"N/A","")</f>
        <v/>
      </c>
      <c r="T69" s="358"/>
      <c r="U69" s="13"/>
      <c r="V69" s="90"/>
    </row>
    <row r="70" spans="1:22" x14ac:dyDescent="0.25">
      <c r="A70" s="56"/>
      <c r="B70" s="57"/>
      <c r="C70" s="57"/>
      <c r="D70" s="57"/>
      <c r="E70" s="8"/>
      <c r="F70" s="8"/>
      <c r="G70" s="8"/>
      <c r="H70" s="8"/>
      <c r="I70" s="8"/>
      <c r="J70" s="8"/>
      <c r="K70" s="30"/>
      <c r="L70" s="84" t="s">
        <v>263</v>
      </c>
      <c r="M70" s="367" t="s">
        <v>264</v>
      </c>
      <c r="N70" s="367"/>
      <c r="O70" s="367" t="s">
        <v>215</v>
      </c>
      <c r="P70" s="367"/>
      <c r="Q70" s="8"/>
      <c r="R70" s="231" t="s">
        <v>585</v>
      </c>
      <c r="S70" s="358" t="str">
        <f>+IF('WORKCELL CONFIGURATOR'!H6=3,"N/A","")</f>
        <v/>
      </c>
      <c r="T70" s="358"/>
      <c r="U70" s="13"/>
      <c r="V70" s="90"/>
    </row>
    <row r="71" spans="1:22" x14ac:dyDescent="0.25">
      <c r="A71" s="337" t="s">
        <v>231</v>
      </c>
      <c r="B71" s="338"/>
      <c r="C71" s="338"/>
      <c r="D71" s="338"/>
      <c r="E71" s="338"/>
      <c r="F71" s="338"/>
      <c r="G71" s="338"/>
      <c r="H71" s="339"/>
      <c r="I71" s="337" t="s">
        <v>168</v>
      </c>
      <c r="J71" s="338"/>
      <c r="K71" s="339"/>
      <c r="L71" s="83">
        <v>1</v>
      </c>
      <c r="M71" s="361"/>
      <c r="N71" s="361"/>
      <c r="O71" s="361"/>
      <c r="P71" s="361"/>
      <c r="Q71" s="8"/>
      <c r="R71" s="13"/>
      <c r="S71" s="13"/>
      <c r="T71" s="13"/>
      <c r="U71" s="13"/>
      <c r="V71" s="90"/>
    </row>
    <row r="72" spans="1:22" x14ac:dyDescent="0.25">
      <c r="A72" s="340"/>
      <c r="B72" s="341"/>
      <c r="C72" s="341"/>
      <c r="D72" s="341"/>
      <c r="E72" s="341"/>
      <c r="F72" s="341"/>
      <c r="G72" s="341"/>
      <c r="H72" s="342"/>
      <c r="I72" s="340"/>
      <c r="J72" s="341"/>
      <c r="K72" s="342"/>
      <c r="L72" s="83">
        <v>2</v>
      </c>
      <c r="M72" s="361"/>
      <c r="N72" s="361"/>
      <c r="O72" s="361"/>
      <c r="P72" s="361"/>
      <c r="Q72" s="8"/>
      <c r="R72" s="8"/>
      <c r="S72" s="8"/>
      <c r="T72" s="8"/>
      <c r="U72" s="8"/>
      <c r="V72" s="30"/>
    </row>
    <row r="73" spans="1:22" x14ac:dyDescent="0.25">
      <c r="L73" s="83">
        <v>3</v>
      </c>
      <c r="M73" s="361"/>
      <c r="N73" s="361"/>
      <c r="O73" s="361"/>
      <c r="P73" s="361"/>
      <c r="Q73" s="8"/>
      <c r="R73" s="8"/>
      <c r="S73" s="8"/>
      <c r="T73" s="8"/>
      <c r="U73" s="8"/>
      <c r="V73" s="30"/>
    </row>
    <row r="74" spans="1:22" x14ac:dyDescent="0.25">
      <c r="A74" s="76" t="s">
        <v>355</v>
      </c>
      <c r="B74" s="77"/>
      <c r="C74" s="77"/>
      <c r="D74" s="77"/>
      <c r="E74" s="77"/>
      <c r="F74" s="77"/>
      <c r="G74" s="77"/>
      <c r="H74" s="77"/>
      <c r="I74" s="77"/>
      <c r="J74" s="77"/>
      <c r="K74" s="80"/>
      <c r="L74" s="157">
        <v>4</v>
      </c>
      <c r="M74" s="361"/>
      <c r="N74" s="361"/>
      <c r="O74" s="361"/>
      <c r="P74" s="361"/>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9" t="s">
        <v>294</v>
      </c>
      <c r="S75" s="369"/>
      <c r="T75" s="370" t="str">
        <f>+IF('WORKCELL CONFIGURATOR'!H35="N","N/A","")</f>
        <v>N/A</v>
      </c>
      <c r="U75" s="371"/>
      <c r="V75" s="372"/>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9"/>
      <c r="S76" s="369"/>
      <c r="T76" s="373"/>
      <c r="U76" s="374"/>
      <c r="V76" s="375"/>
    </row>
    <row r="77" spans="1:22" x14ac:dyDescent="0.25">
      <c r="A77" s="56" t="s">
        <v>222</v>
      </c>
      <c r="B77" s="57" t="s">
        <v>304</v>
      </c>
      <c r="C77" s="57"/>
      <c r="D77" s="57"/>
      <c r="E77" s="57"/>
      <c r="F77" s="56"/>
      <c r="G77" s="57"/>
      <c r="H77" s="57"/>
      <c r="I77" s="57"/>
      <c r="J77" s="8"/>
      <c r="K77" s="81"/>
      <c r="L77" s="84" t="s">
        <v>187</v>
      </c>
      <c r="M77" s="376" t="s">
        <v>215</v>
      </c>
      <c r="N77" s="376"/>
      <c r="O77" s="376"/>
      <c r="P77" s="376"/>
      <c r="Q77" s="8"/>
      <c r="R77" s="369" t="s">
        <v>295</v>
      </c>
      <c r="S77" s="369"/>
      <c r="T77" s="370" t="str">
        <f>+IF('WORKCELL CONFIGURATOR'!H35="N","N/A","")</f>
        <v>N/A</v>
      </c>
      <c r="U77" s="371"/>
      <c r="V77" s="372"/>
    </row>
    <row r="78" spans="1:22" x14ac:dyDescent="0.25">
      <c r="A78" s="29"/>
      <c r="B78" s="8"/>
      <c r="C78" s="8"/>
      <c r="D78" s="8"/>
      <c r="E78" s="8"/>
      <c r="F78" s="8"/>
      <c r="G78" s="8"/>
      <c r="H78" s="8"/>
      <c r="I78" s="8"/>
      <c r="J78" s="72"/>
      <c r="K78" s="30"/>
      <c r="L78" s="83"/>
      <c r="M78" s="365"/>
      <c r="N78" s="365"/>
      <c r="O78" s="365"/>
      <c r="P78" s="365"/>
      <c r="Q78" s="35"/>
      <c r="R78" s="369"/>
      <c r="S78" s="369"/>
      <c r="T78" s="373"/>
      <c r="U78" s="374"/>
      <c r="V78" s="375"/>
    </row>
    <row r="79" spans="1:22" x14ac:dyDescent="0.25">
      <c r="A79" s="337" t="s">
        <v>231</v>
      </c>
      <c r="B79" s="338"/>
      <c r="C79" s="338"/>
      <c r="D79" s="338"/>
      <c r="E79" s="338"/>
      <c r="F79" s="338"/>
      <c r="G79" s="338"/>
      <c r="H79" s="339"/>
      <c r="I79" s="337" t="s">
        <v>168</v>
      </c>
      <c r="J79" s="338"/>
      <c r="K79" s="339"/>
    </row>
    <row r="80" spans="1:22" x14ac:dyDescent="0.25">
      <c r="A80" s="340"/>
      <c r="B80" s="341"/>
      <c r="C80" s="341"/>
      <c r="D80" s="341"/>
      <c r="E80" s="341"/>
      <c r="F80" s="341"/>
      <c r="G80" s="341"/>
      <c r="H80" s="342"/>
      <c r="I80" s="340"/>
      <c r="J80" s="341"/>
      <c r="K80" s="342"/>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23" sqref="H23"/>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TEST2424</v>
      </c>
      <c r="B4" s="3" t="str">
        <f>+'WORKCELL BOM'!L3</f>
        <v>S1999</v>
      </c>
      <c r="C4" s="3" t="str">
        <f>+'WORKCELL CONFIGURATOR'!H4</f>
        <v>Delta 6</v>
      </c>
      <c r="D4" s="3" t="str">
        <f>+CONCATENATE("123-",'WORKCELL CONFIGURATOR'!I53)</f>
        <v>123-S1999</v>
      </c>
      <c r="E4" s="94">
        <f ca="1">+TODAY()</f>
        <v>42782</v>
      </c>
      <c r="F4" s="3" t="str">
        <f>+IF('WORKCELL CONFIGURATOR'!H5=Data!C5,"200-240V","100-120V")</f>
        <v>100-120V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91" t="s">
        <v>464</v>
      </c>
      <c r="C11" s="291"/>
      <c r="E11" s="291" t="s">
        <v>465</v>
      </c>
      <c r="F11" s="291"/>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74" t="s">
        <v>475</v>
      </c>
      <c r="C16" s="374"/>
      <c r="D16" s="374"/>
      <c r="E16" s="374"/>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zoomScaleNormal="100" workbookViewId="0">
      <selection activeCell="I7" sqref="I7"/>
    </sheetView>
  </sheetViews>
  <sheetFormatPr defaultColWidth="11.7109375" defaultRowHeight="15" x14ac:dyDescent="0.25"/>
  <cols>
    <col min="1" max="1" width="4.140625" style="264" bestFit="1" customWidth="1"/>
    <col min="2" max="2" width="47.140625" style="4" bestFit="1" customWidth="1"/>
    <col min="3" max="3" width="65.140625" style="4" customWidth="1"/>
    <col min="4" max="4" width="0" style="4" hidden="1" customWidth="1"/>
    <col min="5" max="5" width="17.5703125" style="4" bestFit="1" customWidth="1"/>
    <col min="6" max="6" width="19.5703125" style="267" customWidth="1"/>
    <col min="7" max="7" width="18.7109375" style="4" bestFit="1" customWidth="1"/>
    <col min="8" max="8" width="14.5703125" style="4" bestFit="1" customWidth="1"/>
    <col min="9" max="9" width="11.7109375" style="4"/>
    <col min="10" max="12" width="11.7109375" style="6"/>
    <col min="13" max="13" width="18" style="6" bestFit="1" customWidth="1"/>
    <col min="14" max="16384" width="11.7109375" style="6"/>
  </cols>
  <sheetData>
    <row r="1" spans="1:14" ht="60.75" customHeight="1" x14ac:dyDescent="0.25">
      <c r="A1" s="270"/>
      <c r="B1" s="270"/>
      <c r="C1" s="270"/>
      <c r="D1" s="270"/>
      <c r="E1" s="270"/>
      <c r="F1" s="404"/>
      <c r="G1" s="404"/>
      <c r="H1" s="404"/>
      <c r="I1" s="404"/>
      <c r="J1" s="271"/>
      <c r="K1" s="272"/>
      <c r="L1" s="273"/>
    </row>
    <row r="2" spans="1:14" ht="28.5" customHeight="1" x14ac:dyDescent="0.25">
      <c r="A2" s="270"/>
      <c r="B2" s="270"/>
      <c r="C2" s="270"/>
      <c r="D2" s="270"/>
      <c r="E2" s="270"/>
      <c r="F2" s="405"/>
      <c r="G2" s="405"/>
      <c r="H2" s="405"/>
      <c r="I2" s="274"/>
      <c r="J2" s="271"/>
      <c r="K2" s="406" t="s">
        <v>664</v>
      </c>
      <c r="L2" s="407"/>
      <c r="M2" s="407"/>
      <c r="N2" s="408"/>
    </row>
    <row r="3" spans="1:14" x14ac:dyDescent="0.25">
      <c r="A3" s="265"/>
      <c r="B3" s="266"/>
      <c r="C3" s="266"/>
      <c r="D3" s="266"/>
      <c r="E3" s="266"/>
      <c r="F3" s="275"/>
      <c r="G3" s="266"/>
      <c r="H3" s="266"/>
      <c r="I3" s="266"/>
      <c r="J3" s="271"/>
      <c r="K3" s="409"/>
      <c r="L3" s="410"/>
      <c r="M3" s="410"/>
      <c r="N3" s="411"/>
    </row>
    <row r="4" spans="1:14" ht="15.75" thickBot="1" x14ac:dyDescent="0.3">
      <c r="J4" s="271"/>
      <c r="K4" s="276"/>
      <c r="L4" s="266" t="s">
        <v>168</v>
      </c>
      <c r="M4" s="268">
        <f ca="1">TODAY()</f>
        <v>42782</v>
      </c>
      <c r="N4" s="277"/>
    </row>
    <row r="5" spans="1:14" ht="36" thickTop="1" thickBot="1" x14ac:dyDescent="0.3">
      <c r="A5" s="285" t="str">
        <f>'WORKCELL BOM'!G8</f>
        <v>Qty</v>
      </c>
      <c r="B5" s="283" t="str">
        <f>'WORKCELL BOM'!H8</f>
        <v>Slot</v>
      </c>
      <c r="C5" s="334" t="str">
        <f>'WORKCELL BOM'!I8</f>
        <v>Description</v>
      </c>
      <c r="D5" s="334"/>
      <c r="E5" s="113" t="str">
        <f>'WORKCELL BOM'!K8</f>
        <v>Material Reservoir</v>
      </c>
      <c r="F5" s="113" t="str">
        <f>'WORKCELL BOM'!L8</f>
        <v>Part #</v>
      </c>
      <c r="G5" s="286" t="s">
        <v>661</v>
      </c>
      <c r="K5" s="276"/>
      <c r="L5" s="266" t="s">
        <v>204</v>
      </c>
      <c r="M5" s="268" t="str">
        <f>'WORKCELL BOM'!L2</f>
        <v>TEST2424</v>
      </c>
      <c r="N5" s="277"/>
    </row>
    <row r="6" spans="1:14" ht="16.5" customHeight="1" thickTop="1" x14ac:dyDescent="0.25">
      <c r="A6" s="281">
        <f>'WORKCELL BOM'!G9</f>
        <v>1</v>
      </c>
      <c r="B6" s="281" t="str">
        <f>'WORKCELL BOM'!H9</f>
        <v>Work Cell</v>
      </c>
      <c r="C6" s="412" t="str">
        <f>'WORKCELL BOM'!I9</f>
        <v>Delta 6</v>
      </c>
      <c r="D6" s="412"/>
      <c r="E6" s="281">
        <f>'WORKCELL BOM'!K9</f>
        <v>0</v>
      </c>
      <c r="F6" s="281" t="str">
        <f>'WORKCELL BOM'!L9</f>
        <v>642-0221</v>
      </c>
      <c r="G6" s="4">
        <f>IF(F6=MENU!G4,1,2)</f>
        <v>1</v>
      </c>
      <c r="K6" s="276"/>
      <c r="L6" s="266" t="s">
        <v>215</v>
      </c>
      <c r="M6" s="266" t="str">
        <f>'WORKCELL BOM'!L3</f>
        <v>S1999</v>
      </c>
      <c r="N6" s="277"/>
    </row>
    <row r="7" spans="1:14" ht="16.5" customHeight="1" x14ac:dyDescent="0.25">
      <c r="A7" s="281">
        <f>'WORKCELL BOM'!G10</f>
        <v>1</v>
      </c>
      <c r="B7" s="281" t="str">
        <f>'WORKCELL BOM'!H10</f>
        <v>Computer</v>
      </c>
      <c r="C7" s="291">
        <f>'WORKCELL BOM'!I10</f>
        <v>0</v>
      </c>
      <c r="D7" s="291"/>
      <c r="E7" s="281">
        <f>'WORKCELL BOM'!K10</f>
        <v>0</v>
      </c>
      <c r="F7" s="287" t="str">
        <f>'WORKCELL BOM'!L10</f>
        <v>B92-00008</v>
      </c>
      <c r="G7" s="4" t="str">
        <f>IFERROR(IF(A7&gt;0,IF($G$6=1,VLOOKUP(F7,MENU!$G$4:$AA$276,21,FALSE),VLOOKUP(F7,MENU!$I$3:$AA$154,19,FALSE)),0),"NA")</f>
        <v>NA</v>
      </c>
      <c r="K7" s="276"/>
      <c r="L7" s="266" t="s">
        <v>663</v>
      </c>
      <c r="M7" s="266" t="str">
        <f>'WORKCELL FORMS'!R3</f>
        <v>Lab Machine</v>
      </c>
      <c r="N7" s="277"/>
    </row>
    <row r="8" spans="1:14" ht="16.5" customHeight="1" x14ac:dyDescent="0.25">
      <c r="A8" s="281">
        <f>'WORKCELL BOM'!G11</f>
        <v>1</v>
      </c>
      <c r="B8" s="281" t="str">
        <f>'WORKCELL BOM'!H11</f>
        <v>Galil</v>
      </c>
      <c r="C8" s="291" t="str">
        <f>'WORKCELL BOM'!I11</f>
        <v>Galil and Accessories</v>
      </c>
      <c r="D8" s="291"/>
      <c r="E8" s="281">
        <f>'WORKCELL BOM'!K11</f>
        <v>0</v>
      </c>
      <c r="F8" s="281" t="str">
        <f>'WORKCELL BOM'!L11</f>
        <v>612-2254-4</v>
      </c>
      <c r="G8" s="4" t="str">
        <f>IFERROR(IF(A8&gt;0,IF($G$6=1,VLOOKUP(F8,MENU!$G$4:$AA$276,21,FALSE),VLOOKUP(F8,MENU!$I$3:$AA$154,19,FALSE)),0),"NA")</f>
        <v>NA</v>
      </c>
      <c r="K8" s="276"/>
      <c r="L8" s="271"/>
      <c r="M8" s="271"/>
      <c r="N8" s="277"/>
    </row>
    <row r="9" spans="1:14" x14ac:dyDescent="0.25">
      <c r="A9" s="281">
        <f>'WORKCELL BOM'!G12</f>
        <v>0</v>
      </c>
      <c r="B9" s="281">
        <f>'WORKCELL BOM'!H12</f>
        <v>0</v>
      </c>
      <c r="C9" s="291">
        <f>'WORKCELL BOM'!I12</f>
        <v>0</v>
      </c>
      <c r="D9" s="291"/>
      <c r="E9" s="281">
        <f>'WORKCELL BOM'!K12</f>
        <v>0</v>
      </c>
      <c r="F9" s="281">
        <f>'WORKCELL BOM'!L12</f>
        <v>0</v>
      </c>
      <c r="G9" s="4">
        <f>IFERROR(IF(A9&gt;0,IF($G$6=1,VLOOKUP(F9,MENU!$G$4:$AA$276,21,FALSE),VLOOKUP(F9,MENU!$I$3:$AA$154,19,FALSE)),0),"NA")</f>
        <v>0</v>
      </c>
      <c r="K9" s="276"/>
      <c r="L9" s="266"/>
      <c r="M9" s="266"/>
      <c r="N9" s="277"/>
    </row>
    <row r="10" spans="1:14" x14ac:dyDescent="0.25">
      <c r="A10" s="281">
        <f>'WORKCELL BOM'!G13</f>
        <v>0</v>
      </c>
      <c r="B10" s="281" t="str">
        <f>'WORKCELL BOM'!H13</f>
        <v>Material Reservoir - 1</v>
      </c>
      <c r="C10" s="291" t="str">
        <f>'WORKCELL BOM'!I13</f>
        <v>N</v>
      </c>
      <c r="D10" s="291"/>
      <c r="E10" s="281">
        <f>'WORKCELL BOM'!K13</f>
        <v>1</v>
      </c>
      <c r="F10" s="281">
        <f>'WORKCELL BOM'!L13</f>
        <v>0</v>
      </c>
      <c r="G10" s="4">
        <f>IFERROR(IF(A10&gt;0,IF($G$6=1,VLOOKUP(F10,MENU!$G$4:$AA$276,21,FALSE),VLOOKUP(F10,MENU!$I$3:$AA$154,19,FALSE)),0),"NA")</f>
        <v>0</v>
      </c>
      <c r="K10" s="276"/>
      <c r="L10" s="266"/>
      <c r="M10" s="266"/>
      <c r="N10" s="277"/>
    </row>
    <row r="11" spans="1:14" x14ac:dyDescent="0.25">
      <c r="A11" s="281">
        <f>'WORKCELL BOM'!G14</f>
        <v>0</v>
      </c>
      <c r="B11" s="281" t="str">
        <f>'WORKCELL BOM'!H14</f>
        <v>Flow Meter - 1</v>
      </c>
      <c r="C11" s="291" t="str">
        <f>'WORKCELL BOM'!I14</f>
        <v>Flow Meter</v>
      </c>
      <c r="D11" s="291"/>
      <c r="E11" s="281">
        <f>'WORKCELL BOM'!K14</f>
        <v>1</v>
      </c>
      <c r="F11" s="281" t="str">
        <f>'WORKCELL BOM'!L14</f>
        <v>612-1887-1</v>
      </c>
      <c r="G11" s="4">
        <f>IFERROR(IF(A11&gt;0,IF($G$6=1,VLOOKUP(F11,MENU!$G$4:$AA$276,21,FALSE),VLOOKUP(F11,MENU!$I$3:$AA$154,19,FALSE)),0),"NA")</f>
        <v>0</v>
      </c>
      <c r="K11" s="276"/>
      <c r="L11" s="266"/>
      <c r="M11" s="266"/>
      <c r="N11" s="277"/>
    </row>
    <row r="12" spans="1:14" x14ac:dyDescent="0.25">
      <c r="A12" s="281">
        <f>'WORKCELL BOM'!G15</f>
        <v>0</v>
      </c>
      <c r="B12" s="281" t="str">
        <f>'WORKCELL BOM'!H15</f>
        <v>Solvent Flush - 1</v>
      </c>
      <c r="C12" s="291" t="str">
        <f>'WORKCELL BOM'!I15</f>
        <v>N</v>
      </c>
      <c r="D12" s="291"/>
      <c r="E12" s="281">
        <f>'WORKCELL BOM'!K15</f>
        <v>1</v>
      </c>
      <c r="F12" s="281">
        <f>'WORKCELL BOM'!L15</f>
        <v>0</v>
      </c>
      <c r="G12" s="4">
        <f>IFERROR(IF(A12&gt;0,IF($G$6=1,VLOOKUP(F12,MENU!$G$4:$AA$276,21,FALSE),VLOOKUP(F12,MENU!$I$3:$AA$154,19,FALSE)),0),"NA")</f>
        <v>0</v>
      </c>
      <c r="K12" s="276"/>
      <c r="L12" s="271"/>
      <c r="M12" s="271"/>
      <c r="N12" s="277"/>
    </row>
    <row r="13" spans="1:14" x14ac:dyDescent="0.25">
      <c r="A13" s="281">
        <f>'WORKCELL BOM'!G16</f>
        <v>0</v>
      </c>
      <c r="B13" s="281">
        <f>'WORKCELL BOM'!H16</f>
        <v>0</v>
      </c>
      <c r="C13" s="291">
        <f>'WORKCELL BOM'!I16</f>
        <v>0</v>
      </c>
      <c r="D13" s="291"/>
      <c r="E13" s="281">
        <f>'WORKCELL BOM'!K16</f>
        <v>0</v>
      </c>
      <c r="F13" s="281" t="str">
        <f>'WORKCELL BOM'!L16</f>
        <v/>
      </c>
      <c r="G13" s="4">
        <f>IFERROR(IF(A13&gt;0,IF($G$6=1,VLOOKUP(F13,MENU!$G$4:$AA$276,21,FALSE),VLOOKUP(F13,MENU!$I$3:$AA$154,19,FALSE)),0),"NA")</f>
        <v>0</v>
      </c>
      <c r="K13" s="278"/>
      <c r="L13" s="269"/>
      <c r="M13" s="269"/>
      <c r="N13" s="279"/>
    </row>
    <row r="14" spans="1:14" x14ac:dyDescent="0.25">
      <c r="A14" s="281">
        <f>'WORKCELL BOM'!G17</f>
        <v>0</v>
      </c>
      <c r="B14" s="281">
        <f>'WORKCELL BOM'!H17</f>
        <v>0</v>
      </c>
      <c r="C14" s="291">
        <f>'WORKCELL BOM'!I17</f>
        <v>0</v>
      </c>
      <c r="D14" s="291"/>
      <c r="E14" s="281">
        <f>'WORKCELL BOM'!K17</f>
        <v>0</v>
      </c>
      <c r="F14" s="281" t="str">
        <f>'WORKCELL BOM'!L17</f>
        <v/>
      </c>
      <c r="G14" s="4">
        <f>IFERROR(IF(A14&gt;0,IF($G$6=1,VLOOKUP(F14,MENU!$G$4:$AA$276,21,FALSE),VLOOKUP(F14,MENU!$I$3:$AA$154,19,FALSE)),0),"NA")</f>
        <v>0</v>
      </c>
    </row>
    <row r="15" spans="1:14" x14ac:dyDescent="0.25">
      <c r="A15" s="281">
        <f>'WORKCELL BOM'!G18</f>
        <v>0</v>
      </c>
      <c r="B15" s="281" t="str">
        <f>'WORKCELL BOM'!H18</f>
        <v>Material Reservoir - 2</v>
      </c>
      <c r="C15" s="291" t="str">
        <f>'WORKCELL BOM'!I18</f>
        <v>N</v>
      </c>
      <c r="D15" s="291"/>
      <c r="E15" s="281">
        <f>'WORKCELL BOM'!K18</f>
        <v>2</v>
      </c>
      <c r="F15" s="281">
        <f>'WORKCELL BOM'!L18</f>
        <v>0</v>
      </c>
      <c r="G15" s="4">
        <f>IFERROR(IF(A15&gt;0,IF($G$6=1,VLOOKUP(F15,MENU!$G$4:$AA$276,21,FALSE),VLOOKUP(F15,MENU!$I$3:$AA$154,19,FALSE)),0),"NA")</f>
        <v>0</v>
      </c>
    </row>
    <row r="16" spans="1:14" x14ac:dyDescent="0.25">
      <c r="A16" s="281">
        <f>'WORKCELL BOM'!G19</f>
        <v>1</v>
      </c>
      <c r="B16" s="281" t="str">
        <f>'WORKCELL BOM'!H19</f>
        <v>Flow Meter - 2</v>
      </c>
      <c r="C16" s="291" t="str">
        <f>'WORKCELL BOM'!I19</f>
        <v>Flow Meter</v>
      </c>
      <c r="D16" s="291"/>
      <c r="E16" s="281">
        <f>'WORKCELL BOM'!K19</f>
        <v>2</v>
      </c>
      <c r="F16" s="281" t="str">
        <f>'WORKCELL BOM'!L19</f>
        <v>612-1887-1</v>
      </c>
      <c r="G16" s="4">
        <f>IFERROR(IF(A16&gt;0,IF($G$6=1,VLOOKUP(F16,MENU!$G$4:$AA$276,21,FALSE),VLOOKUP(F16,MENU!$I$3:$AA$154,19,FALSE)),0),"NA")</f>
        <v>1</v>
      </c>
    </row>
    <row r="17" spans="1:7" x14ac:dyDescent="0.25">
      <c r="A17" s="281">
        <f>'WORKCELL BOM'!G20</f>
        <v>0</v>
      </c>
      <c r="B17" s="281" t="str">
        <f>'WORKCELL BOM'!H20</f>
        <v>Solvent Flush - 2</v>
      </c>
      <c r="C17" s="291" t="str">
        <f>'WORKCELL BOM'!I20</f>
        <v>Solvent Flush</v>
      </c>
      <c r="D17" s="291"/>
      <c r="E17" s="281">
        <f>'WORKCELL BOM'!K20</f>
        <v>2</v>
      </c>
      <c r="F17" s="281" t="str">
        <f>'WORKCELL BOM'!L20</f>
        <v>612-1953-1</v>
      </c>
      <c r="G17" s="4">
        <f>IFERROR(IF(A17&gt;0,IF($G$6=1,VLOOKUP(F17,MENU!$G$4:$AA$276,21,FALSE),VLOOKUP(F17,MENU!$I$3:$AA$154,19,FALSE)),0),"NA")</f>
        <v>0</v>
      </c>
    </row>
    <row r="18" spans="1:7" x14ac:dyDescent="0.25">
      <c r="A18" s="281">
        <f>'WORKCELL BOM'!G21</f>
        <v>0</v>
      </c>
      <c r="B18" s="281">
        <f>'WORKCELL BOM'!H21</f>
        <v>0</v>
      </c>
      <c r="C18" s="291">
        <f>'WORKCELL BOM'!I21</f>
        <v>0</v>
      </c>
      <c r="D18" s="291"/>
      <c r="E18" s="281">
        <f>'WORKCELL BOM'!K21</f>
        <v>0</v>
      </c>
      <c r="F18" s="281" t="str">
        <f>'WORKCELL BOM'!L21</f>
        <v/>
      </c>
      <c r="G18" s="4">
        <f>IFERROR(IF(A18&gt;0,IF($G$6=1,VLOOKUP(F18,MENU!$G$4:$AA$276,21,FALSE),VLOOKUP(F18,MENU!$I$3:$AA$154,19,FALSE)),0),"NA")</f>
        <v>0</v>
      </c>
    </row>
    <row r="19" spans="1:7" x14ac:dyDescent="0.25">
      <c r="A19" s="281">
        <f>'WORKCELL BOM'!G22</f>
        <v>0</v>
      </c>
      <c r="B19" s="281">
        <f>'WORKCELL BOM'!H22</f>
        <v>0</v>
      </c>
      <c r="C19" s="291">
        <f>'WORKCELL BOM'!I22</f>
        <v>0</v>
      </c>
      <c r="D19" s="291"/>
      <c r="E19" s="281">
        <f>'WORKCELL BOM'!K22</f>
        <v>0</v>
      </c>
      <c r="F19" s="281" t="str">
        <f>'WORKCELL BOM'!L22</f>
        <v/>
      </c>
      <c r="G19" s="4">
        <f>IFERROR(IF(A19&gt;0,IF($G$6=1,VLOOKUP(F19,MENU!$G$4:$AA$276,21,FALSE),VLOOKUP(F19,MENU!$I$3:$AA$154,19,FALSE)),0),"NA")</f>
        <v>0</v>
      </c>
    </row>
    <row r="20" spans="1:7" x14ac:dyDescent="0.25">
      <c r="A20" s="281">
        <f>'WORKCELL BOM'!G23</f>
        <v>0</v>
      </c>
      <c r="B20" s="281">
        <f>'WORKCELL BOM'!H23</f>
        <v>0</v>
      </c>
      <c r="C20" s="291">
        <f>'WORKCELL BOM'!I23</f>
        <v>0</v>
      </c>
      <c r="D20" s="291"/>
      <c r="E20" s="281">
        <f>'WORKCELL BOM'!K23</f>
        <v>0</v>
      </c>
      <c r="F20" s="281" t="str">
        <f>'WORKCELL BOM'!L23</f>
        <v/>
      </c>
      <c r="G20" s="4">
        <f>IFERROR(IF(A20&gt;0,IF($G$6=1,VLOOKUP(F20,MENU!$G$4:$AA$276,21,FALSE),VLOOKUP(F20,MENU!$I$3:$AA$154,19,FALSE)),0),"NA")</f>
        <v>0</v>
      </c>
    </row>
    <row r="21" spans="1:7" x14ac:dyDescent="0.25">
      <c r="A21" s="281">
        <f>'WORKCELL BOM'!G24</f>
        <v>1</v>
      </c>
      <c r="B21" s="281" t="str">
        <f>'WORKCELL BOM'!H24</f>
        <v>Dispense Head</v>
      </c>
      <c r="C21" s="291" t="str">
        <f>'WORKCELL BOM'!I24</f>
        <v>Servo 4th Axis with 3 Dispense Stations and (2) Two Position Tilts</v>
      </c>
      <c r="D21" s="291"/>
      <c r="E21" s="281">
        <f>'WORKCELL BOM'!K24</f>
        <v>0</v>
      </c>
      <c r="F21" s="281" t="str">
        <f>'WORKCELL BOM'!L24</f>
        <v>612-1867-1</v>
      </c>
      <c r="G21" s="4">
        <f>IFERROR(IF(A21&gt;0,IF($G$6=1,VLOOKUP(F21,MENU!$G$4:$AA$276,21,FALSE),VLOOKUP(F21,MENU!$I$3:$AA$154,19,FALSE)),0),"NA")</f>
        <v>9</v>
      </c>
    </row>
    <row r="22" spans="1:7" x14ac:dyDescent="0.25">
      <c r="A22" s="281">
        <f>'WORKCELL BOM'!G25</f>
        <v>0</v>
      </c>
      <c r="B22" s="281">
        <f>'WORKCELL BOM'!H25</f>
        <v>0</v>
      </c>
      <c r="C22" s="291">
        <f>'WORKCELL BOM'!I25</f>
        <v>0</v>
      </c>
      <c r="D22" s="291"/>
      <c r="E22" s="281">
        <f>'WORKCELL BOM'!K25</f>
        <v>0</v>
      </c>
      <c r="F22" s="281" t="str">
        <f>'WORKCELL BOM'!L25</f>
        <v/>
      </c>
      <c r="G22" s="4">
        <f>IFERROR(IF(A22&gt;0,IF($G$6=1,VLOOKUP(F22,MENU!$G$4:$AA$276,21,FALSE),VLOOKUP(F22,MENU!$I$3:$AA$154,19,FALSE)),0),"NA")</f>
        <v>0</v>
      </c>
    </row>
    <row r="23" spans="1:7" x14ac:dyDescent="0.25">
      <c r="A23" s="281">
        <f>'WORKCELL BOM'!G26</f>
        <v>1</v>
      </c>
      <c r="B23" s="281" t="str">
        <f>'WORKCELL BOM'!H26</f>
        <v>Station 1</v>
      </c>
      <c r="C23" s="291" t="str">
        <f>IF('WORKCELL BOM'!I26="N","Spare",'WORKCELL BOM'!I26)</f>
        <v>FC100-CF</v>
      </c>
      <c r="D23" s="291"/>
      <c r="E23" s="281">
        <f>'WORKCELL BOM'!K26</f>
        <v>1</v>
      </c>
      <c r="F23" s="281" t="str">
        <f>'WORKCELL BOM'!L26</f>
        <v>612-1869-1</v>
      </c>
      <c r="G23" s="4">
        <f>IFERROR(IF(A23&gt;0,IF($G$6=1,VLOOKUP(F23,MENU!$G$4:$AA$276,21,FALSE),VLOOKUP(F23,MENU!$I$3:$AA$154,19,FALSE)),0),"NA")</f>
        <v>1</v>
      </c>
    </row>
    <row r="24" spans="1:7" x14ac:dyDescent="0.25">
      <c r="A24" s="281">
        <f>'WORKCELL BOM'!G27</f>
        <v>0</v>
      </c>
      <c r="B24" s="281">
        <f>'WORKCELL BOM'!H27</f>
        <v>0</v>
      </c>
      <c r="C24" s="291">
        <f>'WORKCELL BOM'!I27</f>
        <v>0</v>
      </c>
      <c r="D24" s="291"/>
      <c r="E24" s="281">
        <f>'WORKCELL BOM'!K27</f>
        <v>0</v>
      </c>
      <c r="F24" s="281" t="str">
        <f>'WORKCELL BOM'!L27</f>
        <v/>
      </c>
      <c r="G24" s="4">
        <f>IFERROR(IF(A24&gt;0,IF($G$6=1,VLOOKUP(F24,MENU!$G$4:$AA$276,21,FALSE),VLOOKUP(F24,MENU!$I$3:$AA$154,19,FALSE)),0),"NA")</f>
        <v>0</v>
      </c>
    </row>
    <row r="25" spans="1:7" x14ac:dyDescent="0.25">
      <c r="A25" s="281">
        <f>'WORKCELL BOM'!G28</f>
        <v>1</v>
      </c>
      <c r="B25" s="281" t="str">
        <f>'WORKCELL BOM'!H28</f>
        <v>Station 2</v>
      </c>
      <c r="C25" s="291" t="str">
        <f>IF('WORKCELL BOM'!I28="N","Spare",'WORKCELL BOM'!I28)</f>
        <v>FCM100</v>
      </c>
      <c r="D25" s="291"/>
      <c r="E25" s="281">
        <f>'WORKCELL BOM'!K28</f>
        <v>1</v>
      </c>
      <c r="F25" s="281" t="str">
        <f>'WORKCELL BOM'!L28</f>
        <v>612-1873-1</v>
      </c>
      <c r="G25" s="4">
        <f>IFERROR(IF(A25&gt;0,IF($G$6=1,VLOOKUP(F25,MENU!$G$4:$AA$276,21,FALSE),VLOOKUP(F25,MENU!$I$3:$AA$154,19,FALSE)),0),"NA")</f>
        <v>1</v>
      </c>
    </row>
    <row r="26" spans="1:7" x14ac:dyDescent="0.25">
      <c r="A26" s="281">
        <f>'WORKCELL BOM'!G29</f>
        <v>0</v>
      </c>
      <c r="B26" s="281">
        <f>'WORKCELL BOM'!H29</f>
        <v>0</v>
      </c>
      <c r="C26" s="291">
        <f>'WORKCELL BOM'!I29</f>
        <v>0</v>
      </c>
      <c r="D26" s="291"/>
      <c r="E26" s="281">
        <f>'WORKCELL BOM'!K29</f>
        <v>0</v>
      </c>
      <c r="F26" s="281" t="str">
        <f>'WORKCELL BOM'!L29</f>
        <v/>
      </c>
      <c r="G26" s="4">
        <f>IFERROR(IF(A26&gt;0,IF($G$6=1,VLOOKUP(F26,MENU!$G$4:$AA$276,21,FALSE),VLOOKUP(F26,MENU!$I$3:$AA$154,19,FALSE)),0),"NA")</f>
        <v>0</v>
      </c>
    </row>
    <row r="27" spans="1:7" x14ac:dyDescent="0.25">
      <c r="A27" s="281">
        <f>'WORKCELL BOM'!G30</f>
        <v>1</v>
      </c>
      <c r="B27" s="281" t="str">
        <f>'WORKCELL BOM'!H30</f>
        <v>Station 3</v>
      </c>
      <c r="C27" s="291" t="str">
        <f>IF('WORKCELL BOM'!I30="N","Spare",'WORKCELL BOM'!I30)</f>
        <v>FC100-MC</v>
      </c>
      <c r="D27" s="291"/>
      <c r="E27" s="281">
        <f>'WORKCELL BOM'!K30</f>
        <v>2</v>
      </c>
      <c r="F27" s="281" t="str">
        <f>'WORKCELL BOM'!L30</f>
        <v>612-1874-1</v>
      </c>
      <c r="G27" s="4">
        <f>IFERROR(IF(A27&gt;0,IF($G$6=1,VLOOKUP(F27,MENU!$G$4:$AA$276,21,FALSE),VLOOKUP(F27,MENU!$I$3:$AA$154,19,FALSE)),0),"NA")</f>
        <v>1</v>
      </c>
    </row>
    <row r="28" spans="1:7" x14ac:dyDescent="0.25">
      <c r="A28" s="281">
        <f>'WORKCELL BOM'!G31</f>
        <v>0</v>
      </c>
      <c r="B28" s="281">
        <f>'WORKCELL BOM'!H31</f>
        <v>0</v>
      </c>
      <c r="C28" s="291">
        <f>'WORKCELL BOM'!I31</f>
        <v>0</v>
      </c>
      <c r="D28" s="291"/>
      <c r="E28" s="281">
        <f>'WORKCELL BOM'!K31</f>
        <v>0</v>
      </c>
      <c r="F28" s="281" t="str">
        <f>'WORKCELL BOM'!L31</f>
        <v/>
      </c>
      <c r="G28" s="4">
        <f>IFERROR(IF(A28&gt;0,IF($G$6=1,VLOOKUP(F28,MENU!$G$4:$AA$276,21,FALSE),VLOOKUP(F28,MENU!$I$3:$AA$154,19,FALSE)),0),"NA")</f>
        <v>0</v>
      </c>
    </row>
    <row r="29" spans="1:7" x14ac:dyDescent="0.25">
      <c r="A29" s="281">
        <f>'WORKCELL BOM'!G32</f>
        <v>0</v>
      </c>
      <c r="B29" s="281" t="str">
        <f>'WORKCELL BOM'!H32</f>
        <v>Station 4</v>
      </c>
      <c r="C29" s="291" t="str">
        <f>IF('WORKCELL BOM'!I32="N","Spare",'WORKCELL BOM'!I32)</f>
        <v>Spare</v>
      </c>
      <c r="D29" s="291"/>
      <c r="E29" s="281">
        <f>'WORKCELL BOM'!K32</f>
        <v>0</v>
      </c>
      <c r="F29" s="281">
        <f>'WORKCELL BOM'!L32</f>
        <v>0</v>
      </c>
      <c r="G29" s="4">
        <f>IFERROR(IF(A29&gt;0,IF($G$6=1,VLOOKUP(F29,MENU!$G$4:$AA$276,21,FALSE),VLOOKUP(F29,MENU!$I$3:$AA$154,19,FALSE)),0),"NA")</f>
        <v>0</v>
      </c>
    </row>
    <row r="30" spans="1:7" x14ac:dyDescent="0.25">
      <c r="A30" s="281">
        <f>'WORKCELL BOM'!G33</f>
        <v>0</v>
      </c>
      <c r="B30" s="281">
        <f>'WORKCELL BOM'!H33</f>
        <v>0</v>
      </c>
      <c r="C30" s="291">
        <f>'WORKCELL BOM'!I33</f>
        <v>0</v>
      </c>
      <c r="D30" s="291"/>
      <c r="E30" s="281">
        <f>'WORKCELL BOM'!K33</f>
        <v>0</v>
      </c>
      <c r="F30" s="281" t="str">
        <f>'WORKCELL BOM'!L33</f>
        <v/>
      </c>
      <c r="G30" s="4">
        <f>IFERROR(IF(A30&gt;0,IF($G$6=1,VLOOKUP(F30,MENU!$G$4:$AA$276,21,FALSE),VLOOKUP(F30,MENU!$I$3:$AA$154,19,FALSE)),0),"NA")</f>
        <v>0</v>
      </c>
    </row>
    <row r="31" spans="1:7" x14ac:dyDescent="0.25">
      <c r="A31" s="281">
        <f>'WORKCELL BOM'!G34</f>
        <v>0</v>
      </c>
      <c r="B31" s="281">
        <f>'WORKCELL BOM'!H34</f>
        <v>0</v>
      </c>
      <c r="C31" s="291">
        <f>'WORKCELL BOM'!I34</f>
        <v>0</v>
      </c>
      <c r="D31" s="291"/>
      <c r="E31" s="281">
        <f>'WORKCELL BOM'!K34</f>
        <v>0</v>
      </c>
      <c r="F31" s="281" t="str">
        <f>'WORKCELL BOM'!L34</f>
        <v/>
      </c>
      <c r="G31" s="4">
        <f>IFERROR(IF(A31&gt;0,IF($G$6=1,VLOOKUP(F31,MENU!$G$4:$AA$276,21,FALSE),VLOOKUP(F31,MENU!$I$3:$AA$154,19,FALSE)),0),"NA")</f>
        <v>0</v>
      </c>
    </row>
    <row r="32" spans="1:7" x14ac:dyDescent="0.25">
      <c r="A32" s="281">
        <f>'WORKCELL BOM'!G35</f>
        <v>0</v>
      </c>
      <c r="B32" s="281">
        <f>'WORKCELL BOM'!H35</f>
        <v>0</v>
      </c>
      <c r="C32" s="291">
        <f>'WORKCELL BOM'!I35</f>
        <v>0</v>
      </c>
      <c r="D32" s="291"/>
      <c r="E32" s="281">
        <f>'WORKCELL BOM'!K35</f>
        <v>0</v>
      </c>
      <c r="F32" s="281" t="str">
        <f>'WORKCELL BOM'!L35</f>
        <v/>
      </c>
      <c r="G32" s="4">
        <f>IFERROR(IF(A32&gt;0,IF($G$6=1,VLOOKUP(F32,MENU!$G$4:$AA$276,21,FALSE),VLOOKUP(F32,MENU!$I$3:$AA$154,19,FALSE)),0),"NA")</f>
        <v>0</v>
      </c>
    </row>
    <row r="33" spans="1:9" x14ac:dyDescent="0.25">
      <c r="A33" s="281">
        <f>'WORKCELL BOM'!G36</f>
        <v>0</v>
      </c>
      <c r="B33" s="281">
        <f>'WORKCELL BOM'!H36</f>
        <v>0</v>
      </c>
      <c r="C33" s="291">
        <f>'WORKCELL BOM'!I36</f>
        <v>0</v>
      </c>
      <c r="D33" s="291"/>
      <c r="E33" s="281">
        <f>'WORKCELL BOM'!K36</f>
        <v>0</v>
      </c>
      <c r="F33" s="281" t="str">
        <f>'WORKCELL BOM'!L36</f>
        <v/>
      </c>
      <c r="G33" s="4">
        <f>IFERROR(IF(A33&gt;0,IF($G$6=1,VLOOKUP(F33,MENU!$G$4:$AA$276,21,FALSE),VLOOKUP(F33,MENU!$I$3:$AA$154,19,FALSE)),0),"NA")</f>
        <v>0</v>
      </c>
    </row>
    <row r="34" spans="1:9" x14ac:dyDescent="0.25">
      <c r="A34" s="281">
        <f>'WORKCELL BOM'!G37</f>
        <v>0</v>
      </c>
      <c r="B34" s="281">
        <f>'WORKCELL BOM'!H37</f>
        <v>0</v>
      </c>
      <c r="C34" s="291">
        <f>'WORKCELL BOM'!I37</f>
        <v>0</v>
      </c>
      <c r="D34" s="291"/>
      <c r="E34" s="281">
        <f>'WORKCELL BOM'!K37</f>
        <v>0</v>
      </c>
      <c r="F34" s="281" t="str">
        <f>'WORKCELL BOM'!L37</f>
        <v/>
      </c>
      <c r="G34" s="4">
        <f>IFERROR(IF(A34&gt;0,IF($G$6=1,VLOOKUP(F34,MENU!$G$4:$AA$276,21,FALSE),VLOOKUP(F34,MENU!$I$3:$AA$154,19,FALSE)),0),"NA")</f>
        <v>0</v>
      </c>
    </row>
    <row r="35" spans="1:9" x14ac:dyDescent="0.25">
      <c r="A35" s="281">
        <f>'WORKCELL BOM'!G38</f>
        <v>0</v>
      </c>
      <c r="B35" s="281">
        <f>'WORKCELL BOM'!H38</f>
        <v>0</v>
      </c>
      <c r="C35" s="291">
        <f>'WORKCELL BOM'!I38</f>
        <v>0</v>
      </c>
      <c r="D35" s="291"/>
      <c r="E35" s="281">
        <f>'WORKCELL BOM'!K38</f>
        <v>0</v>
      </c>
      <c r="F35" s="281" t="str">
        <f>'WORKCELL BOM'!L38</f>
        <v/>
      </c>
      <c r="G35" s="4">
        <f>IFERROR(IF(A35&gt;0,IF($G$6=1,VLOOKUP(F35,MENU!$G$4:$AA$276,21,FALSE),VLOOKUP(F35,MENU!$I$3:$AA$154,19,FALSE)),0),"NA")</f>
        <v>0</v>
      </c>
    </row>
    <row r="36" spans="1:9" x14ac:dyDescent="0.25">
      <c r="A36" s="281">
        <f>'WORKCELL BOM'!G39</f>
        <v>1</v>
      </c>
      <c r="B36" s="281" t="str">
        <f>'WORKCELL BOM'!H39</f>
        <v>Conveyor</v>
      </c>
      <c r="C36" s="291" t="str">
        <f>'WORKCELL BOM'!I39</f>
        <v>Edge Chain Conveyor with Auto Adjust</v>
      </c>
      <c r="D36" s="291"/>
      <c r="E36" s="281">
        <f>'WORKCELL BOM'!K39</f>
        <v>0</v>
      </c>
      <c r="F36" s="281" t="str">
        <f>'WORKCELL BOM'!L39</f>
        <v>612-2996-31-E</v>
      </c>
      <c r="G36" s="4">
        <f>IFERROR(IF(A36&gt;0,IF($G$6=1,VLOOKUP(C36,MENU!$B$4:$AA$276,26,FALSE),VLOOKUP(F36,MENU!$B$3:$AA$154,26,FALSE)),0),"NA")</f>
        <v>4</v>
      </c>
      <c r="H36" s="4" t="s">
        <v>666</v>
      </c>
      <c r="I36" s="284">
        <f>'WORKCELL BOM'!P68</f>
        <v>5</v>
      </c>
    </row>
    <row r="37" spans="1:9" x14ac:dyDescent="0.25">
      <c r="A37" s="281">
        <f>'WORKCELL BOM'!G40</f>
        <v>0</v>
      </c>
      <c r="B37" s="281" t="str">
        <f>'WORKCELL BOM'!H40</f>
        <v>Direction</v>
      </c>
      <c r="C37" s="291" t="str">
        <f>'WORKCELL BOM'!I40</f>
        <v>Left to Right</v>
      </c>
      <c r="D37" s="291"/>
      <c r="E37" s="281">
        <f>'WORKCELL BOM'!K40</f>
        <v>0</v>
      </c>
      <c r="F37" s="281" t="str">
        <f>'WORKCELL BOM'!L40</f>
        <v/>
      </c>
      <c r="G37" s="4">
        <f>IFERROR(IF(A37&gt;0,IF($G$6=1,VLOOKUP(F37,MENU!$G$4:$AA$276,21,FALSE),VLOOKUP(F37,MENU!$I$3:$AA$154,19,FALSE)),0),"NA")</f>
        <v>0</v>
      </c>
    </row>
    <row r="38" spans="1:9" x14ac:dyDescent="0.25">
      <c r="A38" s="281">
        <f>'WORKCELL BOM'!G41</f>
        <v>1</v>
      </c>
      <c r="B38" s="281" t="str">
        <f>'WORKCELL BOM'!H41</f>
        <v>Conveyor Options</v>
      </c>
      <c r="C38" s="291" t="str">
        <f>'WORKCELL BOM'!I41</f>
        <v>Pin Locators</v>
      </c>
      <c r="D38" s="291"/>
      <c r="E38" s="281">
        <f>'WORKCELL BOM'!K41</f>
        <v>0</v>
      </c>
      <c r="F38" s="281" t="str">
        <f>'WORKCELL BOM'!L41</f>
        <v>612-3144-1</v>
      </c>
      <c r="G38" s="4">
        <f>IFERROR(IF(A38&gt;0,IF($G$6=1,VLOOKUP(F38,MENU!$G$4:$AA$276,21,FALSE),VLOOKUP(F38,MENU!$I$3:$AA$154,19,FALSE)),0),"NA")</f>
        <v>1</v>
      </c>
    </row>
    <row r="39" spans="1:9" x14ac:dyDescent="0.25">
      <c r="A39" s="281">
        <f>'WORKCELL BOM'!G42</f>
        <v>0</v>
      </c>
      <c r="B39" s="281" t="str">
        <f>'WORKCELL BOM'!H42</f>
        <v>Barcode</v>
      </c>
      <c r="C39" s="291" t="str">
        <f>'WORKCELL BOM'!I42</f>
        <v>Barcode - Mounted on Conveyor Inlet with P Select</v>
      </c>
      <c r="D39" s="291"/>
      <c r="E39" s="281">
        <f>'WORKCELL BOM'!K42</f>
        <v>0</v>
      </c>
      <c r="F39" s="281" t="str">
        <f>'WORKCELL BOM'!L42</f>
        <v>612-1001-7</v>
      </c>
      <c r="G39" s="4">
        <f>IFERROR(IF(A39&gt;0,IF($G$6=1,VLOOKUP(F39,MENU!$G$4:$AA$276,21,FALSE),VLOOKUP(F39,MENU!$I$3:$AA$154,19,FALSE)),0),"NA")</f>
        <v>0</v>
      </c>
    </row>
    <row r="40" spans="1:9" x14ac:dyDescent="0.25">
      <c r="A40" s="281">
        <f>'WORKCELL BOM'!G43</f>
        <v>0</v>
      </c>
      <c r="B40" s="281">
        <f>'WORKCELL BOM'!H43</f>
        <v>0</v>
      </c>
      <c r="C40" s="291">
        <f>'WORKCELL BOM'!I43</f>
        <v>0</v>
      </c>
      <c r="D40" s="291"/>
      <c r="E40" s="281">
        <f>'WORKCELL BOM'!K43</f>
        <v>0</v>
      </c>
      <c r="F40" s="281" t="str">
        <f>'WORKCELL BOM'!L43</f>
        <v/>
      </c>
      <c r="G40" s="4">
        <f>IFERROR(IF(A40&gt;0,IF($G$6=1,VLOOKUP(F40,MENU!$G$4:$AA$276,21,FALSE),VLOOKUP(F40,MENU!$I$3:$AA$154,19,FALSE)),0),"NA")</f>
        <v>0</v>
      </c>
    </row>
    <row r="41" spans="1:9" x14ac:dyDescent="0.25">
      <c r="A41" s="281">
        <f>'WORKCELL BOM'!G44</f>
        <v>0</v>
      </c>
      <c r="B41" s="281" t="str">
        <f>'WORKCELL BOM'!H44</f>
        <v>Camera</v>
      </c>
      <c r="C41" s="291" t="str">
        <f>'WORKCELL BOM'!I44</f>
        <v>N</v>
      </c>
      <c r="D41" s="291"/>
      <c r="E41" s="281">
        <f>'WORKCELL BOM'!K44</f>
        <v>0</v>
      </c>
      <c r="F41" s="281">
        <f>'WORKCELL BOM'!L44</f>
        <v>0</v>
      </c>
      <c r="G41" s="4">
        <f>IFERROR(IF(A41&gt;0,IF($G$6=1,VLOOKUP(F41,MENU!$G$4:$AA$276,21,FALSE),VLOOKUP(F41,MENU!$I$3:$AA$154,19,FALSE)),0),"NA")</f>
        <v>0</v>
      </c>
    </row>
    <row r="42" spans="1:9" x14ac:dyDescent="0.25">
      <c r="A42" s="281">
        <f>'WORKCELL BOM'!G45</f>
        <v>0</v>
      </c>
      <c r="B42" s="281">
        <f>'WORKCELL BOM'!H45</f>
        <v>0</v>
      </c>
      <c r="C42" s="291">
        <f>'WORKCELL BOM'!I45</f>
        <v>0</v>
      </c>
      <c r="D42" s="291"/>
      <c r="E42" s="281">
        <f>'WORKCELL BOM'!K45</f>
        <v>0</v>
      </c>
      <c r="F42" s="281" t="str">
        <f>'WORKCELL BOM'!L45</f>
        <v/>
      </c>
      <c r="G42" s="4">
        <f>IFERROR(IF(A42&gt;0,IF($G$6=1,VLOOKUP(F42,MENU!$G$4:$AA$276,21,FALSE),VLOOKUP(F42,MENU!$I$3:$AA$154,19,FALSE)),0),"NA")</f>
        <v>0</v>
      </c>
    </row>
    <row r="43" spans="1:9" x14ac:dyDescent="0.25">
      <c r="A43" s="281">
        <f>'WORKCELL BOM'!G46</f>
        <v>0</v>
      </c>
      <c r="B43" s="281" t="str">
        <f>'WORKCELL BOM'!H46</f>
        <v>Fan Width Sensor</v>
      </c>
      <c r="C43" s="291" t="str">
        <f>'WORKCELL BOM'!I46</f>
        <v>Fan Width Sensor</v>
      </c>
      <c r="D43" s="291"/>
      <c r="E43" s="281">
        <f>'WORKCELL BOM'!K46</f>
        <v>0</v>
      </c>
      <c r="F43" s="281" t="str">
        <f>'WORKCELL BOM'!L46</f>
        <v>612-2389-1</v>
      </c>
      <c r="G43" s="4">
        <f>IFERROR(IF(A43&gt;0,IF($G$6=1,VLOOKUP(F43,MENU!$G$4:$AA$276,21,FALSE),VLOOKUP(F43,MENU!$I$3:$AA$154,19,FALSE)),0),"NA")</f>
        <v>0</v>
      </c>
    </row>
    <row r="44" spans="1:9" x14ac:dyDescent="0.25">
      <c r="A44" s="281">
        <f>'WORKCELL BOM'!G47</f>
        <v>0</v>
      </c>
      <c r="B44" s="281" t="str">
        <f>'WORKCELL BOM'!H47</f>
        <v>Fan Width Sensor with Continuous Film Calibration</v>
      </c>
      <c r="C44" s="291" t="str">
        <f>'WORKCELL BOM'!I47</f>
        <v>Fan Width Sensor with Continuous Film Calibration</v>
      </c>
      <c r="D44" s="291"/>
      <c r="E44" s="281">
        <f>'WORKCELL BOM'!K47</f>
        <v>0</v>
      </c>
      <c r="F44" s="281" t="str">
        <f>'WORKCELL BOM'!L47</f>
        <v>612-2389-2</v>
      </c>
      <c r="G44" s="4">
        <f>IFERROR(IF(A44&gt;0,IF($G$6=1,VLOOKUP(F44,MENU!$G$4:$AA$276,21,FALSE),VLOOKUP(F44,MENU!$I$3:$AA$154,19,FALSE)),0),"NA")</f>
        <v>0</v>
      </c>
    </row>
    <row r="45" spans="1:9" x14ac:dyDescent="0.25">
      <c r="A45" s="281">
        <f>'WORKCELL BOM'!G48</f>
        <v>0</v>
      </c>
      <c r="B45" s="281" t="str">
        <f>'WORKCELL BOM'!H48</f>
        <v>Needle Calibration, 3 axis</v>
      </c>
      <c r="C45" s="291" t="str">
        <f>'WORKCELL BOM'!I48</f>
        <v>Needle Calibration, 3 axis</v>
      </c>
      <c r="D45" s="291"/>
      <c r="E45" s="281">
        <f>'WORKCELL BOM'!K48</f>
        <v>0</v>
      </c>
      <c r="F45" s="281" t="str">
        <f>'WORKCELL BOM'!L48</f>
        <v>112-4922</v>
      </c>
      <c r="G45" s="4">
        <f>IFERROR(IF(A45&gt;0,IF($G$6=1,VLOOKUP(F45,MENU!$G$4:$AA$276,21,FALSE),VLOOKUP(F45,MENU!$I$3:$AA$154,19,FALSE)),0),"NA")</f>
        <v>0</v>
      </c>
    </row>
    <row r="46" spans="1:9" x14ac:dyDescent="0.25">
      <c r="A46" s="281">
        <f>'WORKCELL BOM'!G49</f>
        <v>1</v>
      </c>
      <c r="B46" s="282" t="str">
        <f>'WORKCELL BOM'!H49</f>
        <v>Black Light</v>
      </c>
      <c r="C46" s="288" t="str">
        <f>'WORKCELL BOM'!I49</f>
        <v>Black Light</v>
      </c>
      <c r="D46" s="288"/>
      <c r="E46" s="282">
        <f>'WORKCELL BOM'!K49</f>
        <v>0</v>
      </c>
      <c r="F46" s="282" t="str">
        <f>'WORKCELL BOM'!L49</f>
        <v>622-0252-1</v>
      </c>
      <c r="G46" s="4">
        <f>IFERROR(IF(A46&gt;0,IF($G$6=1,VLOOKUP(F46,MENU!$G$4:$AA$276,21,FALSE),VLOOKUP(F46,MENU!$I$3:$AA$154,19,FALSE)),0),"NA")</f>
        <v>1</v>
      </c>
    </row>
    <row r="47" spans="1:9" ht="15.75" thickBot="1" x14ac:dyDescent="0.3">
      <c r="A47" s="151">
        <f>'WORKCELL BOM'!G50</f>
        <v>0</v>
      </c>
      <c r="B47" s="151">
        <f>'WORKCELL BOM'!H50</f>
        <v>0</v>
      </c>
      <c r="C47" s="413">
        <f>'WORKCELL BOM'!I50</f>
        <v>0</v>
      </c>
      <c r="D47" s="413"/>
      <c r="E47" s="151">
        <f>'WORKCELL BOM'!K50</f>
        <v>0</v>
      </c>
      <c r="F47" s="151">
        <f>'WORKCELL BOM'!L50</f>
        <v>0</v>
      </c>
      <c r="G47" s="4">
        <f>IFERROR(IF(A47&gt;0,IF($G$6=1,VLOOKUP(F47,MENU!$G$4:$AA$276,21,FALSE),VLOOKUP(F47,MENU!$I$3:$AA$154,19,FALSE)),0),"NA")</f>
        <v>0</v>
      </c>
    </row>
    <row r="48" spans="1:9" ht="15.75" thickTop="1" x14ac:dyDescent="0.25"/>
  </sheetData>
  <mergeCells count="46">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 ref="C23:D23"/>
    <mergeCell ref="C24:D24"/>
    <mergeCell ref="C25:D25"/>
    <mergeCell ref="C34:D34"/>
    <mergeCell ref="C35:D35"/>
    <mergeCell ref="C26:D26"/>
    <mergeCell ref="C27:D27"/>
    <mergeCell ref="C28:D28"/>
    <mergeCell ref="C29:D29"/>
    <mergeCell ref="C30:D30"/>
    <mergeCell ref="C18:D18"/>
    <mergeCell ref="C19:D19"/>
    <mergeCell ref="C20:D20"/>
    <mergeCell ref="C21:D21"/>
    <mergeCell ref="C22:D22"/>
    <mergeCell ref="C13:D13"/>
    <mergeCell ref="C14:D14"/>
    <mergeCell ref="C15:D15"/>
    <mergeCell ref="C16:D16"/>
    <mergeCell ref="C17:D17"/>
    <mergeCell ref="C8:D8"/>
    <mergeCell ref="C9:D9"/>
    <mergeCell ref="C10:D10"/>
    <mergeCell ref="C11:D11"/>
    <mergeCell ref="C12:D12"/>
    <mergeCell ref="F1:I1"/>
    <mergeCell ref="F2:H2"/>
    <mergeCell ref="K2:N3"/>
    <mergeCell ref="C6:D6"/>
    <mergeCell ref="C7:D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Sheet10.Create_Dated_Fold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2017-02-16T20:13:50Z</dcterms:modified>
</cp:coreProperties>
</file>