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4"/>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state="hidden" r:id="rId10"/>
  </sheets>
  <functionGroups builtInGroupCount="18"/>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E4" i="7" l="1"/>
  <c r="H13" i="4" l="1"/>
  <c r="A69" i="2" l="1"/>
  <c r="A68" i="2"/>
  <c r="A67" i="2"/>
  <c r="A66" i="2"/>
  <c r="A65" i="2"/>
  <c r="A64" i="2"/>
  <c r="F54" i="2"/>
  <c r="T52" i="2"/>
  <c r="T51" i="2"/>
  <c r="T50" i="2"/>
  <c r="I50" i="2"/>
  <c r="I49" i="2"/>
  <c r="K47" i="2"/>
  <c r="C47" i="2"/>
  <c r="B47" i="2"/>
  <c r="K46" i="2"/>
  <c r="C46" i="2"/>
  <c r="B46" i="2"/>
  <c r="K45" i="2"/>
  <c r="C45" i="2"/>
  <c r="B45" i="2"/>
  <c r="K44" i="2"/>
  <c r="G43" i="2"/>
  <c r="A43" i="2"/>
  <c r="G40" i="2"/>
  <c r="G39" i="2"/>
  <c r="C39" i="2"/>
  <c r="B39" i="2"/>
  <c r="L38" i="2"/>
  <c r="K38" i="2" s="1"/>
  <c r="G38" i="2"/>
  <c r="D38" i="2"/>
  <c r="C38" i="2"/>
  <c r="B38" i="2"/>
  <c r="L37" i="2"/>
  <c r="K37" i="2" s="1"/>
  <c r="G37" i="2"/>
  <c r="D37" i="2"/>
  <c r="C37" i="2"/>
  <c r="B37" i="2"/>
  <c r="K35" i="2"/>
  <c r="L33" i="2"/>
  <c r="K33" i="2" s="1"/>
  <c r="G33" i="2"/>
  <c r="C33" i="2"/>
  <c r="B33" i="2"/>
  <c r="C32" i="2"/>
  <c r="B32" i="2"/>
  <c r="K31" i="2"/>
  <c r="C31" i="2"/>
  <c r="B31" i="2"/>
  <c r="K30" i="2"/>
  <c r="L27" i="2"/>
  <c r="L25" i="2"/>
  <c r="L23" i="2"/>
  <c r="D22" i="2"/>
  <c r="L21" i="2"/>
  <c r="C21" i="2"/>
  <c r="A20" i="2"/>
  <c r="L19" i="2"/>
  <c r="B26" i="2" s="1"/>
  <c r="A26" i="2" s="1"/>
  <c r="K19" i="2"/>
  <c r="S18" i="2"/>
  <c r="K17" i="2"/>
  <c r="C17" i="2"/>
  <c r="B17" i="2"/>
  <c r="C16" i="2"/>
  <c r="B16" i="2"/>
  <c r="C15" i="2"/>
  <c r="C14" i="2"/>
  <c r="A13" i="2"/>
  <c r="K12" i="2"/>
  <c r="A12" i="2"/>
  <c r="A11" i="2"/>
  <c r="C10" i="2"/>
  <c r="P9" i="2"/>
  <c r="O9" i="2"/>
  <c r="M9" i="2"/>
  <c r="L9" i="2"/>
  <c r="C9" i="2"/>
  <c r="P8" i="2"/>
  <c r="O8" i="2"/>
  <c r="M8" i="2"/>
  <c r="L8" i="2"/>
  <c r="B10" i="2" s="1"/>
  <c r="A10" i="2" s="1"/>
  <c r="A7" i="2"/>
  <c r="G6" i="2"/>
  <c r="G5" i="2"/>
  <c r="G4" i="2"/>
  <c r="L1" i="2"/>
  <c r="F49" i="2" s="1"/>
  <c r="A39" i="2" l="1"/>
  <c r="A45" i="2"/>
  <c r="A46" i="2"/>
  <c r="A47" i="2"/>
  <c r="A31" i="2"/>
  <c r="A32" i="2"/>
  <c r="A16" i="2"/>
  <c r="A17" i="2"/>
  <c r="A38" i="2"/>
  <c r="A33" i="2"/>
  <c r="N9" i="2"/>
  <c r="Q9" i="2" s="1"/>
  <c r="R9" i="2" s="1"/>
  <c r="B14" i="2"/>
  <c r="A14" i="2" s="1"/>
  <c r="B15" i="2"/>
  <c r="A15" i="2" s="1"/>
  <c r="B24" i="2"/>
  <c r="A24" i="2" s="1"/>
  <c r="A25" i="2"/>
  <c r="A27" i="2"/>
  <c r="A37" i="2"/>
  <c r="L28" i="2"/>
  <c r="K21" i="2" s="1"/>
  <c r="F50" i="2"/>
  <c r="G54" i="2"/>
  <c r="B22" i="2"/>
  <c r="A22" i="2" s="1"/>
  <c r="B28" i="2"/>
  <c r="A28" i="2" s="1"/>
  <c r="B9" i="2"/>
  <c r="A9" i="2" s="1"/>
  <c r="A23" i="2"/>
  <c r="G30" i="2"/>
  <c r="N8" i="2"/>
  <c r="Q8" i="2" s="1"/>
  <c r="R8" i="2" s="1"/>
  <c r="B21" i="2"/>
  <c r="A21" i="2" s="1"/>
  <c r="K23" i="2" l="1"/>
  <c r="K25" i="2"/>
  <c r="K27" i="2"/>
  <c r="G53" i="2"/>
  <c r="G52" i="2"/>
  <c r="D4" i="10" l="1"/>
  <c r="L2" i="4" l="1"/>
  <c r="D5" i="10" s="1"/>
  <c r="C2" i="1" l="1"/>
  <c r="L10" i="4" l="1"/>
  <c r="F4" i="7" l="1"/>
  <c r="A5" i="9" l="1"/>
  <c r="A6" i="9"/>
  <c r="A7" i="9"/>
  <c r="A8" i="9"/>
  <c r="A10" i="9"/>
  <c r="A4" i="9"/>
  <c r="I38" i="1" l="1"/>
  <c r="G38" i="1"/>
  <c r="L52" i="4" l="1"/>
  <c r="I40" i="4" l="1"/>
  <c r="I41" i="4"/>
  <c r="H41" i="4"/>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I42" i="4"/>
  <c r="A44" i="4" l="1"/>
  <c r="A18" i="4"/>
  <c r="A46" i="4"/>
  <c r="A42" i="4"/>
  <c r="A28" i="4"/>
  <c r="A26" i="4"/>
  <c r="A24" i="4"/>
  <c r="A19" i="4"/>
  <c r="A15" i="4"/>
  <c r="A49" i="4"/>
  <c r="A48" i="4"/>
  <c r="A47" i="4"/>
  <c r="A41" i="4"/>
  <c r="A39" i="4"/>
  <c r="A32" i="4"/>
  <c r="A30" i="4"/>
  <c r="A20" i="4"/>
  <c r="A14" i="4"/>
  <c r="A4" i="1" l="1"/>
  <c r="D4" i="7" l="1"/>
  <c r="H47" i="4" l="1"/>
  <c r="I47" i="4" l="1"/>
  <c r="G47" i="4"/>
  <c r="S69" i="6"/>
  <c r="S70" i="6"/>
  <c r="R47" i="4" l="1"/>
  <c r="S47" i="4" s="1"/>
  <c r="N47" i="4"/>
  <c r="Q47" i="4"/>
  <c r="M47" i="4"/>
  <c r="P47" i="4"/>
  <c r="O47" i="4"/>
  <c r="A50" i="4" l="1"/>
  <c r="L40" i="4" l="1"/>
  <c r="G40" i="4" l="1"/>
  <c r="H40" i="4"/>
  <c r="H44" i="4"/>
  <c r="O40" i="4" l="1"/>
  <c r="M41" i="4"/>
  <c r="P41" i="4"/>
  <c r="N41" i="4"/>
  <c r="Q41" i="4"/>
  <c r="R41" i="4"/>
  <c r="G41" i="4"/>
  <c r="O41" i="4" l="1"/>
  <c r="S41" i="4"/>
  <c r="I28" i="1" l="1"/>
  <c r="G28" i="1"/>
  <c r="I64" i="4" l="1"/>
  <c r="I65" i="4"/>
  <c r="I66" i="4"/>
  <c r="I63" i="4"/>
  <c r="H64" i="4"/>
  <c r="H65" i="4"/>
  <c r="H66" i="4"/>
  <c r="H63" i="4"/>
  <c r="G66" i="4" l="1"/>
  <c r="A66" i="4" s="1"/>
  <c r="R66" i="4"/>
  <c r="L66" i="4"/>
  <c r="G65" i="4"/>
  <c r="A65" i="4" s="1"/>
  <c r="R65" i="4"/>
  <c r="G64" i="4"/>
  <c r="A64" i="4" s="1"/>
  <c r="R64" i="4"/>
  <c r="G63" i="4"/>
  <c r="R63" i="4"/>
  <c r="A63" i="4" l="1"/>
  <c r="S66" i="4"/>
  <c r="S65" i="4"/>
  <c r="S64" i="4"/>
  <c r="S63" i="4"/>
  <c r="R62" i="4" l="1"/>
  <c r="L62" i="4" l="1"/>
  <c r="H62" i="4"/>
  <c r="G62" i="4"/>
  <c r="L61" i="4"/>
  <c r="A62" i="4" l="1"/>
  <c r="A61" i="4"/>
  <c r="A60" i="4"/>
  <c r="S62" i="4"/>
  <c r="I13" i="4" l="1"/>
  <c r="I15" i="4"/>
  <c r="I18" i="4"/>
  <c r="I24" i="4"/>
  <c r="I26" i="4"/>
  <c r="I28" i="4"/>
  <c r="I30" i="4"/>
  <c r="I32" i="4"/>
  <c r="L36" i="4"/>
  <c r="I39" i="4"/>
  <c r="I44" i="4"/>
  <c r="H46" i="4"/>
  <c r="H48" i="4"/>
  <c r="I9" i="4"/>
  <c r="H49" i="4"/>
  <c r="G9" i="4"/>
  <c r="B13" i="4"/>
  <c r="C13" i="4"/>
  <c r="G52" i="4"/>
  <c r="R52" i="4"/>
  <c r="J7" i="4"/>
  <c r="B13" i="3"/>
  <c r="B14" i="3"/>
  <c r="O10" i="4"/>
  <c r="E13" i="3"/>
  <c r="E14" i="3"/>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H52" i="4"/>
  <c r="H24" i="4"/>
  <c r="H26" i="4"/>
  <c r="H28" i="4"/>
  <c r="H30" i="4"/>
  <c r="H32" i="4"/>
  <c r="H39" i="4"/>
  <c r="H14" i="4"/>
  <c r="H15" i="4"/>
  <c r="H18" i="4"/>
  <c r="H19" i="4"/>
  <c r="H20" i="4"/>
  <c r="H9" i="4"/>
  <c r="I6" i="4"/>
  <c r="I5" i="4"/>
  <c r="P8" i="4"/>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I1" i="1"/>
  <c r="G1" i="1"/>
  <c r="L3" i="4"/>
  <c r="D6" i="10" s="1"/>
  <c r="B4" i="6"/>
  <c r="I3" i="4"/>
  <c r="L4" i="4"/>
  <c r="S68" i="6"/>
  <c r="O64" i="6"/>
  <c r="M41" i="6"/>
  <c r="G50" i="6"/>
  <c r="R50" i="6"/>
  <c r="R3" i="6"/>
  <c r="D7" i="10" s="1"/>
  <c r="G3" i="6"/>
  <c r="I2" i="4"/>
  <c r="D6" i="3"/>
  <c r="D5" i="3"/>
  <c r="I7" i="4" l="1"/>
  <c r="I49" i="4"/>
  <c r="I48" i="4"/>
  <c r="I46" i="4"/>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B51" i="6"/>
  <c r="A4" i="7"/>
  <c r="G49" i="4"/>
  <c r="A56" i="4"/>
  <c r="G56" i="4" s="1"/>
  <c r="S40" i="4"/>
  <c r="S29" i="4"/>
  <c r="G44" i="4"/>
  <c r="A57" i="4"/>
  <c r="G57" i="4" s="1"/>
  <c r="R4" i="6"/>
  <c r="G24" i="4"/>
  <c r="R51" i="6"/>
  <c r="G51" i="6"/>
  <c r="S52" i="4"/>
  <c r="G4" i="6"/>
  <c r="A55" i="4"/>
  <c r="G55" i="4" s="1"/>
  <c r="U9" i="4"/>
  <c r="L32" i="4"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L37" i="4"/>
  <c r="M49" i="4" l="1"/>
  <c r="P49" i="4"/>
  <c r="Q49" i="4"/>
  <c r="R49" i="4"/>
  <c r="S49" i="4" s="1"/>
  <c r="Q48" i="4"/>
  <c r="N49" i="4"/>
  <c r="N48" i="4"/>
  <c r="R48" i="4"/>
  <c r="S48" i="4" s="1"/>
  <c r="N46" i="4"/>
  <c r="M46" i="4"/>
  <c r="M48" i="4"/>
  <c r="P48" i="4"/>
  <c r="P46" i="4"/>
  <c r="R46" i="4"/>
  <c r="S46" i="4" s="1"/>
  <c r="Q46" i="4"/>
  <c r="O49" i="4"/>
  <c r="O48" i="4"/>
  <c r="O46" i="4"/>
  <c r="O44" i="4"/>
  <c r="O39" i="4"/>
  <c r="O32" i="4"/>
  <c r="O30" i="4"/>
  <c r="O28" i="4"/>
  <c r="O26" i="4"/>
  <c r="O24" i="4"/>
  <c r="O20" i="4"/>
  <c r="O19" i="4"/>
  <c r="O18" i="4"/>
  <c r="O15" i="4"/>
  <c r="O14" i="4"/>
  <c r="O13" i="4"/>
  <c r="L47" i="4"/>
  <c r="L9" i="4"/>
  <c r="Q42" i="4"/>
  <c r="R42" i="4"/>
  <c r="M42" i="4"/>
  <c r="N42" i="4"/>
  <c r="P42" i="4"/>
  <c r="L65" i="4"/>
  <c r="L41" i="4"/>
  <c r="G42" i="4"/>
  <c r="L64" i="4"/>
  <c r="L63" i="4"/>
  <c r="L24" i="4"/>
  <c r="L30" i="4"/>
  <c r="L44" i="4"/>
  <c r="L35" i="4"/>
  <c r="L34" i="4"/>
  <c r="L28" i="4"/>
  <c r="L26" i="4"/>
  <c r="L46" i="4"/>
  <c r="L18" i="4"/>
  <c r="L15" i="4"/>
  <c r="L13" i="4"/>
  <c r="S44" i="4"/>
  <c r="S36" i="4"/>
  <c r="S30" i="4"/>
  <c r="S24" i="4"/>
  <c r="L14" i="4"/>
  <c r="L42" i="4"/>
  <c r="L19" i="4"/>
  <c r="L49" i="4"/>
  <c r="S15" i="4"/>
  <c r="L48" i="4"/>
  <c r="S28" i="4"/>
  <c r="S19" i="4"/>
  <c r="S26" i="4"/>
  <c r="S14" i="4"/>
  <c r="S35" i="4"/>
  <c r="S32" i="4"/>
  <c r="S18" i="4"/>
  <c r="S39" i="4"/>
  <c r="S37" i="4"/>
  <c r="S34" i="4"/>
  <c r="S20" i="4"/>
  <c r="S13" i="4"/>
  <c r="N68" i="4" l="1"/>
  <c r="Q68" i="4"/>
  <c r="P68" i="4"/>
  <c r="M68" i="4"/>
  <c r="O42" i="4"/>
  <c r="O68" i="4" s="1"/>
  <c r="S42" i="4"/>
  <c r="S68" i="4" s="1"/>
  <c r="D39" i="4" l="1"/>
  <c r="L39" i="4" s="1"/>
  <c r="P70" i="4"/>
  <c r="L11" i="4" s="1"/>
  <c r="I4" i="4"/>
  <c r="L7" i="4"/>
  <c r="L5" i="4"/>
  <c r="L6" i="4"/>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<sst xmlns="http://schemas.openxmlformats.org/spreadsheetml/2006/main" count="1735" uniqueCount="670">
  <si>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</si>
  <si>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</si>
  <si>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</si>
  <si>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</si>
  <si>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</si>
  <si>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</si>
  <si>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</si>
  <si>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</si>
  <si>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</si>
  <si>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</si>
  <si>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</si>
  <si>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</si>
  <si>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</si>
  <si>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</si>
  <si>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</si>
  <si>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</si>
  <si>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</si>
  <si>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</si>
  <si>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</si>
  <si>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</si>
  <si>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</si>
  <si>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</si>
  <si>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</si>
  <si>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</si>
  <si>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</si>
  <si>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</si>
  <si>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</si>
  <si>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</si>
  <si>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</si>
  <si>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</si>
  <si>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</si>
  <si>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</si>
  <si>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</si>
  <si>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</si>
  <si>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</si>
  <si>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</si>
  <si>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</si>
  <si>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</si>
  <si>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</si>
  <si>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</si>
  <si>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</si>
  <si>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</si>
  <si>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</si>
  <si>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</si>
  <si>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</si>
  <si>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</si>
  <si>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</si>
  <si>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</si>
  <si>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</si>
  <si>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</si>
  <si>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</si>
  <si>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</si>
  <si>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</si>
  <si>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</si>
  <si>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</si>
  <si>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</si>
  <si>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</si>
  <si>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</si>
  <si>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</si>
  <si>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</si>
  <si>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</si>
  <si>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</si>
  <si>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</si>
  <si>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</si>
  <si>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</si>
  <si>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</si>
  <si>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</si>
  <si>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</si>
  <si>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</si>
  <si>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</si>
  <si>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</si>
  <si>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</si>
  <si>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</si>
  <si>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</si>
  <si>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</si>
  <si>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</si>
  <si>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</si>
  <si>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</si>
  <si>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</si>
  <si>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</si>
  <si>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</si>
  <si>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</si>
  <si>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</si>
  <si>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</si>
  <si>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</si>
  <si>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</si>
  <si>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</si>
  <si>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</si>
  <si>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</si>
  <si>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</si>
  <si>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</si>
  <si>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</si>
  <si>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</si>
  <si>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</si>
  <si>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</si>
  <si>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</si>
  <si>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</si>
  <si>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</si>
  <si>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</si>
  <si>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</si>
  <si>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</si>
  <si>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</si>
  <si>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</si>
  <si>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</si>
  <si>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</si>
  <si>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</si>
  <si>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</si>
  <si>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</si>
  <si>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</si>
  <si>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</si>
  <si>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</si>
  <si>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</si>
  <si>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</si>
  <si>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</si>
  <si>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</si>
  <si>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</si>
  <si>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</si>
  <si>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</si>
  <si>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</si>
  <si>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</si>
  <si>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</si>
  <si>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</si>
  <si>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</si>
  <si>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</si>
  <si>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</si>
  <si>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</si>
  <si>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</si>
  <si>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</si>
  <si>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</si>
  <si>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</si>
  <si>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</si>
  <si>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</si>
  <si>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</si>
  <si>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</si>
  <si>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</si>
  <si>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</si>
  <si>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</si>
  <si>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</si>
  <si>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</si>
  <si>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</si>
  <si>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</si>
  <si>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</si>
  <si>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</si>
  <si>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</si>
  <si>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</si>
  <si>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</si>
  <si>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</si>
  <si>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</si>
  <si>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</si>
  <si>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</si>
  <si>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</si>
  <si>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</si>
  <si>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</si>
  <si>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</si>
  <si>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</si>
  <si>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</si>
  <si>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</si>
  <si>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</si>
  <si>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</si>
  <si>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</si>
  <si>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</si>
  <si>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</si>
  <si>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</si>
  <si>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</si>
  <si>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</si>
  <si>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</si>
  <si>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</si>
  <si>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</si>
  <si>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</si>
  <si>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</si>
  <si>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</si>
  <si>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</si>
  <si>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</si>
  <si>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</si>
  <si>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</si>
  <si>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</si>
  <si>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</si>
  <si>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</si>
  <si>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</si>
  <si>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</si>
  <si>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</si>
  <si>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</si>
  <si>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</si>
  <si>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</si>
  <si>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</si>
  <si>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</si>
  <si>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</si>
  <si>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</si>
  <si>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</si>
  <si>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</si>
  <si>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</si>
  <si>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</si>
  <si>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</si>
  <si>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</si>
  <si>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</si>
  <si>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</si>
  <si>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</si>
  <si>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</si>
  <si>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</si>
  <si>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</si>
  <si>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</si>
  <si>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</si>
  <si>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</si>
  <si>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</si>
  <si>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</si>
  <si>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</si>
  <si>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</si>
  <si>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</si>
  <si>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</si>
  <si>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</si>
  <si>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</si>
  <si>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</si>
  <si>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</si>
  <si>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</si>
  <si>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</si>
  <si>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</si>
  <si>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</si>
  <si>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</si>
  <si>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</si>
  <si>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</si>
  <si>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</si>
  <si>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</si>
  <si>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</si>
  <si>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</si>
  <si>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</si>
  <si>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</si>
  <si>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</si>
  <si>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</si>
  <si>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</si>
  <si>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</si>
  <si>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</si>
  <si>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</si>
  <si>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</si>
  <si>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</si>
  <si>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</si>
  <si>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</si>
  <si>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</si>
  <si>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</si>
  <si>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</si>
  <si>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</si>
  <si>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</si>
  <si>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</si>
  <si>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</si>
  <si>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</si>
  <si>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</si>
  <si>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</si>
  <si>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</si>
  <si>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</si>
  <si>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</si>
  <si>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</si>
  <si>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</si>
  <si>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</si>
  <si>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</si>
  <si>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</si>
  <si>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</si>
  <si>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</si>
  <si>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</si>
  <si>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</si>
  <si>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</si>
  <si>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</si>
  <si>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</si>
  <si>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</si>
  <si>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</si>
  <si>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</si>
  <si>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</si>
  <si>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</si>
  <si>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</si>
  <si>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</si>
  <si>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</si>
  <si>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</si>
  <si>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</si>
  <si>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</si>
  <si>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</si>
  <si>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</si>
  <si>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</si>
  <si>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</si>
  <si>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</si>
  <si>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</si>
  <si>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</si>
  <si>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</si>
  <si>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</si>
  <si>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</si>
  <si>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</si>
  <si>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</si>
  <si>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</si>
  <si>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</si>
  <si>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</si>
  <si>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</si>
  <si>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</si>
  <si>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</si>
  <si>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</si>
  <si>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</si>
  <si>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</si>
  <si>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</si>
  <si>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</si>
  <si>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</si>
  <si>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</si>
  <si>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</si>
  <si>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</si>
  <si>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</si>
  <si>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</si>
  <si>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</si>
  <si>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</si>
  <si>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</si>
  <si>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</si>
  <si>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</si>
  <si>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</si>
  <si>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</si>
  <si>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</si>
  <si>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</si>
  <si>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</si>
  <si>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</si>
  <si>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</si>
  <si>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</si>
  <si>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</si>
  <si>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</si>
  <si>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</si>
  <si>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</si>
  <si>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</si>
  <si>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</si>
  <si>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</si>
  <si>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</si>
  <si>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</si>
  <si>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</si>
  <si>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</si>
  <si>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</si>
  <si>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</si>
  <si>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</si>
  <si>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</si>
  <si>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</si>
  <si>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</si>
  <si>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</si>
  <si>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</si>
  <si>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</si>
  <si>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</si>
  <si>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</si>
  <si>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</si>
  <si>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</si>
  <si>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</si>
  <si>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</si>
  <si>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</si>
  <si>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</si>
  <si>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</si>
  <si>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</si>
  <si>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</si>
  <si>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</si>
  <si>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</si>
  <si>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</si>
  <si>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</si>
  <si>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</si>
  <si>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</si>
  <si>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</si>
  <si>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</si>
  <si>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</si>
  <si>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</si>
  <si>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</si>
  <si>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</si>
  <si>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</si>
  <si>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</si>
  <si>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</si>
  <si>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</si>
  <si>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</si>
  <si>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</si>
  <si>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</si>
  <si>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</si>
  <si>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</si>
  <si>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</si>
  <si>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</si>
  <si>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</si>
  <si>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</si>
  <si>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</si>
  <si>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</si>
  <si>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</si>
  <si>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</si>
  <si>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</si>
  <si>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</si>
  <si>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</si>
  <si>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</si>
  <si>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</si>
  <si>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</si>
  <si>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</si>
  <si>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</si>
  <si>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</si>
  <si>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</si>
  <si>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</si>
  <si>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</si>
  <si>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</si>
  <si>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</si>
  <si>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</si>
  <si>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</si>
  <si>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</si>
  <si>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</si>
  <si>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</si>
  <si>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</si>
  <si>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</si>
  <si>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</si>
  <si>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</si>
  <si>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</si>
  <si>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</si>
  <si>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</si>
  <si>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</si>
  <si>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</si>
  <si>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</si>
  <si>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</si>
  <si>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</si>
  <si>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</si>
  <si>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</si>
  <si>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</si>
  <si>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</si>
  <si>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</si>
  <si>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</si>
  <si>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</si>
  <si>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</si>
  <si>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</si>
  <si>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</si>
  <si>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</si>
  <si>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</si>
  <si>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</si>
  <si>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</si>
  <si>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</si>
  <si>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</si>
  <si>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</si>
  <si>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</si>
  <si>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</si>
  <si>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</si>
  <si>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</si>
  <si>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</si>
  <si>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</si>
  <si>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</si>
  <si>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</si>
  <si>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</si>
  <si>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</si>
  <si>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</si>
  <si>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</si>
  <si>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</si>
  <si>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</si>
  <si>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</si>
  <si>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</si>
  <si>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</si>
  <si>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</si>
  <si>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</si>
  <si>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</si>
  <si>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</si>
  <si>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</si>
  <si>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</si>
  <si>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</si>
  <si>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</si>
  <si>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</si>
  <si>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</si>
  <si>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</si>
  <si>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</si>
  <si>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</si>
  <si>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</si>
  <si>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</si>
  <si>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</si>
  <si>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</si>
  <si>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</si>
  <si>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</si>
  <si>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</si>
  <si>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</si>
  <si>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</si>
  <si>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</si>
  <si>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</si>
  <si>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</si>
  <si>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</si>
  <si>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</si>
  <si>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</si>
  <si>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</si>
  <si>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</si>
  <si>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</si>
  <si>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</si>
  <si>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</si>
  <si>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</si>
  <si>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</si>
  <si>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</si>
  <si>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</si>
  <si>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</si>
  <si>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</si>
  <si>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</si>
  <si>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</si>
  <si>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</si>
  <si>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</si>
  <si>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</si>
  <si>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</si>
  <si>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</si>
  <si>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</si>
  <si>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</si>
  <si>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</si>
  <si>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</si>
  <si>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</si>
  <si>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</si>
  <si>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</si>
  <si>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</si>
  <si>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</si>
  <si>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</si>
  <si>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</si>
  <si>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</si>
  <si>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</si>
  <si>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</si>
  <si>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</si>
  <si>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</si>
  <si>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</si>
  <si>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</si>
  <si>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</si>
  <si>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</si>
  <si>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</si>
  <si>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</si>
  <si>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</si>
  <si>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</si>
  <si>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</si>
  <si>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</si>
  <si>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</si>
  <si>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</si>
  <si>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</si>
  <si>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</si>
  <si>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</si>
  <si>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</si>
  <si>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</si>
  <si>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</si>
  <si>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</si>
  <si>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</si>
  <si>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</si>
  <si>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</si>
  <si>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</si>
  <si>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</si>
  <si>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</si>
  <si>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</si>
  <si>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</si>
  <si>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</si>
  <si>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</si>
  <si>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</si>
  <si>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</si>
  <si>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</si>
  <si>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</si>
  <si>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</si>
  <si>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</si>
  <si>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</si>
  <si>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</si>
  <si>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</si>
  <si>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</si>
  <si>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</si>
  <si>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</si>
  <si>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</si>
  <si>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</si>
  <si>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</si>
  <si>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</si>
  <si>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</si>
  <si>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</si>
  <si>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</si>
  <si>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</si>
  <si>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</si>
  <si>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</si>
  <si>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</si>
  <si>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</si>
  <si>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</si>
  <si>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</si>
  <si>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</si>
  <si>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</si>
  <si>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</si>
  <si>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</si>
  <si>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</si>
  <si>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</si>
  <si>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</si>
  <si>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</si>
  <si>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</si>
  <si>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</si>
  <si>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</si>
  <si>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</si>
  <si>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</si>
  <si>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</si>
  <si>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</si>
  <si>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</si>
  <si>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</si>
  <si>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</si>
  <si>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</si>
  <si>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</si>
  <si>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</si>
  <si>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</si>
  <si>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</si>
  <si>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</si>
  <si>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</si>
  <si>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</si>
  <si>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</si>
  <si>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</si>
  <si>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</si>
  <si>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</si>
  <si>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</si>
  <si>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</si>
  <si>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</si>
  <si>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</si>
  <si>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</si>
  <si>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</si>
  <si>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</si>
  <si>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</si>
  <si>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</si>
  <si>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</si>
  <si>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</si>
  <si>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</si>
  <si>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</si>
  <si>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</si>
  <si>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</si>
  <si>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</si>
  <si>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</si>
  <si>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</si>
  <si>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</si>
  <si>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</si>
  <si>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</si>
  <si>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</si>
  <si>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</si>
  <si>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</si>
  <si>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</si>
  <si>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</si>
  <si>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</si>
  <si>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</si>
  <si>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</si>
  <si>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</si>
  <si>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</si>
  <si>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</si>
  <si>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</si>
  <si>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</si>
  <si>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</si>
  <si>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</si>
  <si>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</si>
  <si>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</si>
  <si>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</si>
  <si>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</si>
  <si>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</si>
  <si>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</si>
  <si>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</si>
  <si>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</si>
  <si>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</si>
  <si>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</si>
  <si>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</si>
  <si>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</si>
  <si>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</si>
  <si>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</si>
  <si>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</si>
  <si>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</si>
  <si>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</si>
  <si>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</si>
  <si>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</si>
  <si>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</si>
  <si>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</si>
  <si>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</si>
  <si>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</si>
  <si>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</si>
  <si>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</si>
  <si>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</si>
  <si>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</si>
  <si>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</si>
  <si>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</si>
  <si>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</si>
  <si>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</si>
  <si>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</si>
  <si>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</si>
  <si>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</si>
  <si>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</si>
  <si>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</si>
  <si>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</si>
  <si>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</si>
  <si>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Programming Value</t>
  </si>
  <si>
    <t>GLBE4470</t>
  </si>
  <si>
    <t>Company:</t>
  </si>
  <si>
    <t>Program Creation</t>
  </si>
  <si>
    <t>Barcode - Mounted on Conveyor Inlet with P Select</t>
  </si>
  <si>
    <t>SUNB4723</t>
  </si>
  <si>
    <t>S1088</t>
  </si>
  <si>
    <t>Sunburst EMS</t>
  </si>
  <si>
    <t>Notes:</t>
  </si>
  <si>
    <t>Program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</si>
</sst>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386">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21" xfId="0" applyBorder="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16" fmlaLink="$H$4:$I$44" fmlaRange="$H$4:$I$44" noThreeD="1" sel="0" val="0"/>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382318</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919"/>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19050</xdr:colOff>
      <xdr:row>0</xdr:row>
      <xdr:rowOff>28575</xdr:rowOff>
    </xdr:from>
    <xdr:to>
      <xdr:col>6</xdr:col>
      <xdr:colOff>1973580</xdr:colOff>
      <xdr:row>0</xdr:row>
      <xdr:rowOff>760095</xdr:rowOff>
    </xdr:to>
    <xdr:pic>
      <xdr:nvPicPr>
        <xdr:cNvPr id="8" name="Picture 7">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7050" y="28575"/>
          <a:ext cx="3421380"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9" name="Picture 8"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1081087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2084" name="Button 2628" hidden="1">
              <a:extLst>
                <a:ext uri="{63B3BB69-23CF-44E3-9099-C40C66FF867C}">
                  <a14:compatExt spid="_x0000_s2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74295</xdr:colOff>
          <xdr:row>36</xdr:row>
          <xdr:rowOff>89388</xdr:rowOff>
        </xdr:to>
        <xdr:pic>
          <xdr:nvPicPr>
            <xdr:cNvPr id="11" name="Picture 10">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40920"/>
                </a:ext>
              </a:extLst>
            </xdr:cNvPicPr>
          </xdr:nvPicPr>
          <xdr:blipFill>
            <a:blip xmlns:r="http://schemas.openxmlformats.org/officeDocument/2006/relationships" r:embed="rId3"/>
            <a:srcRect/>
            <a:stretch>
              <a:fillRect/>
            </a:stretch>
          </xdr:blipFill>
          <xdr:spPr bwMode="auto">
            <a:xfrm>
              <a:off x="18933795" y="3899388"/>
              <a:ext cx="3448050" cy="304800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247650</xdr:colOff>
          <xdr:row>59</xdr:row>
          <xdr:rowOff>200025</xdr:rowOff>
        </xdr:to>
        <xdr:sp macro="" textlink="">
          <xdr:nvSpPr>
            <xdr:cNvPr id="22085" name="Object 2629" hidden="1">
              <a:extLst>
                <a:ext uri="{63B3BB69-23CF-44E3-9099-C40C66FF867C}">
                  <a14:compatExt spid="_x0000_s2208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2086" name="Object 2630" hidden="1">
              <a:extLst>
                <a:ext uri="{63B3BB69-23CF-44E3-9099-C40C66FF867C}">
                  <a14:compatExt spid="_x0000_s2208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85725</xdr:rowOff>
        </xdr:from>
        <xdr:to>
          <xdr:col>6</xdr:col>
          <xdr:colOff>57150</xdr:colOff>
          <xdr:row>30</xdr:row>
          <xdr:rowOff>28575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990600</xdr:colOff>
          <xdr:row>9</xdr:row>
          <xdr:rowOff>38100</xdr:rowOff>
        </xdr:from>
        <xdr:to>
          <xdr:col>4</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2</xdr:col>
      <xdr:colOff>273920</xdr:colOff>
      <xdr:row>0</xdr:row>
      <xdr:rowOff>238125</xdr:rowOff>
    </xdr:from>
    <xdr:to>
      <xdr:col>3</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20S10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DS Workcell Configurator S1088"/>
    </sheetNames>
    <definedNames>
      <definedName name="Clear"/>
    </definedNames>
    <sheetDataSet>
      <sheetData sheetId="0">
        <row r="3">
          <cell r="B3" t="str">
            <v>Work Cell</v>
          </cell>
        </row>
        <row r="8">
          <cell r="B8" t="str">
            <v>N</v>
          </cell>
          <cell r="E8" t="str">
            <v>FLUID_DELIVERY</v>
          </cell>
          <cell r="F8"/>
          <cell r="H8"/>
          <cell r="J8"/>
          <cell r="K8"/>
          <cell r="S8">
            <v>0</v>
          </cell>
          <cell r="V8"/>
          <cell r="Y8">
            <v>0</v>
          </cell>
        </row>
        <row r="9">
          <cell r="B9" t="str">
            <v>10CC Syringe</v>
          </cell>
          <cell r="C9" t="str">
            <v>O</v>
          </cell>
          <cell r="D9" t="str">
            <v>O</v>
          </cell>
          <cell r="E9"/>
          <cell r="F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B10" t="str">
            <v>6oz Cartridge Retainer</v>
          </cell>
          <cell r="C10" t="str">
            <v>O</v>
          </cell>
          <cell r="D10" t="str">
            <v>O</v>
          </cell>
          <cell r="E10"/>
          <cell r="F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B11" t="str">
            <v>12oz Cartridge Retainer</v>
          </cell>
          <cell r="C11" t="str">
            <v>O</v>
          </cell>
          <cell r="D11" t="str">
            <v>O</v>
          </cell>
          <cell r="E11"/>
          <cell r="F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B12" t="str">
            <v>20oz Cartridge Retainer</v>
          </cell>
          <cell r="C12" t="str">
            <v>O</v>
          </cell>
          <cell r="D12" t="str">
            <v>O</v>
          </cell>
          <cell r="E12"/>
          <cell r="F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B13" t="str">
            <v>32oz Cartridge Retainer</v>
          </cell>
          <cell r="C13" t="str">
            <v>O</v>
          </cell>
          <cell r="D13" t="str">
            <v>O</v>
          </cell>
          <cell r="E13"/>
          <cell r="F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B14" t="str">
            <v>2 Liter Bottle Pressure Reservoir</v>
          </cell>
          <cell r="C14" t="str">
            <v>O</v>
          </cell>
          <cell r="D14" t="str">
            <v>O</v>
          </cell>
          <cell r="E14"/>
          <cell r="F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B15" t="str">
            <v>2 Liter Bottle Pressure Reservoir with Scale</v>
          </cell>
          <cell r="C15" t="str">
            <v>O</v>
          </cell>
          <cell r="D15" t="str">
            <v>O</v>
          </cell>
          <cell r="E15"/>
          <cell r="F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row>
        <row r="16">
          <cell r="B16" t="str">
            <v>5 Liter Bottle Pressure Reservoir</v>
          </cell>
          <cell r="C16" t="str">
            <v>O</v>
          </cell>
          <cell r="D16" t="str">
            <v>O</v>
          </cell>
          <cell r="E16"/>
          <cell r="F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B17" t="str">
            <v>5 Liter Bottle Pressure Reservoir with Scale</v>
          </cell>
          <cell r="C17" t="str">
            <v>O</v>
          </cell>
          <cell r="D17" t="str">
            <v>O</v>
          </cell>
          <cell r="E17"/>
          <cell r="F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row>
        <row r="18">
          <cell r="B18" t="str">
            <v>2 Gallon Flip Top Pressure Tank</v>
          </cell>
          <cell r="C18" t="str">
            <v>O</v>
          </cell>
          <cell r="D18" t="str">
            <v>O</v>
          </cell>
          <cell r="E18"/>
          <cell r="F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B19" t="str">
            <v>2 Gallon Flip Top Pressure Tank with Float</v>
          </cell>
          <cell r="C19" t="str">
            <v>O</v>
          </cell>
          <cell r="D19" t="str">
            <v>O</v>
          </cell>
          <cell r="E19"/>
          <cell r="F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row>
        <row r="20">
          <cell r="B20" t="str">
            <v>2 Gallon Flip Top Pressure Tank with Scale</v>
          </cell>
          <cell r="C20" t="str">
            <v>O</v>
          </cell>
          <cell r="D20" t="str">
            <v>O</v>
          </cell>
          <cell r="E20"/>
          <cell r="F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row>
        <row r="21">
          <cell r="B21" t="str">
            <v>2 Gallon Top Ported Tank</v>
          </cell>
          <cell r="C21" t="str">
            <v>O</v>
          </cell>
          <cell r="D21" t="str">
            <v>O</v>
          </cell>
          <cell r="E21"/>
          <cell r="F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X21"/>
          <cell r="Y21">
            <v>0</v>
          </cell>
        </row>
        <row r="22">
          <cell r="B22" t="str">
            <v>2 Gallon Top Ported Tank with Float</v>
          </cell>
          <cell r="C22" t="str">
            <v>O</v>
          </cell>
          <cell r="D22" t="str">
            <v>O</v>
          </cell>
          <cell r="E22"/>
          <cell r="F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X22"/>
          <cell r="Y22">
            <v>0</v>
          </cell>
        </row>
        <row r="23">
          <cell r="B23" t="str">
            <v>2 Gallon Top Ported Tank with Scale</v>
          </cell>
          <cell r="C23" t="str">
            <v>O</v>
          </cell>
          <cell r="D23" t="str">
            <v>O</v>
          </cell>
          <cell r="E23"/>
          <cell r="F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X23"/>
          <cell r="Y23">
            <v>0</v>
          </cell>
        </row>
        <row r="24">
          <cell r="B24" t="str">
            <v>10 Gallon Pressure Tank</v>
          </cell>
          <cell r="C24" t="str">
            <v>O</v>
          </cell>
          <cell r="D24" t="str">
            <v>O</v>
          </cell>
          <cell r="E24"/>
          <cell r="F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B25" t="str">
            <v>10 Gallon Pressure Tank with Float</v>
          </cell>
          <cell r="C25" t="str">
            <v>O</v>
          </cell>
          <cell r="D25" t="str">
            <v>O</v>
          </cell>
          <cell r="E25"/>
          <cell r="F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row>
        <row r="26">
          <cell r="B26" t="str">
            <v>10 Gallon Pressure Tank with Scale</v>
          </cell>
          <cell r="C26" t="str">
            <v>O</v>
          </cell>
          <cell r="D26" t="str">
            <v>O</v>
          </cell>
          <cell r="E26"/>
          <cell r="F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row>
        <row r="27">
          <cell r="B27" t="str">
            <v>10 G Tank with Scale and Dow Corning Bag Adapter</v>
          </cell>
          <cell r="C27" t="str">
            <v>O</v>
          </cell>
          <cell r="D27" t="str">
            <v>O</v>
          </cell>
          <cell r="E27"/>
          <cell r="F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X27"/>
          <cell r="Y27">
            <v>0</v>
          </cell>
        </row>
        <row r="28">
          <cell r="B28" t="str">
            <v>GPCC Package Including - 10 Gallon Tank, Scale, 2 Gallon Solvent Flush</v>
          </cell>
          <cell r="C28" t="str">
            <v>O</v>
          </cell>
          <cell r="D28" t="str">
            <v>O</v>
          </cell>
          <cell r="E28"/>
          <cell r="F28"/>
          <cell r="G28" t="str">
            <v>612-2346-1</v>
          </cell>
          <cell r="H28" t="str">
            <v>A</v>
          </cell>
          <cell r="I28" t="str">
            <v>612-2346-3</v>
          </cell>
          <cell r="J28" t="str">
            <v>A</v>
          </cell>
          <cell r="K28" t="str">
            <v>612-2347-1</v>
          </cell>
          <cell r="L28"/>
          <cell r="M28"/>
          <cell r="N28"/>
          <cell r="O28"/>
          <cell r="P28"/>
          <cell r="Q28"/>
          <cell r="R28"/>
          <cell r="S28"/>
          <cell r="V28">
            <v>15100</v>
          </cell>
          <cell r="W28" t="str">
            <v>WORD</v>
          </cell>
          <cell r="X28"/>
          <cell r="Y28">
            <v>0</v>
          </cell>
        </row>
        <row r="29">
          <cell r="B29" t="str">
            <v>Scale Only - Customer Vessel</v>
          </cell>
          <cell r="C29" t="str">
            <v>O</v>
          </cell>
          <cell r="D29" t="str">
            <v>O</v>
          </cell>
          <cell r="E29"/>
          <cell r="F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row>
        <row r="32">
          <cell r="E32" t="str">
            <v>DISPENSE_HEAD</v>
          </cell>
        </row>
        <row r="33">
          <cell r="B33" t="str">
            <v>2 Station Dispense Head</v>
          </cell>
          <cell r="C33" t="str">
            <v>O</v>
          </cell>
          <cell r="D33" t="str">
            <v>O</v>
          </cell>
          <cell r="E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row>
        <row r="34">
          <cell r="B34" t="str">
            <v>2 Station Dispense Head with Two Position Tilt on Station 2</v>
          </cell>
          <cell r="C34" t="str">
            <v>O</v>
          </cell>
          <cell r="D34" t="str">
            <v>O</v>
          </cell>
          <cell r="E34"/>
          <cell r="G34" t="str">
            <v>612-1879-2</v>
          </cell>
          <cell r="H34" t="str">
            <v>A</v>
          </cell>
          <cell r="I34" t="str">
            <v>612-1879-2</v>
          </cell>
          <cell r="J34" t="str">
            <v>A</v>
          </cell>
          <cell r="K34" t="str">
            <v>N/A</v>
          </cell>
          <cell r="L34" t="str">
            <v>N/A</v>
          </cell>
          <cell r="M34" t="str">
            <v>N/A</v>
          </cell>
          <cell r="N34" t="str">
            <v>N/A</v>
          </cell>
          <cell r="O34">
            <v>-9</v>
          </cell>
          <cell r="P34">
            <v>-59</v>
          </cell>
          <cell r="Q34">
            <v>-232</v>
          </cell>
          <cell r="R34"/>
          <cell r="S34">
            <v>0</v>
          </cell>
          <cell r="V34">
            <v>0</v>
          </cell>
          <cell r="W34" t="str">
            <v>SW</v>
          </cell>
          <cell r="X34" t="str">
            <v>ü</v>
          </cell>
          <cell r="Y34">
            <v>2</v>
          </cell>
        </row>
        <row r="35">
          <cell r="B35" t="str">
            <v>3 Station Dispense Head with Two Position Tilt on Stations 2 and 3</v>
          </cell>
          <cell r="C35" t="str">
            <v>O</v>
          </cell>
          <cell r="D35" t="str">
            <v>O</v>
          </cell>
          <cell r="E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row>
        <row r="36">
          <cell r="B36" t="str">
            <v>2 Station Dispense Head with Two Position Twist on Station 2</v>
          </cell>
          <cell r="C36" t="str">
            <v>O</v>
          </cell>
          <cell r="D36" t="str">
            <v>O</v>
          </cell>
          <cell r="E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row>
        <row r="37">
          <cell r="B37" t="str">
            <v>3 Station Dispense Head with Twist on Station 2 and Tilt on Station 3</v>
          </cell>
          <cell r="C37" t="str">
            <v>O</v>
          </cell>
          <cell r="D37" t="str">
            <v>O</v>
          </cell>
          <cell r="E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R37"/>
          <cell r="S37">
            <v>0</v>
          </cell>
          <cell r="V37">
            <v>3300</v>
          </cell>
          <cell r="W37" t="str">
            <v>SW</v>
          </cell>
          <cell r="X37" t="str">
            <v>ü</v>
          </cell>
          <cell r="Y37">
            <v>3</v>
          </cell>
        </row>
        <row r="38">
          <cell r="B38" t="str">
            <v>4 Station Dispense Head Dual Tooled Manually Adjustable, 32-200mm</v>
          </cell>
          <cell r="C38" t="str">
            <v>O</v>
          </cell>
          <cell r="D38" t="str">
            <v>O</v>
          </cell>
          <cell r="E38"/>
          <cell r="G38" t="str">
            <v>612-3338-1</v>
          </cell>
          <cell r="H38" t="str">
            <v>A</v>
          </cell>
          <cell r="I38" t="str">
            <v>612-3338-1</v>
          </cell>
          <cell r="J38" t="str">
            <v>A</v>
          </cell>
          <cell r="K38" t="str">
            <v>N/A</v>
          </cell>
          <cell r="L38" t="str">
            <v>N/A</v>
          </cell>
          <cell r="M38" t="str">
            <v>N/A</v>
          </cell>
          <cell r="N38" t="str">
            <v>N/A</v>
          </cell>
          <cell r="O38">
            <v>-64</v>
          </cell>
          <cell r="P38">
            <v>-125</v>
          </cell>
          <cell r="Q38">
            <v>-289</v>
          </cell>
          <cell r="R38"/>
          <cell r="S38">
            <v>0</v>
          </cell>
          <cell r="V38">
            <v>2780</v>
          </cell>
          <cell r="W38" t="str">
            <v>SW</v>
          </cell>
          <cell r="X38" t="str">
            <v>ü</v>
          </cell>
          <cell r="Y38">
            <v>4</v>
          </cell>
        </row>
        <row r="39">
          <cell r="B39" t="str">
            <v>Jetter Dispense Head with Second Station - Includes Jetter</v>
          </cell>
          <cell r="C39" t="str">
            <v>O</v>
          </cell>
          <cell r="D39" t="str">
            <v>O</v>
          </cell>
          <cell r="E39"/>
          <cell r="G39" t="str">
            <v>612-3172-1</v>
          </cell>
          <cell r="H39" t="str">
            <v>A</v>
          </cell>
          <cell r="I39" t="str">
            <v>612-3172-1</v>
          </cell>
          <cell r="J39" t="str">
            <v>A</v>
          </cell>
          <cell r="K39" t="str">
            <v>N/A</v>
          </cell>
          <cell r="L39" t="str">
            <v>N/A</v>
          </cell>
          <cell r="M39" t="str">
            <v>N/A</v>
          </cell>
          <cell r="N39" t="str">
            <v>N/A</v>
          </cell>
          <cell r="O39"/>
          <cell r="P39"/>
          <cell r="Q39"/>
          <cell r="R39"/>
          <cell r="S39">
            <v>0</v>
          </cell>
          <cell r="V39">
            <v>16430</v>
          </cell>
          <cell r="W39" t="str">
            <v>SW</v>
          </cell>
          <cell r="X39"/>
          <cell r="Y39">
            <v>2</v>
          </cell>
        </row>
        <row r="40">
          <cell r="B40" t="str">
            <v>Jetter Dispense Head with Twist on Station 2 - Includes Jetter</v>
          </cell>
          <cell r="C40" t="str">
            <v>O</v>
          </cell>
          <cell r="D40" t="str">
            <v>O</v>
          </cell>
          <cell r="E40"/>
          <cell r="G40" t="str">
            <v>612-3172-2</v>
          </cell>
          <cell r="H40" t="str">
            <v>A</v>
          </cell>
          <cell r="I40" t="str">
            <v>612-3172-2</v>
          </cell>
          <cell r="J40" t="str">
            <v>A</v>
          </cell>
          <cell r="K40" t="str">
            <v>N/A</v>
          </cell>
          <cell r="L40" t="str">
            <v>N/A</v>
          </cell>
          <cell r="M40" t="str">
            <v>N/A</v>
          </cell>
          <cell r="N40" t="str">
            <v>N/A</v>
          </cell>
          <cell r="O40"/>
          <cell r="P40"/>
          <cell r="Q40"/>
          <cell r="R40"/>
          <cell r="S40">
            <v>0</v>
          </cell>
          <cell r="V40">
            <v>19620</v>
          </cell>
          <cell r="W40" t="str">
            <v>SW</v>
          </cell>
          <cell r="X40"/>
          <cell r="Y40">
            <v>2</v>
          </cell>
        </row>
        <row r="41">
          <cell r="B41" t="str">
            <v>Servo 4th Axis with 3 Dispense Stations and (2) Two Position Tilts</v>
          </cell>
          <cell r="C41" t="str">
            <v>O</v>
          </cell>
          <cell r="D41" t="str">
            <v>O</v>
          </cell>
          <cell r="E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row>
        <row r="44">
          <cell r="B44" t="str">
            <v>N</v>
          </cell>
          <cell r="E44" t="str">
            <v>POD</v>
          </cell>
          <cell r="F44" t="str">
            <v>POD_NOSPRAY</v>
          </cell>
          <cell r="H44"/>
          <cell r="J44"/>
          <cell r="K44"/>
          <cell r="L44"/>
          <cell r="M44"/>
          <cell r="N44"/>
          <cell r="S44">
            <v>0</v>
          </cell>
          <cell r="V44"/>
          <cell r="Y44">
            <v>0</v>
          </cell>
        </row>
        <row r="45">
          <cell r="B45" t="str">
            <v>FCM100</v>
          </cell>
          <cell r="C45" t="str">
            <v>O</v>
          </cell>
          <cell r="D45" t="str">
            <v>O</v>
          </cell>
          <cell r="E45"/>
          <cell r="F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row>
        <row r="46">
          <cell r="B46" t="str">
            <v>FC100-MC</v>
          </cell>
          <cell r="C46" t="str">
            <v>O</v>
          </cell>
          <cell r="D46" t="str">
            <v>O</v>
          </cell>
          <cell r="E46"/>
          <cell r="F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row>
        <row r="47">
          <cell r="B47" t="str">
            <v>FC100-CF</v>
          </cell>
          <cell r="C47" t="str">
            <v>O</v>
          </cell>
          <cell r="D47" t="str">
            <v>O</v>
          </cell>
          <cell r="E47"/>
          <cell r="F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row>
        <row r="48">
          <cell r="B48" t="str">
            <v>FC100-C4, 23g</v>
          </cell>
          <cell r="C48" t="str">
            <v>O</v>
          </cell>
          <cell r="D48" t="str">
            <v>O</v>
          </cell>
          <cell r="E48"/>
          <cell r="F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row>
        <row r="49">
          <cell r="B49" t="str">
            <v>FCS300-ES</v>
          </cell>
          <cell r="C49" t="str">
            <v>O</v>
          </cell>
          <cell r="D49" t="str">
            <v>O</v>
          </cell>
          <cell r="E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row>
        <row r="50">
          <cell r="B50" t="str">
            <v>FCS300-ES-ND</v>
          </cell>
          <cell r="C50" t="str">
            <v>O</v>
          </cell>
          <cell r="D50" t="str">
            <v>O</v>
          </cell>
          <cell r="E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row>
        <row r="51">
          <cell r="B51" t="str">
            <v>FCS300-R</v>
          </cell>
          <cell r="C51" t="str">
            <v>O</v>
          </cell>
          <cell r="D51" t="str">
            <v>O</v>
          </cell>
          <cell r="E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row>
        <row r="52">
          <cell r="B52" t="str">
            <v>FCS300-F</v>
          </cell>
          <cell r="C52" t="str">
            <v>O</v>
          </cell>
          <cell r="D52" t="str">
            <v>O</v>
          </cell>
          <cell r="E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row>
        <row r="55">
          <cell r="E55" t="str">
            <v>CONVEYOR</v>
          </cell>
        </row>
        <row r="57">
          <cell r="B57" t="str">
            <v>Adjustable Printed Circuit Board Fixture</v>
          </cell>
        </row>
        <row r="64">
          <cell r="B64" t="str">
            <v>Barcode - Mounted on Conveyor Inlet with P Select</v>
          </cell>
        </row>
        <row r="67">
          <cell r="B67" t="str">
            <v>Bi-Directional with 2nd Stop</v>
          </cell>
        </row>
        <row r="70">
          <cell r="E70" t="str">
            <v>CAMERA</v>
          </cell>
        </row>
        <row r="75">
          <cell r="B75" t="str">
            <v>Fan Width Sensor</v>
          </cell>
        </row>
        <row r="76">
          <cell r="B76" t="str">
            <v>Fan Width Sensor with Continuous Film Calibration</v>
          </cell>
        </row>
        <row r="77">
          <cell r="B77" t="str">
            <v>Needle Calibration, 3 axis</v>
          </cell>
        </row>
        <row r="78">
          <cell r="B78" t="str">
            <v>Black Light</v>
          </cell>
        </row>
        <row r="91">
          <cell r="B91" t="str">
            <v>Fume Extractor</v>
          </cell>
        </row>
        <row r="92">
          <cell r="E92" t="str">
            <v>UNMOUNTED</v>
          </cell>
        </row>
      </sheetData>
      <sheetData sheetId="1"/>
      <sheetData sheetId="2">
        <row r="68">
          <cell r="M68">
            <v>326</v>
          </cell>
          <cell r="N68">
            <v>380</v>
          </cell>
          <cell r="O68">
            <v>0</v>
          </cell>
          <cell r="Q68">
            <v>4</v>
          </cell>
          <cell r="S68">
            <v>35050</v>
          </cell>
        </row>
      </sheetData>
      <sheetData sheetId="3"/>
      <sheetData sheetId="4"/>
      <sheetData sheetId="5">
        <row r="2">
          <cell r="A2" t="str">
            <v>Abchimie</v>
          </cell>
          <cell r="B2" t="str">
            <v>Abchimie</v>
          </cell>
        </row>
        <row r="3">
          <cell r="A3" t="str">
            <v>Dow Corning</v>
          </cell>
          <cell r="B3" t="str">
            <v>DOWC</v>
          </cell>
        </row>
        <row r="4">
          <cell r="A4" t="str">
            <v>Dymax</v>
          </cell>
          <cell r="B4" t="str">
            <v>Dymax</v>
          </cell>
        </row>
        <row r="5">
          <cell r="A5" t="str">
            <v>Elantas / Altana</v>
          </cell>
          <cell r="B5" t="str">
            <v>ELANTAS</v>
          </cell>
        </row>
        <row r="6">
          <cell r="A6" t="str">
            <v>Electrolube</v>
          </cell>
          <cell r="B6" t="str">
            <v>Electrolube</v>
          </cell>
        </row>
        <row r="7">
          <cell r="A7" t="str">
            <v>Henkel / Hysol / Loctite</v>
          </cell>
          <cell r="B7" t="str">
            <v>HENKEL</v>
          </cell>
        </row>
        <row r="8">
          <cell r="A8" t="str">
            <v>Humiseal</v>
          </cell>
          <cell r="B8" t="str">
            <v>Humiseal</v>
          </cell>
        </row>
        <row r="9">
          <cell r="A9" t="str">
            <v>Peters</v>
          </cell>
          <cell r="B9" t="str">
            <v>Peters</v>
          </cell>
        </row>
        <row r="10">
          <cell r="A10" t="str">
            <v>Other</v>
          </cell>
          <cell r="B10" t="str">
            <v>Other</v>
          </cell>
        </row>
      </sheetData>
      <sheetData sheetId="6">
        <row r="3">
          <cell r="B3" t="str">
            <v>Direction</v>
          </cell>
          <cell r="C3" t="str">
            <v>Voltage</v>
          </cell>
          <cell r="E3" t="str">
            <v>Certification</v>
          </cell>
        </row>
        <row r="4">
          <cell r="C4" t="str">
            <v>100-120v 50/60Hz</v>
          </cell>
        </row>
      </sheetData>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ctrlProp" Target="../ctrlProps/ctrlProp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oleObject" Target="../embeddings/oleObject4.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18" zoomScaleNormal="100" workbookViewId="0">
      <pane xSplit="4" topLeftCell="E1" activePane="topRight" state="frozen"/>
      <selection pane="topRight" activeCell="B63" sqref="B63"/>
    </sheetView>
  </sheetViews>
  <sheetFormatPr defaultRowHeight="15" outlineLevelCol="1" x14ac:dyDescent="0.25"/>
  <cols>
    <col min="1" max="1" width="11.42578125" customWidth="1"/>
    <col min="2" max="2" width="66.28515625" customWidth="1"/>
    <col min="3" max="4" width="4.28515625" bestFit="1" customWidth="1"/>
    <col min="5" max="6" width="16.7109375" style="7"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36"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4" customWidth="1" outlineLevel="1"/>
    <col min="26" max="26" width="8.85546875" customWidth="1" outlineLevel="1"/>
    <col min="27" max="27" width="16.28515625" customWidth="1"/>
  </cols>
  <sheetData>
    <row r="1" spans="1:27" ht="61.5" customHeight="1" x14ac:dyDescent="0.25">
      <c r="A1" s="268"/>
      <c r="B1" s="269"/>
      <c r="C1" s="269"/>
      <c r="D1" s="270"/>
      <c r="E1" s="12"/>
      <c r="F1" s="113"/>
      <c r="G1" s="267" t="str">
        <f>+B4</f>
        <v>Delta 6</v>
      </c>
      <c r="H1" s="267"/>
      <c r="I1" s="267" t="str">
        <f>+B5</f>
        <v>Delta 8</v>
      </c>
      <c r="J1" s="267"/>
      <c r="L1" s="12"/>
      <c r="M1" s="12"/>
      <c r="N1" s="12"/>
      <c r="O1" s="36"/>
      <c r="P1" s="36"/>
      <c r="Q1" s="36"/>
      <c r="R1" s="36"/>
      <c r="T1" s="271" t="s">
        <v>593</v>
      </c>
      <c r="U1" s="271"/>
      <c r="V1" s="12"/>
    </row>
    <row r="2" spans="1:27" ht="41.25" customHeight="1" thickBot="1" x14ac:dyDescent="0.3">
      <c r="A2" s="266" t="s">
        <v>420</v>
      </c>
      <c r="B2" s="266"/>
      <c r="C2" s="162" t="e">
        <f>LOOKUP('WORKCELL CONFIGURATOR'!H4:I4,WORK_CELL)</f>
        <v>#VALUE!</v>
      </c>
      <c r="D2" s="162" t="s">
        <v>411</v>
      </c>
      <c r="E2" s="118"/>
      <c r="F2" s="118"/>
      <c r="G2" s="3" t="s">
        <v>187</v>
      </c>
      <c r="H2" s="8" t="s">
        <v>372</v>
      </c>
      <c r="I2" s="3" t="s">
        <v>187</v>
      </c>
      <c r="J2" s="8" t="s">
        <v>372</v>
      </c>
      <c r="K2" s="8" t="s">
        <v>188</v>
      </c>
      <c r="L2" s="8" t="s">
        <v>110</v>
      </c>
      <c r="M2" s="8" t="s">
        <v>111</v>
      </c>
      <c r="N2" s="8" t="s">
        <v>112</v>
      </c>
      <c r="O2" s="8" t="s">
        <v>374</v>
      </c>
      <c r="P2" s="8" t="s">
        <v>375</v>
      </c>
      <c r="Q2" s="8" t="s">
        <v>409</v>
      </c>
      <c r="R2" s="8" t="s">
        <v>450</v>
      </c>
      <c r="S2" s="8" t="s">
        <v>471</v>
      </c>
      <c r="T2" s="8" t="s">
        <v>594</v>
      </c>
      <c r="U2" s="8" t="s">
        <v>595</v>
      </c>
      <c r="V2" s="8" t="s">
        <v>184</v>
      </c>
      <c r="W2" s="8" t="s">
        <v>170</v>
      </c>
      <c r="X2" s="8" t="s">
        <v>373</v>
      </c>
      <c r="AA2" s="250" t="s">
        <v>660</v>
      </c>
    </row>
    <row r="3" spans="1:27" ht="18.75" thickTop="1" thickBot="1" x14ac:dyDescent="0.35">
      <c r="A3" s="2">
        <v>1</v>
      </c>
      <c r="B3" s="1" t="s">
        <v>410</v>
      </c>
      <c r="C3" s="1"/>
      <c r="D3" s="1"/>
      <c r="F3" s="126"/>
      <c r="V3" s="21"/>
    </row>
    <row r="4" spans="1:27" ht="15.75" thickTop="1" x14ac:dyDescent="0.25">
      <c r="A4" s="113">
        <f>+A3+0.1</f>
        <v>1.1000000000000001</v>
      </c>
      <c r="B4" s="7" t="s">
        <v>322</v>
      </c>
      <c r="C4" s="7"/>
      <c r="D4" s="7"/>
      <c r="E4" s="273"/>
      <c r="G4" s="3" t="s">
        <v>652</v>
      </c>
      <c r="H4" s="3" t="s">
        <v>351</v>
      </c>
      <c r="J4" s="3"/>
      <c r="K4" s="3" t="s">
        <v>181</v>
      </c>
      <c r="L4" s="4" t="s">
        <v>140</v>
      </c>
      <c r="M4" s="4" t="s">
        <v>381</v>
      </c>
      <c r="N4" s="4" t="s">
        <v>169</v>
      </c>
      <c r="O4" s="3">
        <f>521-10</f>
        <v>511</v>
      </c>
      <c r="P4" s="3">
        <f>485-10</f>
        <v>475</v>
      </c>
      <c r="Q4" s="3">
        <v>400</v>
      </c>
      <c r="R4" s="3">
        <v>3</v>
      </c>
      <c r="S4" s="159">
        <v>4</v>
      </c>
      <c r="T4" t="s">
        <v>617</v>
      </c>
      <c r="V4" s="21">
        <v>35540</v>
      </c>
      <c r="W4" s="3" t="s">
        <v>171</v>
      </c>
      <c r="AA4">
        <v>1</v>
      </c>
    </row>
    <row r="5" spans="1:27" x14ac:dyDescent="0.25">
      <c r="A5" s="113">
        <f>+A4+0.1</f>
        <v>1.2000000000000002</v>
      </c>
      <c r="B5" t="s">
        <v>411</v>
      </c>
      <c r="E5" s="273"/>
      <c r="H5" s="3"/>
      <c r="I5" s="3" t="s">
        <v>653</v>
      </c>
      <c r="J5" s="3" t="s">
        <v>351</v>
      </c>
      <c r="K5" s="163" t="s">
        <v>481</v>
      </c>
      <c r="L5" s="4"/>
      <c r="M5" s="4"/>
      <c r="N5" s="4" t="s">
        <v>169</v>
      </c>
      <c r="O5" s="3">
        <f>621-10</f>
        <v>611</v>
      </c>
      <c r="P5" s="3">
        <f>595-10</f>
        <v>585</v>
      </c>
      <c r="Q5" s="3">
        <v>500</v>
      </c>
      <c r="R5" s="3">
        <v>3</v>
      </c>
      <c r="S5" s="136">
        <v>4</v>
      </c>
      <c r="U5" t="s">
        <v>618</v>
      </c>
      <c r="V5" s="21">
        <v>39650</v>
      </c>
      <c r="W5" s="3" t="s">
        <v>171</v>
      </c>
      <c r="X5" s="89"/>
      <c r="AA5">
        <v>2</v>
      </c>
    </row>
    <row r="6" spans="1:27" x14ac:dyDescent="0.25">
      <c r="A6" s="112"/>
      <c r="H6" s="3"/>
      <c r="J6" s="3"/>
      <c r="L6" s="4"/>
      <c r="M6" s="4"/>
      <c r="N6" s="4"/>
      <c r="V6" s="21"/>
      <c r="X6" s="89"/>
      <c r="AA6">
        <v>0</v>
      </c>
    </row>
    <row r="7" spans="1:27" ht="18" thickBot="1" x14ac:dyDescent="0.35">
      <c r="A7" s="2">
        <v>2</v>
      </c>
      <c r="B7" s="1" t="s">
        <v>4</v>
      </c>
      <c r="C7" s="1"/>
      <c r="D7" s="1"/>
      <c r="G7" s="127"/>
      <c r="H7" s="127"/>
      <c r="I7" s="127"/>
      <c r="J7" s="127"/>
      <c r="K7" s="127"/>
      <c r="L7" s="4"/>
      <c r="M7" s="4"/>
      <c r="N7" s="4"/>
      <c r="O7" s="127"/>
      <c r="P7" s="127"/>
      <c r="Q7" s="127"/>
      <c r="R7" s="127"/>
      <c r="V7" s="21"/>
      <c r="W7" s="127"/>
      <c r="X7" s="89"/>
      <c r="Y7" s="122" t="s">
        <v>439</v>
      </c>
      <c r="AA7">
        <v>0</v>
      </c>
    </row>
    <row r="8" spans="1:27" ht="15.75" hidden="1" thickTop="1" x14ac:dyDescent="0.25">
      <c r="B8" t="s">
        <v>407</v>
      </c>
      <c r="E8" s="272" t="s">
        <v>433</v>
      </c>
      <c r="F8" s="70"/>
      <c r="H8" s="3"/>
      <c r="J8" s="3"/>
      <c r="K8" s="4"/>
      <c r="S8" s="136">
        <v>0</v>
      </c>
      <c r="V8" s="21"/>
      <c r="Y8" s="114">
        <v>0</v>
      </c>
      <c r="AA8">
        <v>0</v>
      </c>
    </row>
    <row r="9" spans="1:27" ht="15.75" thickTop="1" x14ac:dyDescent="0.25">
      <c r="A9" s="113">
        <f>+A$7+0.1</f>
        <v>2.1</v>
      </c>
      <c r="B9" t="s">
        <v>337</v>
      </c>
      <c r="C9" s="4" t="s">
        <v>473</v>
      </c>
      <c r="D9" s="4" t="s">
        <v>473</v>
      </c>
      <c r="E9" s="272"/>
      <c r="F9" s="70"/>
      <c r="G9" s="3" t="s">
        <v>338</v>
      </c>
      <c r="H9" s="3" t="s">
        <v>351</v>
      </c>
      <c r="I9" s="3" t="s">
        <v>338</v>
      </c>
      <c r="J9" s="3" t="s">
        <v>351</v>
      </c>
      <c r="K9" s="4" t="s">
        <v>140</v>
      </c>
      <c r="L9" s="4" t="s">
        <v>339</v>
      </c>
      <c r="M9" s="4" t="s">
        <v>140</v>
      </c>
      <c r="N9" s="4" t="s">
        <v>140</v>
      </c>
      <c r="S9" s="136">
        <v>0</v>
      </c>
      <c r="V9" s="21">
        <v>550</v>
      </c>
      <c r="W9" s="3" t="s">
        <v>172</v>
      </c>
      <c r="X9" s="89" t="s">
        <v>313</v>
      </c>
      <c r="Y9" s="122">
        <v>1</v>
      </c>
      <c r="AA9">
        <v>1</v>
      </c>
    </row>
    <row r="10" spans="1:27" x14ac:dyDescent="0.25">
      <c r="A10" s="113">
        <f>+A9+0.1</f>
        <v>2.2000000000000002</v>
      </c>
      <c r="B10" t="s">
        <v>118</v>
      </c>
      <c r="C10" s="4" t="s">
        <v>473</v>
      </c>
      <c r="D10" s="4" t="s">
        <v>473</v>
      </c>
      <c r="E10" s="272"/>
      <c r="F10" s="70"/>
      <c r="G10" s="3" t="s">
        <v>150</v>
      </c>
      <c r="H10" s="3" t="s">
        <v>351</v>
      </c>
      <c r="I10" s="3" t="s">
        <v>150</v>
      </c>
      <c r="J10" s="3" t="s">
        <v>351</v>
      </c>
      <c r="K10" s="4" t="s">
        <v>140</v>
      </c>
      <c r="L10" s="4" t="s">
        <v>119</v>
      </c>
      <c r="M10" s="4" t="s">
        <v>140</v>
      </c>
      <c r="N10" s="4" t="s">
        <v>140</v>
      </c>
      <c r="S10" s="136">
        <v>0</v>
      </c>
      <c r="V10" s="23">
        <v>300</v>
      </c>
      <c r="W10" s="3" t="s">
        <v>172</v>
      </c>
      <c r="X10" s="89" t="s">
        <v>313</v>
      </c>
      <c r="Y10" s="122">
        <v>0</v>
      </c>
      <c r="AA10">
        <v>2</v>
      </c>
    </row>
    <row r="11" spans="1:27" x14ac:dyDescent="0.25">
      <c r="A11" s="113">
        <f t="shared" ref="A11:A17" si="0">+A10+0.1</f>
        <v>2.3000000000000003</v>
      </c>
      <c r="B11" t="s">
        <v>121</v>
      </c>
      <c r="C11" s="4" t="s">
        <v>473</v>
      </c>
      <c r="D11" s="4" t="s">
        <v>473</v>
      </c>
      <c r="E11" s="272"/>
      <c r="F11" s="70"/>
      <c r="G11" s="3" t="s">
        <v>151</v>
      </c>
      <c r="H11" s="3" t="s">
        <v>351</v>
      </c>
      <c r="I11" s="3" t="s">
        <v>151</v>
      </c>
      <c r="J11" s="3" t="s">
        <v>351</v>
      </c>
      <c r="K11" s="4" t="s">
        <v>140</v>
      </c>
      <c r="L11" s="3" t="s">
        <v>120</v>
      </c>
      <c r="M11" s="4" t="s">
        <v>140</v>
      </c>
      <c r="N11" s="4" t="s">
        <v>140</v>
      </c>
      <c r="S11" s="136">
        <v>0</v>
      </c>
      <c r="V11" s="23">
        <v>330</v>
      </c>
      <c r="W11" s="3" t="s">
        <v>172</v>
      </c>
      <c r="X11" s="89" t="s">
        <v>313</v>
      </c>
      <c r="Y11" s="122">
        <v>0</v>
      </c>
      <c r="AA11">
        <v>3</v>
      </c>
    </row>
    <row r="12" spans="1:27" x14ac:dyDescent="0.25">
      <c r="A12" s="113">
        <f t="shared" si="0"/>
        <v>2.4000000000000004</v>
      </c>
      <c r="B12" t="s">
        <v>124</v>
      </c>
      <c r="C12" s="4" t="s">
        <v>473</v>
      </c>
      <c r="D12" s="4" t="s">
        <v>473</v>
      </c>
      <c r="E12" s="272"/>
      <c r="F12" s="70"/>
      <c r="G12" s="3" t="s">
        <v>152</v>
      </c>
      <c r="H12" s="3" t="s">
        <v>351</v>
      </c>
      <c r="I12" s="3" t="s">
        <v>152</v>
      </c>
      <c r="J12" s="3" t="s">
        <v>351</v>
      </c>
      <c r="K12" s="4" t="s">
        <v>140</v>
      </c>
      <c r="L12" s="3" t="s">
        <v>122</v>
      </c>
      <c r="M12" s="4" t="s">
        <v>140</v>
      </c>
      <c r="N12" s="4" t="s">
        <v>140</v>
      </c>
      <c r="S12" s="136">
        <v>0</v>
      </c>
      <c r="V12" s="23">
        <v>600</v>
      </c>
      <c r="W12" s="3" t="s">
        <v>172</v>
      </c>
      <c r="Y12" s="122">
        <v>0</v>
      </c>
      <c r="AA12">
        <v>4</v>
      </c>
    </row>
    <row r="13" spans="1:27" x14ac:dyDescent="0.25">
      <c r="A13" s="113">
        <f t="shared" si="0"/>
        <v>2.5000000000000004</v>
      </c>
      <c r="B13" t="s">
        <v>125</v>
      </c>
      <c r="C13" s="4" t="s">
        <v>473</v>
      </c>
      <c r="D13" s="4" t="s">
        <v>473</v>
      </c>
      <c r="E13" s="272"/>
      <c r="F13" s="70"/>
      <c r="G13" s="3" t="s">
        <v>153</v>
      </c>
      <c r="H13" s="3" t="s">
        <v>351</v>
      </c>
      <c r="I13" s="3" t="s">
        <v>153</v>
      </c>
      <c r="J13" s="3" t="s">
        <v>351</v>
      </c>
      <c r="K13" s="4" t="s">
        <v>140</v>
      </c>
      <c r="L13" s="3" t="s">
        <v>123</v>
      </c>
      <c r="M13" s="4" t="s">
        <v>140</v>
      </c>
      <c r="N13" s="4" t="s">
        <v>140</v>
      </c>
      <c r="S13" s="136">
        <v>0</v>
      </c>
      <c r="V13" s="23">
        <v>670</v>
      </c>
      <c r="W13" s="3" t="s">
        <v>172</v>
      </c>
      <c r="Y13" s="122">
        <v>0</v>
      </c>
      <c r="AA13">
        <v>5</v>
      </c>
    </row>
    <row r="14" spans="1:27" x14ac:dyDescent="0.25">
      <c r="A14" s="113">
        <f t="shared" si="0"/>
        <v>2.6000000000000005</v>
      </c>
      <c r="B14" t="s">
        <v>359</v>
      </c>
      <c r="C14" s="4" t="s">
        <v>473</v>
      </c>
      <c r="D14" s="4" t="s">
        <v>473</v>
      </c>
      <c r="E14" s="272"/>
      <c r="F14" s="70"/>
      <c r="G14" s="3" t="s">
        <v>154</v>
      </c>
      <c r="H14" s="3" t="s">
        <v>351</v>
      </c>
      <c r="I14" s="3" t="s">
        <v>154</v>
      </c>
      <c r="J14" s="3" t="s">
        <v>351</v>
      </c>
      <c r="K14" s="3" t="s">
        <v>195</v>
      </c>
      <c r="L14" s="3" t="s">
        <v>127</v>
      </c>
      <c r="M14" s="4" t="s">
        <v>140</v>
      </c>
      <c r="N14" s="4" t="s">
        <v>140</v>
      </c>
      <c r="S14" s="136">
        <v>0</v>
      </c>
      <c r="V14" s="23">
        <v>930</v>
      </c>
      <c r="W14" s="3" t="s">
        <v>172</v>
      </c>
      <c r="Y14" s="122">
        <v>0</v>
      </c>
      <c r="AA14">
        <v>6</v>
      </c>
    </row>
    <row r="15" spans="1:27" x14ac:dyDescent="0.25">
      <c r="A15" s="113">
        <f t="shared" si="0"/>
        <v>2.7000000000000006</v>
      </c>
      <c r="B15" t="s">
        <v>360</v>
      </c>
      <c r="C15" s="4" t="s">
        <v>473</v>
      </c>
      <c r="D15" s="4" t="s">
        <v>473</v>
      </c>
      <c r="E15" s="272"/>
      <c r="F15" s="70"/>
      <c r="G15" s="3" t="s">
        <v>155</v>
      </c>
      <c r="H15" s="3" t="s">
        <v>351</v>
      </c>
      <c r="I15" s="3" t="s">
        <v>155</v>
      </c>
      <c r="J15" s="3" t="s">
        <v>351</v>
      </c>
      <c r="K15" s="3" t="s">
        <v>196</v>
      </c>
      <c r="L15" s="3" t="s">
        <v>126</v>
      </c>
      <c r="M15" s="4" t="s">
        <v>140</v>
      </c>
      <c r="N15" s="4" t="s">
        <v>140</v>
      </c>
      <c r="S15" s="136">
        <v>0</v>
      </c>
      <c r="V15" s="23">
        <v>2880</v>
      </c>
      <c r="W15" s="3" t="s">
        <v>172</v>
      </c>
      <c r="Y15" s="122">
        <v>0</v>
      </c>
      <c r="AA15">
        <v>7</v>
      </c>
    </row>
    <row r="16" spans="1:27" x14ac:dyDescent="0.25">
      <c r="A16" s="113">
        <f t="shared" si="0"/>
        <v>2.8000000000000007</v>
      </c>
      <c r="B16" t="s">
        <v>361</v>
      </c>
      <c r="C16" s="4" t="s">
        <v>473</v>
      </c>
      <c r="D16" s="4" t="s">
        <v>473</v>
      </c>
      <c r="E16" s="272"/>
      <c r="F16" s="70"/>
      <c r="G16" s="3" t="s">
        <v>363</v>
      </c>
      <c r="H16" s="3" t="s">
        <v>351</v>
      </c>
      <c r="I16" s="3" t="s">
        <v>363</v>
      </c>
      <c r="J16" s="3" t="s">
        <v>351</v>
      </c>
      <c r="K16" s="3" t="s">
        <v>365</v>
      </c>
      <c r="L16" s="3" t="s">
        <v>367</v>
      </c>
      <c r="M16" s="4" t="s">
        <v>140</v>
      </c>
      <c r="N16" s="4" t="s">
        <v>140</v>
      </c>
      <c r="S16" s="136">
        <v>0</v>
      </c>
      <c r="V16" s="23">
        <v>1340</v>
      </c>
      <c r="W16" s="3" t="s">
        <v>172</v>
      </c>
      <c r="Y16" s="122">
        <v>0</v>
      </c>
      <c r="AA16">
        <v>8</v>
      </c>
    </row>
    <row r="17" spans="1:27" x14ac:dyDescent="0.25">
      <c r="A17" s="113">
        <f t="shared" si="0"/>
        <v>2.9000000000000008</v>
      </c>
      <c r="B17" t="s">
        <v>362</v>
      </c>
      <c r="C17" s="4" t="s">
        <v>473</v>
      </c>
      <c r="D17" s="4" t="s">
        <v>473</v>
      </c>
      <c r="E17" s="272"/>
      <c r="F17" s="70"/>
      <c r="G17" s="3" t="s">
        <v>364</v>
      </c>
      <c r="H17" s="3" t="s">
        <v>351</v>
      </c>
      <c r="I17" s="3" t="s">
        <v>364</v>
      </c>
      <c r="J17" s="3" t="s">
        <v>351</v>
      </c>
      <c r="K17" s="3" t="s">
        <v>366</v>
      </c>
      <c r="L17" s="3" t="s">
        <v>368</v>
      </c>
      <c r="M17" s="4" t="s">
        <v>140</v>
      </c>
      <c r="N17" s="4" t="s">
        <v>140</v>
      </c>
      <c r="S17" s="136">
        <v>0</v>
      </c>
      <c r="V17" s="23">
        <v>3300</v>
      </c>
      <c r="W17" s="3" t="s">
        <v>172</v>
      </c>
      <c r="Y17" s="122">
        <v>0</v>
      </c>
      <c r="AA17">
        <v>9</v>
      </c>
    </row>
    <row r="18" spans="1:27" x14ac:dyDescent="0.25">
      <c r="A18" s="117">
        <v>2.1</v>
      </c>
      <c r="B18" t="s">
        <v>131</v>
      </c>
      <c r="C18" s="4" t="s">
        <v>473</v>
      </c>
      <c r="D18" s="4" t="s">
        <v>473</v>
      </c>
      <c r="E18" s="272"/>
      <c r="F18" s="70"/>
      <c r="G18" s="3" t="s">
        <v>156</v>
      </c>
      <c r="H18" s="3" t="s">
        <v>377</v>
      </c>
      <c r="I18" s="3" t="s">
        <v>156</v>
      </c>
      <c r="J18" s="3" t="s">
        <v>377</v>
      </c>
      <c r="K18" s="3" t="s">
        <v>197</v>
      </c>
      <c r="L18" s="3" t="s">
        <v>128</v>
      </c>
      <c r="M18" s="4" t="s">
        <v>140</v>
      </c>
      <c r="N18" s="4" t="s">
        <v>140</v>
      </c>
      <c r="S18" s="136">
        <v>0</v>
      </c>
      <c r="V18" s="23">
        <v>1020</v>
      </c>
      <c r="W18" s="3" t="s">
        <v>172</v>
      </c>
      <c r="X18" s="89" t="s">
        <v>313</v>
      </c>
      <c r="Y18" s="122">
        <v>0</v>
      </c>
      <c r="AA18">
        <v>10</v>
      </c>
    </row>
    <row r="19" spans="1:27" x14ac:dyDescent="0.25">
      <c r="A19" s="117">
        <f>+A18+0.01</f>
        <v>2.11</v>
      </c>
      <c r="B19" t="s">
        <v>132</v>
      </c>
      <c r="C19" s="4" t="s">
        <v>473</v>
      </c>
      <c r="D19" s="4" t="s">
        <v>473</v>
      </c>
      <c r="E19" s="272"/>
      <c r="F19" s="70"/>
      <c r="G19" s="3" t="s">
        <v>157</v>
      </c>
      <c r="H19" s="3" t="s">
        <v>377</v>
      </c>
      <c r="I19" s="3" t="s">
        <v>157</v>
      </c>
      <c r="J19" s="3" t="s">
        <v>377</v>
      </c>
      <c r="K19" s="3" t="s">
        <v>198</v>
      </c>
      <c r="L19" s="3" t="s">
        <v>130</v>
      </c>
      <c r="M19" s="4" t="s">
        <v>140</v>
      </c>
      <c r="N19" s="4" t="s">
        <v>140</v>
      </c>
      <c r="S19" s="136">
        <v>0</v>
      </c>
      <c r="V19" s="23">
        <v>2150</v>
      </c>
      <c r="W19" s="3" t="s">
        <v>172</v>
      </c>
      <c r="X19" s="89" t="s">
        <v>313</v>
      </c>
      <c r="Y19" s="122">
        <v>0</v>
      </c>
      <c r="AA19">
        <v>11</v>
      </c>
    </row>
    <row r="20" spans="1:27" x14ac:dyDescent="0.25">
      <c r="A20" s="117">
        <f t="shared" ref="A20:A29" si="1">+A19+0.01</f>
        <v>2.1199999999999997</v>
      </c>
      <c r="B20" t="s">
        <v>133</v>
      </c>
      <c r="C20" s="4" t="s">
        <v>473</v>
      </c>
      <c r="D20" s="4" t="s">
        <v>473</v>
      </c>
      <c r="E20" s="272"/>
      <c r="F20" s="70"/>
      <c r="G20" s="3" t="s">
        <v>158</v>
      </c>
      <c r="H20" s="3" t="s">
        <v>377</v>
      </c>
      <c r="I20" s="3" t="s">
        <v>158</v>
      </c>
      <c r="J20" s="3" t="s">
        <v>377</v>
      </c>
      <c r="K20" s="3" t="s">
        <v>199</v>
      </c>
      <c r="L20" s="3" t="s">
        <v>129</v>
      </c>
      <c r="M20" s="4" t="s">
        <v>140</v>
      </c>
      <c r="N20" s="4" t="s">
        <v>140</v>
      </c>
      <c r="S20" s="136">
        <v>0</v>
      </c>
      <c r="V20" s="23">
        <v>2980</v>
      </c>
      <c r="W20" s="3" t="s">
        <v>172</v>
      </c>
      <c r="X20" s="89" t="s">
        <v>313</v>
      </c>
      <c r="Y20" s="122">
        <v>0</v>
      </c>
      <c r="AA20">
        <v>12</v>
      </c>
    </row>
    <row r="21" spans="1:27" x14ac:dyDescent="0.25">
      <c r="A21" s="117">
        <f t="shared" si="1"/>
        <v>2.1299999999999994</v>
      </c>
      <c r="B21" t="s">
        <v>395</v>
      </c>
      <c r="C21" s="4" t="s">
        <v>473</v>
      </c>
      <c r="D21" s="4" t="s">
        <v>473</v>
      </c>
      <c r="E21" s="272"/>
      <c r="F21" s="70"/>
      <c r="G21" s="3" t="s">
        <v>398</v>
      </c>
      <c r="H21" s="3" t="s">
        <v>351</v>
      </c>
      <c r="I21" s="3" t="s">
        <v>398</v>
      </c>
      <c r="J21" s="3" t="s">
        <v>351</v>
      </c>
      <c r="K21" s="3" t="s">
        <v>401</v>
      </c>
      <c r="L21" s="3" t="s">
        <v>404</v>
      </c>
      <c r="M21" s="4" t="s">
        <v>140</v>
      </c>
      <c r="N21" s="4" t="s">
        <v>140</v>
      </c>
      <c r="S21" s="136">
        <v>0</v>
      </c>
      <c r="V21" s="23">
        <v>2060</v>
      </c>
      <c r="W21" s="3" t="s">
        <v>172</v>
      </c>
      <c r="X21" s="89"/>
      <c r="Y21" s="122">
        <v>0</v>
      </c>
      <c r="AA21">
        <v>13</v>
      </c>
    </row>
    <row r="22" spans="1:27" x14ac:dyDescent="0.25">
      <c r="A22" s="117">
        <f t="shared" si="1"/>
        <v>2.1399999999999992</v>
      </c>
      <c r="B22" t="s">
        <v>396</v>
      </c>
      <c r="C22" s="4" t="s">
        <v>473</v>
      </c>
      <c r="D22" s="4" t="s">
        <v>473</v>
      </c>
      <c r="E22" s="272"/>
      <c r="F22" s="70"/>
      <c r="G22" s="3" t="s">
        <v>399</v>
      </c>
      <c r="H22" s="3" t="s">
        <v>351</v>
      </c>
      <c r="I22" s="3" t="s">
        <v>399</v>
      </c>
      <c r="J22" s="3" t="s">
        <v>351</v>
      </c>
      <c r="K22" s="3" t="s">
        <v>402</v>
      </c>
      <c r="L22" s="3" t="s">
        <v>405</v>
      </c>
      <c r="M22" s="4" t="s">
        <v>140</v>
      </c>
      <c r="N22" s="4" t="s">
        <v>140</v>
      </c>
      <c r="S22" s="136">
        <v>0</v>
      </c>
      <c r="V22" s="23">
        <v>3190</v>
      </c>
      <c r="W22" s="3" t="s">
        <v>172</v>
      </c>
      <c r="X22" s="89"/>
      <c r="Y22" s="122">
        <v>0</v>
      </c>
      <c r="AA22">
        <v>14</v>
      </c>
    </row>
    <row r="23" spans="1:27" x14ac:dyDescent="0.25">
      <c r="A23" s="117">
        <f t="shared" si="1"/>
        <v>2.149999999999999</v>
      </c>
      <c r="B23" t="s">
        <v>397</v>
      </c>
      <c r="C23" s="4" t="s">
        <v>473</v>
      </c>
      <c r="D23" s="4" t="s">
        <v>473</v>
      </c>
      <c r="E23" s="272"/>
      <c r="F23" s="70"/>
      <c r="G23" s="3" t="s">
        <v>400</v>
      </c>
      <c r="H23" s="3" t="s">
        <v>351</v>
      </c>
      <c r="I23" s="3" t="s">
        <v>400</v>
      </c>
      <c r="J23" s="3" t="s">
        <v>351</v>
      </c>
      <c r="K23" s="3" t="s">
        <v>403</v>
      </c>
      <c r="L23" s="3" t="s">
        <v>406</v>
      </c>
      <c r="M23" s="4" t="s">
        <v>140</v>
      </c>
      <c r="N23" s="4" t="s">
        <v>140</v>
      </c>
      <c r="S23" s="136">
        <v>0</v>
      </c>
      <c r="V23" s="23">
        <v>4020</v>
      </c>
      <c r="W23" s="3" t="s">
        <v>172</v>
      </c>
      <c r="X23" s="89"/>
      <c r="Y23" s="122">
        <v>0</v>
      </c>
      <c r="AA23">
        <v>15</v>
      </c>
    </row>
    <row r="24" spans="1:27" x14ac:dyDescent="0.25">
      <c r="A24" s="117">
        <f t="shared" si="1"/>
        <v>2.1599999999999988</v>
      </c>
      <c r="B24" t="s">
        <v>134</v>
      </c>
      <c r="C24" s="4" t="s">
        <v>473</v>
      </c>
      <c r="D24" s="4" t="s">
        <v>473</v>
      </c>
      <c r="E24" s="272"/>
      <c r="F24" s="70"/>
      <c r="G24" s="3" t="s">
        <v>159</v>
      </c>
      <c r="H24" s="3" t="s">
        <v>377</v>
      </c>
      <c r="I24" s="3" t="s">
        <v>159</v>
      </c>
      <c r="J24" s="3" t="s">
        <v>377</v>
      </c>
      <c r="K24" s="3" t="s">
        <v>200</v>
      </c>
      <c r="L24" s="3" t="s">
        <v>139</v>
      </c>
      <c r="M24" s="4" t="s">
        <v>140</v>
      </c>
      <c r="N24" s="4" t="s">
        <v>140</v>
      </c>
      <c r="S24" s="136">
        <v>0</v>
      </c>
      <c r="V24" s="23">
        <v>2420</v>
      </c>
      <c r="W24" s="3" t="s">
        <v>172</v>
      </c>
      <c r="X24" s="89" t="s">
        <v>313</v>
      </c>
      <c r="Y24" s="122">
        <v>0</v>
      </c>
      <c r="AA24">
        <v>16</v>
      </c>
    </row>
    <row r="25" spans="1:27" x14ac:dyDescent="0.25">
      <c r="A25" s="117">
        <f>+A24+0.01</f>
        <v>2.1699999999999986</v>
      </c>
      <c r="B25" t="s">
        <v>135</v>
      </c>
      <c r="C25" s="4" t="s">
        <v>473</v>
      </c>
      <c r="D25" s="4" t="s">
        <v>473</v>
      </c>
      <c r="E25" s="272"/>
      <c r="F25" s="70"/>
      <c r="G25" s="3" t="s">
        <v>160</v>
      </c>
      <c r="H25" s="3" t="s">
        <v>377</v>
      </c>
      <c r="I25" s="3" t="s">
        <v>160</v>
      </c>
      <c r="J25" s="3" t="s">
        <v>377</v>
      </c>
      <c r="K25" s="3" t="s">
        <v>201</v>
      </c>
      <c r="L25" s="3" t="s">
        <v>138</v>
      </c>
      <c r="M25" s="4" t="s">
        <v>140</v>
      </c>
      <c r="N25" s="4" t="s">
        <v>140</v>
      </c>
      <c r="S25" s="136">
        <v>0</v>
      </c>
      <c r="V25" s="23">
        <v>3550</v>
      </c>
      <c r="W25" s="3" t="s">
        <v>172</v>
      </c>
      <c r="X25" s="89" t="s">
        <v>313</v>
      </c>
      <c r="Y25" s="122">
        <v>0</v>
      </c>
      <c r="AA25">
        <v>17</v>
      </c>
    </row>
    <row r="26" spans="1:27" x14ac:dyDescent="0.25">
      <c r="A26" s="117">
        <f t="shared" si="1"/>
        <v>2.1799999999999984</v>
      </c>
      <c r="B26" t="s">
        <v>136</v>
      </c>
      <c r="C26" s="4" t="s">
        <v>473</v>
      </c>
      <c r="D26" s="4" t="s">
        <v>473</v>
      </c>
      <c r="E26" s="272"/>
      <c r="F26" s="70"/>
      <c r="G26" s="3" t="s">
        <v>161</v>
      </c>
      <c r="H26" s="3" t="s">
        <v>377</v>
      </c>
      <c r="I26" s="3" t="s">
        <v>161</v>
      </c>
      <c r="J26" s="3" t="s">
        <v>377</v>
      </c>
      <c r="K26" s="3" t="s">
        <v>202</v>
      </c>
      <c r="L26" s="3" t="s">
        <v>137</v>
      </c>
      <c r="M26" s="4" t="s">
        <v>140</v>
      </c>
      <c r="N26" s="4" t="s">
        <v>140</v>
      </c>
      <c r="S26" s="136">
        <v>0</v>
      </c>
      <c r="V26" s="23">
        <v>4380</v>
      </c>
      <c r="W26" s="3" t="s">
        <v>172</v>
      </c>
      <c r="X26" s="89" t="s">
        <v>313</v>
      </c>
      <c r="Y26" s="122">
        <v>0</v>
      </c>
      <c r="AA26">
        <v>18</v>
      </c>
    </row>
    <row r="27" spans="1:27" x14ac:dyDescent="0.25">
      <c r="A27" s="117">
        <f>+A26+0.01</f>
        <v>2.1899999999999982</v>
      </c>
      <c r="B27" t="s">
        <v>369</v>
      </c>
      <c r="C27" s="4" t="s">
        <v>473</v>
      </c>
      <c r="D27" s="4" t="s">
        <v>473</v>
      </c>
      <c r="E27" s="272"/>
      <c r="F27" s="70"/>
      <c r="G27" s="3" t="s">
        <v>370</v>
      </c>
      <c r="H27" s="3" t="s">
        <v>351</v>
      </c>
      <c r="I27" s="3" t="s">
        <v>370</v>
      </c>
      <c r="J27" s="3" t="s">
        <v>351</v>
      </c>
      <c r="K27" s="3" t="s">
        <v>371</v>
      </c>
      <c r="L27" s="3" t="s">
        <v>380</v>
      </c>
      <c r="M27" s="4" t="s">
        <v>140</v>
      </c>
      <c r="N27" s="4" t="s">
        <v>140</v>
      </c>
      <c r="S27" s="136">
        <v>0</v>
      </c>
      <c r="V27" s="23">
        <v>4790</v>
      </c>
      <c r="W27" s="3" t="s">
        <v>172</v>
      </c>
      <c r="X27" s="89"/>
      <c r="Y27" s="122">
        <v>0</v>
      </c>
      <c r="AA27">
        <v>19</v>
      </c>
    </row>
    <row r="28" spans="1:27" x14ac:dyDescent="0.25">
      <c r="A28" s="117">
        <f t="shared" si="1"/>
        <v>2.199999999999998</v>
      </c>
      <c r="B28" t="s">
        <v>534</v>
      </c>
      <c r="C28" s="4" t="s">
        <v>473</v>
      </c>
      <c r="D28" s="4" t="s">
        <v>473</v>
      </c>
      <c r="E28" s="272"/>
      <c r="F28" s="70"/>
      <c r="G28" s="195" t="str">
        <f>+IF('WORKCELL CONFIGURATOR'!$H$5="","",(IF('WORKCELL CONFIGURATOR'!$H$5=Data!$C$4,"612-2346-1","612-2346-2")))</f>
        <v>612-2346-1</v>
      </c>
      <c r="H28" s="182" t="s">
        <v>351</v>
      </c>
      <c r="I28" s="195" t="str">
        <f>+IF('WORKCELL CONFIGURATOR'!$H$5="","",(IF('WORKCELL CONFIGURATOR'!$H$5=Data!$C$4,"612-2346-3","612-2346-4")))</f>
        <v>612-2346-3</v>
      </c>
      <c r="J28" s="182" t="s">
        <v>351</v>
      </c>
      <c r="K28" s="182" t="s">
        <v>522</v>
      </c>
      <c r="L28" s="182"/>
      <c r="M28" s="4"/>
      <c r="N28" s="4"/>
      <c r="O28" s="182"/>
      <c r="P28" s="182"/>
      <c r="Q28" s="182"/>
      <c r="R28" s="182"/>
      <c r="S28" s="183"/>
      <c r="V28" s="23">
        <v>15100</v>
      </c>
      <c r="W28" s="182" t="s">
        <v>172</v>
      </c>
      <c r="X28" s="89"/>
      <c r="Y28" s="183">
        <v>0</v>
      </c>
      <c r="AA28">
        <v>20</v>
      </c>
    </row>
    <row r="29" spans="1:27" x14ac:dyDescent="0.25">
      <c r="A29" s="117">
        <f t="shared" si="1"/>
        <v>2.2099999999999977</v>
      </c>
      <c r="B29" t="s">
        <v>335</v>
      </c>
      <c r="C29" s="4" t="s">
        <v>473</v>
      </c>
      <c r="D29" s="4" t="s">
        <v>473</v>
      </c>
      <c r="E29" s="272"/>
      <c r="F29" s="70"/>
      <c r="G29" s="3" t="s">
        <v>336</v>
      </c>
      <c r="H29" s="3" t="s">
        <v>351</v>
      </c>
      <c r="I29" s="3" t="s">
        <v>336</v>
      </c>
      <c r="J29" s="3" t="s">
        <v>351</v>
      </c>
      <c r="K29" s="3" t="s">
        <v>140</v>
      </c>
      <c r="L29" s="3" t="s">
        <v>140</v>
      </c>
      <c r="M29" s="4" t="s">
        <v>140</v>
      </c>
      <c r="N29" s="4" t="s">
        <v>140</v>
      </c>
      <c r="S29" s="136">
        <v>0</v>
      </c>
      <c r="V29" s="23">
        <v>1960</v>
      </c>
      <c r="W29" s="3" t="s">
        <v>172</v>
      </c>
      <c r="X29" s="89" t="s">
        <v>313</v>
      </c>
      <c r="Y29" s="122">
        <v>0</v>
      </c>
      <c r="AA29">
        <v>21</v>
      </c>
    </row>
    <row r="30" spans="1:27" x14ac:dyDescent="0.25">
      <c r="A30" s="117"/>
      <c r="E30" s="128"/>
      <c r="G30" s="127"/>
      <c r="H30" s="127"/>
      <c r="I30" s="127"/>
      <c r="J30" s="127"/>
      <c r="K30" s="127"/>
      <c r="L30" s="127"/>
      <c r="M30" s="4"/>
      <c r="N30" s="4"/>
      <c r="O30" s="127"/>
      <c r="P30" s="127"/>
      <c r="Q30" s="127"/>
      <c r="R30" s="127"/>
      <c r="V30" s="23"/>
      <c r="W30" s="127"/>
      <c r="X30" s="89"/>
      <c r="Y30" s="122"/>
    </row>
    <row r="31" spans="1:27" ht="18" thickBot="1" x14ac:dyDescent="0.35">
      <c r="A31" s="2">
        <v>3</v>
      </c>
      <c r="B31" s="1" t="s">
        <v>412</v>
      </c>
      <c r="C31" s="1"/>
      <c r="D31" s="1"/>
      <c r="E31" s="119"/>
      <c r="F31" s="119"/>
      <c r="H31" s="3"/>
      <c r="J31" s="3"/>
      <c r="L31" s="4"/>
      <c r="M31" s="4"/>
      <c r="N31" s="4"/>
      <c r="V31" s="21"/>
      <c r="X31" s="89"/>
      <c r="Y31" s="114" t="s">
        <v>419</v>
      </c>
    </row>
    <row r="32" spans="1:27" ht="18" hidden="1" thickTop="1" x14ac:dyDescent="0.3">
      <c r="A32" s="130"/>
      <c r="B32" s="7" t="s">
        <v>407</v>
      </c>
      <c r="C32" s="7"/>
      <c r="D32" s="7"/>
      <c r="E32" s="272" t="s">
        <v>438</v>
      </c>
      <c r="F32" s="119"/>
      <c r="G32" s="131"/>
      <c r="H32" s="131"/>
      <c r="I32" s="131"/>
      <c r="J32" s="131"/>
      <c r="K32" s="131"/>
      <c r="L32" s="4"/>
      <c r="M32" s="4"/>
      <c r="N32" s="4"/>
      <c r="O32" s="131"/>
      <c r="P32" s="131"/>
      <c r="Q32" s="131"/>
      <c r="R32" s="131"/>
      <c r="S32" s="136">
        <v>0</v>
      </c>
      <c r="V32" s="21"/>
      <c r="W32" s="131"/>
      <c r="X32" s="89"/>
      <c r="Y32" s="122"/>
    </row>
    <row r="33" spans="1:27" ht="15.75" thickTop="1" x14ac:dyDescent="0.25">
      <c r="A33" s="113">
        <f>+A$31+0.1</f>
        <v>3.1</v>
      </c>
      <c r="B33" s="7" t="s">
        <v>487</v>
      </c>
      <c r="C33" s="4" t="s">
        <v>473</v>
      </c>
      <c r="D33" s="4" t="s">
        <v>473</v>
      </c>
      <c r="E33" s="272"/>
      <c r="G33" s="155" t="s">
        <v>422</v>
      </c>
      <c r="H33" s="3" t="s">
        <v>351</v>
      </c>
      <c r="I33" s="155" t="s">
        <v>422</v>
      </c>
      <c r="J33" s="3" t="s">
        <v>351</v>
      </c>
      <c r="K33" s="4" t="s">
        <v>140</v>
      </c>
      <c r="L33" s="4" t="s">
        <v>140</v>
      </c>
      <c r="M33" s="4" t="s">
        <v>140</v>
      </c>
      <c r="N33" s="4" t="s">
        <v>140</v>
      </c>
      <c r="O33" s="3">
        <v>0</v>
      </c>
      <c r="P33" s="3">
        <v>-64</v>
      </c>
      <c r="Q33" s="3">
        <v>-244</v>
      </c>
      <c r="S33" s="136">
        <v>0</v>
      </c>
      <c r="V33" s="165">
        <v>0</v>
      </c>
      <c r="W33" s="3" t="s">
        <v>171</v>
      </c>
      <c r="X33" s="89" t="s">
        <v>313</v>
      </c>
      <c r="Y33" s="114">
        <v>2</v>
      </c>
      <c r="AA33">
        <v>1</v>
      </c>
    </row>
    <row r="34" spans="1:27" x14ac:dyDescent="0.25">
      <c r="A34" s="113">
        <f>+A33+0.1</f>
        <v>3.2</v>
      </c>
      <c r="B34" s="156" t="s">
        <v>488</v>
      </c>
      <c r="C34" s="4" t="s">
        <v>473</v>
      </c>
      <c r="D34" s="4" t="s">
        <v>473</v>
      </c>
      <c r="E34" s="272"/>
      <c r="G34" s="155" t="s">
        <v>468</v>
      </c>
      <c r="H34" s="155" t="s">
        <v>351</v>
      </c>
      <c r="I34" s="155" t="s">
        <v>468</v>
      </c>
      <c r="J34" s="155" t="s">
        <v>351</v>
      </c>
      <c r="K34" s="4" t="s">
        <v>140</v>
      </c>
      <c r="L34" s="4" t="s">
        <v>140</v>
      </c>
      <c r="M34" s="4" t="s">
        <v>140</v>
      </c>
      <c r="N34" s="4" t="s">
        <v>140</v>
      </c>
      <c r="O34" s="155">
        <v>-9</v>
      </c>
      <c r="P34" s="155">
        <v>-59</v>
      </c>
      <c r="Q34" s="155">
        <v>-232</v>
      </c>
      <c r="R34" s="155"/>
      <c r="S34" s="136">
        <v>0</v>
      </c>
      <c r="V34" s="165">
        <v>0</v>
      </c>
      <c r="W34" s="155" t="s">
        <v>171</v>
      </c>
      <c r="X34" s="89" t="s">
        <v>313</v>
      </c>
      <c r="Y34" s="136">
        <v>2</v>
      </c>
      <c r="AA34">
        <v>2</v>
      </c>
    </row>
    <row r="35" spans="1:27" x14ac:dyDescent="0.25">
      <c r="A35" s="113">
        <f t="shared" ref="A35:A41" si="2">+A34+0.1</f>
        <v>3.3000000000000003</v>
      </c>
      <c r="B35" t="s">
        <v>489</v>
      </c>
      <c r="C35" s="4" t="s">
        <v>473</v>
      </c>
      <c r="D35" s="4" t="s">
        <v>473</v>
      </c>
      <c r="E35" s="272"/>
      <c r="G35" s="155" t="s">
        <v>469</v>
      </c>
      <c r="H35" s="116" t="s">
        <v>351</v>
      </c>
      <c r="I35" s="155" t="s">
        <v>469</v>
      </c>
      <c r="J35" s="116" t="s">
        <v>351</v>
      </c>
      <c r="K35" s="4" t="s">
        <v>140</v>
      </c>
      <c r="L35" s="4" t="s">
        <v>140</v>
      </c>
      <c r="M35" s="4" t="s">
        <v>140</v>
      </c>
      <c r="N35" s="4" t="s">
        <v>140</v>
      </c>
      <c r="O35" s="3">
        <v>-89</v>
      </c>
      <c r="P35" s="3">
        <v>-49</v>
      </c>
      <c r="Q35" s="3">
        <v>-228</v>
      </c>
      <c r="S35" s="136">
        <v>0</v>
      </c>
      <c r="V35" s="165">
        <v>0</v>
      </c>
      <c r="W35" s="155" t="s">
        <v>171</v>
      </c>
      <c r="X35" s="89" t="s">
        <v>313</v>
      </c>
      <c r="Y35" s="114">
        <v>3</v>
      </c>
      <c r="AA35">
        <v>3</v>
      </c>
    </row>
    <row r="36" spans="1:27" x14ac:dyDescent="0.25">
      <c r="A36" s="113">
        <f t="shared" si="2"/>
        <v>3.4000000000000004</v>
      </c>
      <c r="B36" t="s">
        <v>490</v>
      </c>
      <c r="C36" s="4" t="s">
        <v>473</v>
      </c>
      <c r="D36" s="4" t="s">
        <v>473</v>
      </c>
      <c r="E36" s="272"/>
      <c r="G36" s="155" t="s">
        <v>470</v>
      </c>
      <c r="H36" s="3" t="s">
        <v>351</v>
      </c>
      <c r="I36" s="155" t="s">
        <v>470</v>
      </c>
      <c r="J36" s="3" t="s">
        <v>351</v>
      </c>
      <c r="K36" s="4" t="s">
        <v>140</v>
      </c>
      <c r="L36" s="4" t="s">
        <v>140</v>
      </c>
      <c r="M36" s="4" t="s">
        <v>140</v>
      </c>
      <c r="N36" s="4" t="s">
        <v>140</v>
      </c>
      <c r="O36" s="3">
        <v>-21</v>
      </c>
      <c r="P36" s="3">
        <v>-84</v>
      </c>
      <c r="Q36" s="3">
        <v>-284</v>
      </c>
      <c r="S36" s="136">
        <v>0</v>
      </c>
      <c r="V36" s="165">
        <v>3300</v>
      </c>
      <c r="W36" s="155" t="s">
        <v>171</v>
      </c>
      <c r="X36" s="89" t="s">
        <v>313</v>
      </c>
      <c r="Y36" s="114">
        <v>2</v>
      </c>
      <c r="AA36">
        <v>4</v>
      </c>
    </row>
    <row r="37" spans="1:27" x14ac:dyDescent="0.25">
      <c r="A37" s="113">
        <f t="shared" si="2"/>
        <v>3.5000000000000004</v>
      </c>
      <c r="B37" t="s">
        <v>521</v>
      </c>
      <c r="C37" s="4" t="s">
        <v>473</v>
      </c>
      <c r="D37" s="4" t="s">
        <v>473</v>
      </c>
      <c r="E37" s="272"/>
      <c r="G37" s="176" t="s">
        <v>513</v>
      </c>
      <c r="H37" s="176" t="s">
        <v>351</v>
      </c>
      <c r="I37" s="176" t="s">
        <v>513</v>
      </c>
      <c r="J37" s="176" t="s">
        <v>351</v>
      </c>
      <c r="K37" s="4" t="s">
        <v>140</v>
      </c>
      <c r="L37" s="4" t="s">
        <v>140</v>
      </c>
      <c r="M37" s="4" t="s">
        <v>140</v>
      </c>
      <c r="N37" s="4" t="s">
        <v>140</v>
      </c>
      <c r="O37" s="176">
        <v>-89</v>
      </c>
      <c r="P37" s="176">
        <v>-84</v>
      </c>
      <c r="Q37" s="176">
        <v>-282</v>
      </c>
      <c r="R37" s="176"/>
      <c r="S37" s="177">
        <v>0</v>
      </c>
      <c r="V37" s="165">
        <v>3300</v>
      </c>
      <c r="W37" s="176" t="s">
        <v>171</v>
      </c>
      <c r="X37" s="89" t="s">
        <v>313</v>
      </c>
      <c r="Y37" s="177">
        <v>3</v>
      </c>
      <c r="AA37">
        <v>5</v>
      </c>
    </row>
    <row r="38" spans="1:27" x14ac:dyDescent="0.25">
      <c r="A38" s="113">
        <f t="shared" si="2"/>
        <v>3.6000000000000005</v>
      </c>
      <c r="B38" t="s">
        <v>592</v>
      </c>
      <c r="C38" s="4" t="s">
        <v>473</v>
      </c>
      <c r="D38" s="4" t="s">
        <v>473</v>
      </c>
      <c r="E38" s="272"/>
      <c r="G38" s="196" t="str">
        <f>+IF('WORKCELL CONFIGURATOR'!$H$31=Data!$B$4,"612-3338-1","612-3336-1")</f>
        <v>612-3338-1</v>
      </c>
      <c r="H38" s="196" t="s">
        <v>351</v>
      </c>
      <c r="I38" s="238" t="str">
        <f>+IF('WORKCELL CONFIGURATOR'!$H$31=Data!$B$4,"612-3338-1","612-3336-1")</f>
        <v>612-3338-1</v>
      </c>
      <c r="J38" s="196" t="s">
        <v>351</v>
      </c>
      <c r="K38" s="4" t="s">
        <v>140</v>
      </c>
      <c r="L38" s="4" t="s">
        <v>140</v>
      </c>
      <c r="M38" s="4" t="s">
        <v>140</v>
      </c>
      <c r="N38" s="4" t="s">
        <v>140</v>
      </c>
      <c r="O38" s="196">
        <v>-64</v>
      </c>
      <c r="P38" s="196">
        <v>-125</v>
      </c>
      <c r="Q38" s="196">
        <v>-289</v>
      </c>
      <c r="R38" s="196"/>
      <c r="S38" s="197">
        <v>0</v>
      </c>
      <c r="V38" s="165">
        <v>2780</v>
      </c>
      <c r="W38" s="196" t="s">
        <v>171</v>
      </c>
      <c r="X38" s="89" t="s">
        <v>313</v>
      </c>
      <c r="Y38" s="197">
        <v>4</v>
      </c>
      <c r="AA38">
        <v>6</v>
      </c>
    </row>
    <row r="39" spans="1:27" x14ac:dyDescent="0.25">
      <c r="A39" s="217">
        <f t="shared" si="2"/>
        <v>3.7000000000000006</v>
      </c>
      <c r="B39" t="s">
        <v>641</v>
      </c>
      <c r="C39" s="4" t="s">
        <v>473</v>
      </c>
      <c r="D39" s="4" t="s">
        <v>473</v>
      </c>
      <c r="E39" s="272"/>
      <c r="G39" s="242" t="s">
        <v>639</v>
      </c>
      <c r="H39" s="242" t="s">
        <v>351</v>
      </c>
      <c r="I39" s="242" t="s">
        <v>639</v>
      </c>
      <c r="J39" s="242" t="s">
        <v>351</v>
      </c>
      <c r="K39" s="4" t="s">
        <v>140</v>
      </c>
      <c r="L39" s="4" t="s">
        <v>140</v>
      </c>
      <c r="M39" s="4" t="s">
        <v>140</v>
      </c>
      <c r="N39" s="4" t="s">
        <v>140</v>
      </c>
      <c r="O39" s="242"/>
      <c r="P39" s="242"/>
      <c r="Q39" s="242"/>
      <c r="R39" s="242"/>
      <c r="S39" s="215">
        <v>0</v>
      </c>
      <c r="V39" s="165">
        <v>16430</v>
      </c>
      <c r="W39" s="242" t="s">
        <v>171</v>
      </c>
      <c r="X39" s="89"/>
      <c r="Y39" s="215">
        <v>2</v>
      </c>
      <c r="AA39">
        <v>7</v>
      </c>
    </row>
    <row r="40" spans="1:27" x14ac:dyDescent="0.25">
      <c r="A40" s="217">
        <f t="shared" si="2"/>
        <v>3.8000000000000007</v>
      </c>
      <c r="B40" t="s">
        <v>638</v>
      </c>
      <c r="C40" s="4" t="s">
        <v>473</v>
      </c>
      <c r="D40" s="4" t="s">
        <v>473</v>
      </c>
      <c r="E40" s="272"/>
      <c r="G40" s="242" t="s">
        <v>640</v>
      </c>
      <c r="H40" s="242" t="s">
        <v>351</v>
      </c>
      <c r="I40" s="242" t="s">
        <v>640</v>
      </c>
      <c r="J40" s="242" t="s">
        <v>351</v>
      </c>
      <c r="K40" s="4" t="s">
        <v>140</v>
      </c>
      <c r="L40" s="4" t="s">
        <v>140</v>
      </c>
      <c r="M40" s="4" t="s">
        <v>140</v>
      </c>
      <c r="N40" s="4" t="s">
        <v>140</v>
      </c>
      <c r="O40" s="242"/>
      <c r="P40" s="242"/>
      <c r="Q40" s="242"/>
      <c r="R40" s="242"/>
      <c r="S40" s="215">
        <v>0</v>
      </c>
      <c r="V40" s="165">
        <v>19620</v>
      </c>
      <c r="W40" s="242" t="s">
        <v>171</v>
      </c>
      <c r="X40" s="89"/>
      <c r="Y40" s="215">
        <v>2</v>
      </c>
      <c r="AA40">
        <v>8</v>
      </c>
    </row>
    <row r="41" spans="1:27" x14ac:dyDescent="0.25">
      <c r="A41" s="217">
        <f t="shared" si="2"/>
        <v>3.9000000000000008</v>
      </c>
      <c r="B41" t="s">
        <v>491</v>
      </c>
      <c r="C41" s="4" t="s">
        <v>473</v>
      </c>
      <c r="D41" s="4" t="s">
        <v>473</v>
      </c>
      <c r="E41" s="272"/>
      <c r="G41" s="3" t="s">
        <v>142</v>
      </c>
      <c r="H41" s="3" t="s">
        <v>352</v>
      </c>
      <c r="I41" s="3" t="s">
        <v>483</v>
      </c>
      <c r="J41" s="3" t="s">
        <v>351</v>
      </c>
      <c r="K41" s="4" t="s">
        <v>140</v>
      </c>
      <c r="L41" s="4" t="s">
        <v>140</v>
      </c>
      <c r="M41" s="4" t="s">
        <v>140</v>
      </c>
      <c r="N41" s="4" t="s">
        <v>140</v>
      </c>
      <c r="O41" s="3">
        <v>-60</v>
      </c>
      <c r="P41" s="3">
        <v>-10</v>
      </c>
      <c r="Q41" s="3">
        <v>-230</v>
      </c>
      <c r="R41" s="3">
        <v>1</v>
      </c>
      <c r="S41" s="136">
        <v>0</v>
      </c>
      <c r="V41" s="21">
        <v>9370</v>
      </c>
      <c r="W41" s="3" t="s">
        <v>171</v>
      </c>
      <c r="X41" s="89" t="s">
        <v>313</v>
      </c>
      <c r="Y41" s="114">
        <v>3</v>
      </c>
      <c r="AA41">
        <v>9</v>
      </c>
    </row>
    <row r="42" spans="1:27" x14ac:dyDescent="0.25">
      <c r="A42" s="112"/>
      <c r="H42" s="3"/>
      <c r="J42" s="3"/>
      <c r="K42" s="4"/>
      <c r="L42" s="4"/>
      <c r="M42" s="4"/>
      <c r="N42" s="4"/>
      <c r="V42" s="21"/>
    </row>
    <row r="43" spans="1:27" ht="18" thickBot="1" x14ac:dyDescent="0.35">
      <c r="A43" s="2">
        <v>4</v>
      </c>
      <c r="B43" s="1" t="s">
        <v>414</v>
      </c>
      <c r="C43" s="1"/>
      <c r="D43" s="1"/>
      <c r="G43" s="127"/>
      <c r="H43" s="127"/>
      <c r="I43" s="127"/>
      <c r="J43" s="127"/>
      <c r="K43" s="4"/>
      <c r="L43" s="4"/>
      <c r="M43" s="4"/>
      <c r="N43" s="4"/>
      <c r="O43" s="127"/>
      <c r="P43" s="127"/>
      <c r="Q43" s="127"/>
      <c r="R43" s="127"/>
      <c r="V43" s="21"/>
      <c r="W43" s="127"/>
      <c r="Y43" s="114" t="s">
        <v>418</v>
      </c>
    </row>
    <row r="44" spans="1:27" ht="15.75" hidden="1" thickTop="1" x14ac:dyDescent="0.25">
      <c r="B44" t="s">
        <v>407</v>
      </c>
      <c r="E44" s="272" t="s">
        <v>434</v>
      </c>
      <c r="F44" s="272" t="s">
        <v>435</v>
      </c>
      <c r="H44" s="3"/>
      <c r="J44" s="3"/>
      <c r="K44" s="4"/>
      <c r="L44" s="4"/>
      <c r="M44" s="4"/>
      <c r="N44" s="4"/>
      <c r="S44" s="136">
        <v>0</v>
      </c>
      <c r="V44" s="21"/>
      <c r="Y44" s="114">
        <v>0</v>
      </c>
    </row>
    <row r="45" spans="1:27" ht="15.75" thickTop="1" x14ac:dyDescent="0.25">
      <c r="A45" s="113">
        <f>+A$43+0.1</f>
        <v>4.0999999999999996</v>
      </c>
      <c r="B45" t="s">
        <v>2</v>
      </c>
      <c r="C45" s="4" t="s">
        <v>473</v>
      </c>
      <c r="D45" s="4" t="s">
        <v>473</v>
      </c>
      <c r="E45" s="272"/>
      <c r="F45" s="272"/>
      <c r="G45" s="3" t="s">
        <v>147</v>
      </c>
      <c r="H45" s="3" t="s">
        <v>351</v>
      </c>
      <c r="I45" s="3" t="s">
        <v>147</v>
      </c>
      <c r="J45" s="3" t="s">
        <v>351</v>
      </c>
      <c r="K45" s="3" t="s">
        <v>193</v>
      </c>
      <c r="L45" s="4" t="s">
        <v>114</v>
      </c>
      <c r="M45" s="4" t="s">
        <v>140</v>
      </c>
      <c r="N45" s="4" t="s">
        <v>140</v>
      </c>
      <c r="S45" s="136">
        <v>0</v>
      </c>
      <c r="V45" s="21">
        <v>3860</v>
      </c>
      <c r="W45" s="3" t="s">
        <v>172</v>
      </c>
      <c r="X45" s="89" t="s">
        <v>313</v>
      </c>
      <c r="Y45" s="114">
        <v>0</v>
      </c>
      <c r="AA45">
        <v>1</v>
      </c>
    </row>
    <row r="46" spans="1:27" x14ac:dyDescent="0.25">
      <c r="A46" s="113">
        <f>+A45+0.1</f>
        <v>4.1999999999999993</v>
      </c>
      <c r="B46" t="s">
        <v>1</v>
      </c>
      <c r="C46" s="4" t="s">
        <v>473</v>
      </c>
      <c r="D46" s="4" t="s">
        <v>473</v>
      </c>
      <c r="E46" s="272"/>
      <c r="F46" s="272"/>
      <c r="G46" s="3" t="s">
        <v>148</v>
      </c>
      <c r="H46" s="3" t="s">
        <v>351</v>
      </c>
      <c r="I46" s="3" t="s">
        <v>148</v>
      </c>
      <c r="J46" s="3" t="s">
        <v>351</v>
      </c>
      <c r="K46" s="3" t="s">
        <v>194</v>
      </c>
      <c r="L46" s="4" t="s">
        <v>113</v>
      </c>
      <c r="M46" s="4" t="s">
        <v>140</v>
      </c>
      <c r="N46" s="4" t="s">
        <v>140</v>
      </c>
      <c r="S46" s="136">
        <v>0</v>
      </c>
      <c r="V46" s="21">
        <v>2780</v>
      </c>
      <c r="W46" s="3" t="s">
        <v>172</v>
      </c>
      <c r="X46" s="89" t="s">
        <v>313</v>
      </c>
      <c r="Y46" s="114">
        <v>0</v>
      </c>
      <c r="AA46">
        <v>1</v>
      </c>
    </row>
    <row r="47" spans="1:27" x14ac:dyDescent="0.25">
      <c r="A47" s="113">
        <f t="shared" ref="A47:A52" si="3">+A46+0.1</f>
        <v>4.2999999999999989</v>
      </c>
      <c r="B47" s="5" t="s">
        <v>9</v>
      </c>
      <c r="C47" s="4" t="s">
        <v>473</v>
      </c>
      <c r="D47" s="4" t="s">
        <v>473</v>
      </c>
      <c r="E47" s="272"/>
      <c r="F47" s="272"/>
      <c r="G47" s="3" t="s">
        <v>143</v>
      </c>
      <c r="H47" s="3" t="s">
        <v>351</v>
      </c>
      <c r="I47" s="3" t="s">
        <v>143</v>
      </c>
      <c r="J47" s="3" t="s">
        <v>351</v>
      </c>
      <c r="K47" s="3" t="s">
        <v>189</v>
      </c>
      <c r="L47" s="4" t="s">
        <v>162</v>
      </c>
      <c r="M47" s="4" t="s">
        <v>140</v>
      </c>
      <c r="N47" s="4" t="s">
        <v>140</v>
      </c>
      <c r="S47" s="136">
        <v>0</v>
      </c>
      <c r="V47" s="21">
        <v>3860</v>
      </c>
      <c r="W47" s="3" t="s">
        <v>172</v>
      </c>
      <c r="X47" s="89" t="s">
        <v>313</v>
      </c>
      <c r="Y47" s="114">
        <v>0</v>
      </c>
      <c r="AA47">
        <v>1</v>
      </c>
    </row>
    <row r="48" spans="1:27" x14ac:dyDescent="0.25">
      <c r="A48" s="113">
        <f t="shared" si="3"/>
        <v>4.3999999999999986</v>
      </c>
      <c r="B48" s="5" t="s">
        <v>382</v>
      </c>
      <c r="C48" s="4" t="s">
        <v>473</v>
      </c>
      <c r="D48" s="4" t="s">
        <v>473</v>
      </c>
      <c r="E48" s="272"/>
      <c r="F48" s="272"/>
      <c r="G48" s="3" t="s">
        <v>386</v>
      </c>
      <c r="H48" s="3" t="s">
        <v>351</v>
      </c>
      <c r="I48" s="3" t="s">
        <v>386</v>
      </c>
      <c r="J48" s="3" t="s">
        <v>351</v>
      </c>
      <c r="K48" s="3" t="s">
        <v>387</v>
      </c>
      <c r="L48" s="4" t="s">
        <v>388</v>
      </c>
      <c r="M48" s="4" t="s">
        <v>140</v>
      </c>
      <c r="N48" s="4" t="s">
        <v>140</v>
      </c>
      <c r="S48" s="136">
        <v>0</v>
      </c>
      <c r="V48" s="21">
        <v>3860</v>
      </c>
      <c r="W48" s="3" t="s">
        <v>172</v>
      </c>
      <c r="X48" s="89" t="s">
        <v>313</v>
      </c>
      <c r="Y48" s="114">
        <v>0</v>
      </c>
      <c r="AA48">
        <v>1</v>
      </c>
    </row>
    <row r="49" spans="1:33" x14ac:dyDescent="0.25">
      <c r="A49" s="113">
        <f t="shared" si="3"/>
        <v>4.4999999999999982</v>
      </c>
      <c r="B49" t="s">
        <v>0</v>
      </c>
      <c r="C49" s="4" t="s">
        <v>473</v>
      </c>
      <c r="D49" s="4" t="s">
        <v>473</v>
      </c>
      <c r="E49" s="272"/>
      <c r="G49" s="3" t="s">
        <v>144</v>
      </c>
      <c r="H49" s="3" t="s">
        <v>351</v>
      </c>
      <c r="I49" s="3" t="s">
        <v>144</v>
      </c>
      <c r="J49" s="3" t="s">
        <v>351</v>
      </c>
      <c r="K49" s="3" t="s">
        <v>190</v>
      </c>
      <c r="L49" s="4" t="s">
        <v>115</v>
      </c>
      <c r="M49" s="4" t="s">
        <v>140</v>
      </c>
      <c r="N49" s="4" t="s">
        <v>140</v>
      </c>
      <c r="S49" s="136">
        <v>0</v>
      </c>
      <c r="V49" s="21">
        <v>3860</v>
      </c>
      <c r="W49" s="3" t="s">
        <v>172</v>
      </c>
      <c r="X49" s="89" t="s">
        <v>313</v>
      </c>
      <c r="Y49" s="114">
        <v>1</v>
      </c>
      <c r="AA49">
        <v>2</v>
      </c>
    </row>
    <row r="50" spans="1:33" x14ac:dyDescent="0.25">
      <c r="A50" s="113">
        <f t="shared" si="3"/>
        <v>4.5999999999999979</v>
      </c>
      <c r="B50" t="s">
        <v>390</v>
      </c>
      <c r="C50" s="4" t="s">
        <v>473</v>
      </c>
      <c r="D50" s="4" t="s">
        <v>473</v>
      </c>
      <c r="E50" s="272"/>
      <c r="G50" s="3" t="s">
        <v>391</v>
      </c>
      <c r="H50" s="3" t="s">
        <v>351</v>
      </c>
      <c r="I50" s="3" t="s">
        <v>391</v>
      </c>
      <c r="J50" s="3" t="s">
        <v>351</v>
      </c>
      <c r="K50" s="3" t="s">
        <v>392</v>
      </c>
      <c r="L50" s="4" t="s">
        <v>393</v>
      </c>
      <c r="M50" s="4" t="s">
        <v>140</v>
      </c>
      <c r="N50" s="4" t="s">
        <v>140</v>
      </c>
      <c r="S50" s="136">
        <v>0</v>
      </c>
      <c r="V50" s="21">
        <v>3860</v>
      </c>
      <c r="W50" s="3" t="s">
        <v>172</v>
      </c>
      <c r="X50" s="89" t="s">
        <v>313</v>
      </c>
      <c r="Y50" s="114">
        <v>1</v>
      </c>
      <c r="AA50">
        <v>2</v>
      </c>
    </row>
    <row r="51" spans="1:33" x14ac:dyDescent="0.25">
      <c r="A51" s="113">
        <f t="shared" si="3"/>
        <v>4.6999999999999975</v>
      </c>
      <c r="B51" t="s">
        <v>14</v>
      </c>
      <c r="C51" s="4" t="s">
        <v>473</v>
      </c>
      <c r="D51" s="4" t="s">
        <v>473</v>
      </c>
      <c r="E51" s="272"/>
      <c r="G51" s="3" t="s">
        <v>145</v>
      </c>
      <c r="H51" s="3" t="s">
        <v>351</v>
      </c>
      <c r="I51" s="3" t="s">
        <v>145</v>
      </c>
      <c r="J51" s="3" t="s">
        <v>351</v>
      </c>
      <c r="K51" s="3" t="s">
        <v>191</v>
      </c>
      <c r="L51" s="4" t="s">
        <v>116</v>
      </c>
      <c r="M51" s="4" t="s">
        <v>140</v>
      </c>
      <c r="N51" s="4" t="s">
        <v>140</v>
      </c>
      <c r="S51" s="136">
        <v>0</v>
      </c>
      <c r="V51" s="21">
        <v>3860</v>
      </c>
      <c r="W51" s="3" t="s">
        <v>172</v>
      </c>
      <c r="Y51" s="114">
        <v>1</v>
      </c>
      <c r="AA51">
        <v>2</v>
      </c>
    </row>
    <row r="52" spans="1:33" x14ac:dyDescent="0.25">
      <c r="A52" s="113">
        <f t="shared" si="3"/>
        <v>4.7999999999999972</v>
      </c>
      <c r="B52" t="s">
        <v>15</v>
      </c>
      <c r="C52" s="4" t="s">
        <v>473</v>
      </c>
      <c r="D52" s="4" t="s">
        <v>473</v>
      </c>
      <c r="E52" s="272"/>
      <c r="G52" s="3" t="s">
        <v>146</v>
      </c>
      <c r="H52" s="3" t="s">
        <v>351</v>
      </c>
      <c r="I52" s="3" t="s">
        <v>146</v>
      </c>
      <c r="J52" s="3" t="s">
        <v>351</v>
      </c>
      <c r="K52" s="3" t="s">
        <v>192</v>
      </c>
      <c r="L52" s="4" t="s">
        <v>117</v>
      </c>
      <c r="M52" s="4" t="s">
        <v>140</v>
      </c>
      <c r="N52" s="4" t="s">
        <v>140</v>
      </c>
      <c r="S52" s="136">
        <v>0</v>
      </c>
      <c r="V52" s="21">
        <v>3860</v>
      </c>
      <c r="W52" s="3" t="s">
        <v>172</v>
      </c>
      <c r="Y52" s="114">
        <v>1</v>
      </c>
      <c r="AA52">
        <v>2</v>
      </c>
    </row>
    <row r="53" spans="1:33" x14ac:dyDescent="0.25">
      <c r="A53" s="112"/>
      <c r="E53" s="70"/>
      <c r="H53" s="3"/>
      <c r="J53" s="3"/>
      <c r="L53" s="4"/>
      <c r="M53" s="4"/>
      <c r="N53" s="4"/>
      <c r="V53" s="21"/>
      <c r="X53" s="89"/>
    </row>
    <row r="54" spans="1:33" ht="18" thickBot="1" x14ac:dyDescent="0.35">
      <c r="A54" s="2">
        <v>5</v>
      </c>
      <c r="B54" s="1" t="s">
        <v>416</v>
      </c>
      <c r="C54" s="1"/>
      <c r="D54" s="1"/>
      <c r="E54" s="119"/>
      <c r="F54" s="119"/>
      <c r="H54" s="3"/>
      <c r="J54" s="3"/>
      <c r="V54" s="21"/>
    </row>
    <row r="55" spans="1:33" ht="18" hidden="1" customHeight="1" thickTop="1" x14ac:dyDescent="0.3">
      <c r="A55" s="130"/>
      <c r="B55" s="7" t="s">
        <v>407</v>
      </c>
      <c r="C55" s="7"/>
      <c r="D55" s="7"/>
      <c r="E55" s="272" t="s">
        <v>437</v>
      </c>
      <c r="F55" s="119"/>
      <c r="G55" s="131"/>
      <c r="H55" s="131"/>
      <c r="I55" s="131"/>
      <c r="J55" s="131"/>
      <c r="K55" s="131"/>
      <c r="O55" s="131"/>
      <c r="P55" s="131"/>
      <c r="Q55" s="131"/>
      <c r="R55" s="131"/>
      <c r="S55" s="136">
        <v>0</v>
      </c>
      <c r="V55" s="21"/>
      <c r="W55" s="131"/>
      <c r="Y55" s="122"/>
    </row>
    <row r="56" spans="1:33" ht="18" hidden="1" customHeight="1" thickTop="1" x14ac:dyDescent="0.3">
      <c r="A56" s="130"/>
      <c r="B56" s="156" t="s">
        <v>407</v>
      </c>
      <c r="C56" s="7"/>
      <c r="D56" s="7"/>
      <c r="E56" s="272"/>
      <c r="F56" s="119"/>
      <c r="G56" s="235"/>
      <c r="H56" s="235"/>
      <c r="I56" s="235"/>
      <c r="J56" s="235"/>
      <c r="K56" s="235"/>
      <c r="O56" s="235"/>
      <c r="P56" s="235"/>
      <c r="Q56" s="235"/>
      <c r="R56" s="235"/>
      <c r="S56" s="215"/>
      <c r="V56" s="21"/>
      <c r="W56" s="235"/>
      <c r="Y56" s="215"/>
    </row>
    <row r="57" spans="1:33" ht="18" customHeight="1" thickTop="1" x14ac:dyDescent="0.3">
      <c r="A57" s="113">
        <f>+A$54+0.1</f>
        <v>5.0999999999999996</v>
      </c>
      <c r="B57" s="156" t="s">
        <v>523</v>
      </c>
      <c r="C57" s="4" t="s">
        <v>473</v>
      </c>
      <c r="D57" s="4" t="s">
        <v>473</v>
      </c>
      <c r="E57" s="272"/>
      <c r="F57" s="119"/>
      <c r="G57" s="184" t="s">
        <v>524</v>
      </c>
      <c r="H57" s="184" t="s">
        <v>351</v>
      </c>
      <c r="I57" s="164" t="s">
        <v>563</v>
      </c>
      <c r="J57" s="202" t="s">
        <v>351</v>
      </c>
      <c r="K57" s="4" t="s">
        <v>140</v>
      </c>
      <c r="L57" s="4" t="s">
        <v>140</v>
      </c>
      <c r="M57" s="4" t="s">
        <v>140</v>
      </c>
      <c r="N57" s="4" t="s">
        <v>140</v>
      </c>
      <c r="O57" s="184">
        <v>-75</v>
      </c>
      <c r="P57" s="184"/>
      <c r="Q57" s="184"/>
      <c r="R57" s="184"/>
      <c r="S57" s="185">
        <v>0</v>
      </c>
      <c r="V57" s="21">
        <v>2160</v>
      </c>
      <c r="W57" s="184" t="s">
        <v>171</v>
      </c>
      <c r="X57" s="89" t="s">
        <v>313</v>
      </c>
      <c r="Y57" s="185"/>
      <c r="AA57">
        <v>1</v>
      </c>
      <c r="AG57" s="156"/>
    </row>
    <row r="58" spans="1:33" x14ac:dyDescent="0.25">
      <c r="A58" s="113">
        <f>+A57+0.1</f>
        <v>5.1999999999999993</v>
      </c>
      <c r="B58" s="7" t="s">
        <v>600</v>
      </c>
      <c r="C58" s="4" t="s">
        <v>473</v>
      </c>
      <c r="D58" s="4" t="s">
        <v>473</v>
      </c>
      <c r="E58" s="272"/>
      <c r="G58" s="3" t="s">
        <v>602</v>
      </c>
      <c r="H58" s="3" t="s">
        <v>351</v>
      </c>
      <c r="I58" s="236" t="s">
        <v>621</v>
      </c>
      <c r="J58" s="3" t="s">
        <v>351</v>
      </c>
      <c r="K58" s="4" t="s">
        <v>140</v>
      </c>
      <c r="L58" s="4" t="s">
        <v>140</v>
      </c>
      <c r="M58" s="4" t="s">
        <v>140</v>
      </c>
      <c r="N58" s="4" t="s">
        <v>140</v>
      </c>
      <c r="O58" s="3">
        <v>-75</v>
      </c>
      <c r="S58" s="136">
        <v>0</v>
      </c>
      <c r="V58" s="21">
        <v>7725</v>
      </c>
      <c r="W58" s="3" t="s">
        <v>171</v>
      </c>
      <c r="X58" s="89" t="s">
        <v>313</v>
      </c>
      <c r="AA58">
        <v>2</v>
      </c>
      <c r="AG58" s="7"/>
    </row>
    <row r="59" spans="1:33" x14ac:dyDescent="0.25">
      <c r="A59" s="113">
        <f t="shared" ref="A59:A64" si="4">+A58+0.1</f>
        <v>5.2999999999999989</v>
      </c>
      <c r="B59" t="s">
        <v>493</v>
      </c>
      <c r="C59" s="4" t="s">
        <v>473</v>
      </c>
      <c r="D59" s="4" t="s">
        <v>473</v>
      </c>
      <c r="E59" s="272"/>
      <c r="G59" s="3" t="s">
        <v>603</v>
      </c>
      <c r="H59" s="3" t="s">
        <v>351</v>
      </c>
      <c r="I59" s="236" t="s">
        <v>622</v>
      </c>
      <c r="J59" s="3" t="s">
        <v>351</v>
      </c>
      <c r="K59" s="4" t="s">
        <v>140</v>
      </c>
      <c r="L59" s="4" t="s">
        <v>140</v>
      </c>
      <c r="M59" s="4" t="s">
        <v>140</v>
      </c>
      <c r="N59" s="4" t="s">
        <v>140</v>
      </c>
      <c r="O59" s="158">
        <v>-75</v>
      </c>
      <c r="S59" s="136">
        <v>0</v>
      </c>
      <c r="V59" s="21">
        <v>9990</v>
      </c>
      <c r="W59" s="3" t="s">
        <v>171</v>
      </c>
      <c r="X59" s="89" t="s">
        <v>313</v>
      </c>
      <c r="AA59">
        <v>3</v>
      </c>
    </row>
    <row r="60" spans="1:33" x14ac:dyDescent="0.25">
      <c r="A60" s="113">
        <f t="shared" si="4"/>
        <v>5.3999999999999986</v>
      </c>
      <c r="B60" t="s">
        <v>532</v>
      </c>
      <c r="C60" s="4" t="s">
        <v>473</v>
      </c>
      <c r="D60" s="4" t="s">
        <v>473</v>
      </c>
      <c r="E60" s="272"/>
      <c r="G60" s="167" t="s">
        <v>604</v>
      </c>
      <c r="H60" s="167" t="s">
        <v>351</v>
      </c>
      <c r="I60" s="167" t="s">
        <v>623</v>
      </c>
      <c r="J60" s="167" t="s">
        <v>351</v>
      </c>
      <c r="K60" s="4" t="s">
        <v>140</v>
      </c>
      <c r="L60" s="4" t="s">
        <v>140</v>
      </c>
      <c r="M60" s="4" t="s">
        <v>140</v>
      </c>
      <c r="N60" s="4" t="s">
        <v>140</v>
      </c>
      <c r="O60" s="3">
        <v>-75</v>
      </c>
      <c r="R60" s="3">
        <v>1</v>
      </c>
      <c r="S60" s="136">
        <v>0</v>
      </c>
      <c r="V60" s="21">
        <v>12050</v>
      </c>
      <c r="W60" s="209" t="s">
        <v>171</v>
      </c>
      <c r="X60" s="89" t="s">
        <v>313</v>
      </c>
      <c r="AA60">
        <v>4</v>
      </c>
    </row>
    <row r="61" spans="1:33" x14ac:dyDescent="0.25">
      <c r="A61" s="217">
        <f t="shared" si="4"/>
        <v>5.4999999999999982</v>
      </c>
      <c r="B61" s="7" t="s">
        <v>601</v>
      </c>
      <c r="C61" s="4" t="s">
        <v>473</v>
      </c>
      <c r="D61" s="4" t="s">
        <v>473</v>
      </c>
      <c r="E61" s="272"/>
      <c r="G61" s="229" t="s">
        <v>605</v>
      </c>
      <c r="H61" s="167" t="s">
        <v>351</v>
      </c>
      <c r="I61" s="236" t="s">
        <v>624</v>
      </c>
      <c r="J61" s="167" t="s">
        <v>351</v>
      </c>
      <c r="K61" s="4" t="s">
        <v>140</v>
      </c>
      <c r="L61" s="4" t="s">
        <v>140</v>
      </c>
      <c r="M61" s="4" t="s">
        <v>140</v>
      </c>
      <c r="N61" s="4" t="s">
        <v>140</v>
      </c>
      <c r="O61" s="229">
        <v>-75</v>
      </c>
      <c r="P61" s="229"/>
      <c r="Q61" s="229"/>
      <c r="R61" s="229"/>
      <c r="S61" s="215">
        <v>0</v>
      </c>
      <c r="V61" s="21">
        <v>7725</v>
      </c>
      <c r="W61" s="229" t="s">
        <v>171</v>
      </c>
      <c r="X61" s="89" t="s">
        <v>313</v>
      </c>
      <c r="Y61" s="215"/>
      <c r="AA61">
        <v>5</v>
      </c>
      <c r="AG61" s="7"/>
    </row>
    <row r="62" spans="1:33" x14ac:dyDescent="0.25">
      <c r="A62" s="217">
        <f t="shared" si="4"/>
        <v>5.5999999999999979</v>
      </c>
      <c r="B62" t="s">
        <v>599</v>
      </c>
      <c r="C62" s="4" t="s">
        <v>473</v>
      </c>
      <c r="D62" s="4" t="s">
        <v>473</v>
      </c>
      <c r="E62" s="272"/>
      <c r="G62" s="229" t="s">
        <v>606</v>
      </c>
      <c r="H62" s="167" t="s">
        <v>351</v>
      </c>
      <c r="I62" s="236" t="s">
        <v>625</v>
      </c>
      <c r="J62" s="167" t="s">
        <v>351</v>
      </c>
      <c r="K62" s="4" t="s">
        <v>140</v>
      </c>
      <c r="L62" s="4" t="s">
        <v>140</v>
      </c>
      <c r="M62" s="4" t="s">
        <v>140</v>
      </c>
      <c r="N62" s="4" t="s">
        <v>140</v>
      </c>
      <c r="O62" s="229">
        <v>-75</v>
      </c>
      <c r="P62" s="229"/>
      <c r="Q62" s="229"/>
      <c r="R62" s="229"/>
      <c r="S62" s="215">
        <v>0</v>
      </c>
      <c r="V62" s="21">
        <v>9990</v>
      </c>
      <c r="W62" s="229" t="s">
        <v>171</v>
      </c>
      <c r="X62" s="89" t="s">
        <v>313</v>
      </c>
      <c r="Y62" s="215"/>
      <c r="AA62">
        <v>6</v>
      </c>
    </row>
    <row r="63" spans="1:33" x14ac:dyDescent="0.25">
      <c r="A63" s="217">
        <f t="shared" si="4"/>
        <v>5.6999999999999975</v>
      </c>
      <c r="B63" t="s">
        <v>598</v>
      </c>
      <c r="C63" s="4" t="s">
        <v>473</v>
      </c>
      <c r="D63" s="4" t="s">
        <v>473</v>
      </c>
      <c r="E63" s="272"/>
      <c r="G63" s="167" t="s">
        <v>607</v>
      </c>
      <c r="H63" s="167" t="s">
        <v>351</v>
      </c>
      <c r="I63" s="167" t="s">
        <v>626</v>
      </c>
      <c r="J63" s="167" t="s">
        <v>351</v>
      </c>
      <c r="K63" s="4" t="s">
        <v>140</v>
      </c>
      <c r="L63" s="4" t="s">
        <v>140</v>
      </c>
      <c r="M63" s="4" t="s">
        <v>140</v>
      </c>
      <c r="N63" s="4" t="s">
        <v>140</v>
      </c>
      <c r="O63" s="229">
        <v>-75</v>
      </c>
      <c r="P63" s="229"/>
      <c r="Q63" s="229"/>
      <c r="R63" s="229">
        <v>1</v>
      </c>
      <c r="S63" s="215">
        <v>0</v>
      </c>
      <c r="V63" s="21">
        <v>12050</v>
      </c>
      <c r="W63" s="229" t="s">
        <v>171</v>
      </c>
      <c r="X63" s="89" t="s">
        <v>313</v>
      </c>
      <c r="Y63" s="215"/>
      <c r="AA63">
        <v>7</v>
      </c>
    </row>
    <row r="64" spans="1:33" x14ac:dyDescent="0.25">
      <c r="A64" s="217">
        <f t="shared" si="4"/>
        <v>5.7999999999999972</v>
      </c>
      <c r="B64" s="261" t="s">
        <v>664</v>
      </c>
      <c r="C64" s="4" t="s">
        <v>473</v>
      </c>
      <c r="D64" s="4" t="s">
        <v>473</v>
      </c>
      <c r="E64" s="206"/>
      <c r="G64" s="167" t="s">
        <v>580</v>
      </c>
      <c r="H64" s="167" t="s">
        <v>351</v>
      </c>
      <c r="I64" s="167" t="s">
        <v>580</v>
      </c>
      <c r="J64" s="167" t="s">
        <v>351</v>
      </c>
      <c r="K64" s="4" t="s">
        <v>140</v>
      </c>
      <c r="L64" s="4" t="s">
        <v>140</v>
      </c>
      <c r="M64" s="4" t="s">
        <v>140</v>
      </c>
      <c r="N64" s="4" t="s">
        <v>140</v>
      </c>
      <c r="O64" s="207"/>
      <c r="P64" s="207"/>
      <c r="Q64" s="207"/>
      <c r="R64" s="207"/>
      <c r="S64" s="208">
        <v>0</v>
      </c>
      <c r="V64" s="21">
        <v>4330</v>
      </c>
      <c r="W64" s="207" t="s">
        <v>171</v>
      </c>
      <c r="X64" s="89" t="s">
        <v>313</v>
      </c>
      <c r="Y64" s="208"/>
      <c r="AA64">
        <v>8</v>
      </c>
    </row>
    <row r="65" spans="1:27" x14ac:dyDescent="0.25">
      <c r="A65" s="217"/>
      <c r="B65" t="s">
        <v>407</v>
      </c>
      <c r="C65" s="4"/>
      <c r="D65" s="4"/>
      <c r="E65" s="272" t="s">
        <v>610</v>
      </c>
      <c r="G65" s="167"/>
      <c r="H65" s="167"/>
      <c r="I65" s="167"/>
      <c r="J65" s="167"/>
      <c r="K65" s="4"/>
      <c r="L65" s="4"/>
      <c r="M65" s="4"/>
      <c r="N65" s="4"/>
      <c r="O65" s="229"/>
      <c r="P65" s="229"/>
      <c r="Q65" s="229"/>
      <c r="R65" s="229"/>
      <c r="S65" s="215"/>
      <c r="V65" s="21"/>
      <c r="W65" s="229"/>
      <c r="X65" s="89"/>
      <c r="Y65" s="215"/>
    </row>
    <row r="66" spans="1:27" x14ac:dyDescent="0.25">
      <c r="A66" s="217">
        <f>+A64+0.1</f>
        <v>5.8999999999999968</v>
      </c>
      <c r="B66" t="s">
        <v>596</v>
      </c>
      <c r="C66" s="4" t="s">
        <v>473</v>
      </c>
      <c r="D66" s="4" t="s">
        <v>473</v>
      </c>
      <c r="E66" s="272"/>
      <c r="G66" s="167" t="s">
        <v>608</v>
      </c>
      <c r="H66" s="167" t="s">
        <v>351</v>
      </c>
      <c r="I66" s="167" t="s">
        <v>609</v>
      </c>
      <c r="J66" s="167" t="s">
        <v>351</v>
      </c>
      <c r="K66" s="4" t="s">
        <v>140</v>
      </c>
      <c r="L66" s="4" t="s">
        <v>140</v>
      </c>
      <c r="M66" s="4" t="s">
        <v>140</v>
      </c>
      <c r="N66" s="4" t="s">
        <v>140</v>
      </c>
      <c r="O66" s="228">
        <v>-50</v>
      </c>
      <c r="P66" s="228"/>
      <c r="Q66" s="228"/>
      <c r="R66" s="228"/>
      <c r="S66" s="215"/>
      <c r="T66" t="s">
        <v>597</v>
      </c>
      <c r="U66" t="s">
        <v>597</v>
      </c>
      <c r="V66" s="21">
        <v>2160</v>
      </c>
      <c r="W66" s="228" t="s">
        <v>171</v>
      </c>
      <c r="X66" s="89" t="s">
        <v>313</v>
      </c>
      <c r="Y66" s="215"/>
      <c r="AA66">
        <v>1</v>
      </c>
    </row>
    <row r="67" spans="1:27" x14ac:dyDescent="0.25">
      <c r="A67" s="117">
        <v>5.0999999999999996</v>
      </c>
      <c r="B67" t="s">
        <v>354</v>
      </c>
      <c r="C67" s="4" t="s">
        <v>473</v>
      </c>
      <c r="D67" s="4" t="s">
        <v>473</v>
      </c>
      <c r="E67" s="272"/>
      <c r="G67" s="3" t="s">
        <v>353</v>
      </c>
      <c r="H67" s="3" t="s">
        <v>351</v>
      </c>
      <c r="I67" s="3" t="s">
        <v>353</v>
      </c>
      <c r="J67" s="3" t="s">
        <v>351</v>
      </c>
      <c r="K67" s="4" t="s">
        <v>140</v>
      </c>
      <c r="L67" s="4" t="s">
        <v>140</v>
      </c>
      <c r="M67" s="4" t="s">
        <v>140</v>
      </c>
      <c r="N67" s="4" t="s">
        <v>140</v>
      </c>
      <c r="Q67" s="3">
        <v>-50</v>
      </c>
      <c r="S67" s="136">
        <v>0</v>
      </c>
      <c r="V67" s="21">
        <v>1080</v>
      </c>
      <c r="W67" s="3" t="s">
        <v>171</v>
      </c>
      <c r="X67" s="89" t="s">
        <v>313</v>
      </c>
      <c r="AA67">
        <v>2</v>
      </c>
    </row>
    <row r="68" spans="1:27" x14ac:dyDescent="0.25">
      <c r="A68" s="113"/>
      <c r="G68" s="121"/>
      <c r="H68" s="121"/>
      <c r="I68" s="121"/>
      <c r="J68" s="121"/>
      <c r="K68" s="4"/>
      <c r="L68" s="4"/>
      <c r="M68" s="4"/>
      <c r="N68" s="4"/>
      <c r="O68" s="121"/>
      <c r="P68" s="121"/>
      <c r="Q68" s="121"/>
      <c r="R68" s="121"/>
      <c r="V68" s="21"/>
      <c r="W68" s="121"/>
      <c r="X68" s="89"/>
      <c r="Y68" s="122"/>
    </row>
    <row r="69" spans="1:27" ht="18" thickBot="1" x14ac:dyDescent="0.35">
      <c r="A69" s="2">
        <v>6</v>
      </c>
      <c r="B69" s="1" t="s">
        <v>415</v>
      </c>
      <c r="C69" s="1"/>
      <c r="D69" s="1"/>
      <c r="H69" s="3"/>
      <c r="J69" s="3"/>
      <c r="L69" s="4"/>
      <c r="M69" s="4"/>
      <c r="N69" s="4"/>
      <c r="V69" s="21"/>
      <c r="X69" s="89"/>
      <c r="Y69" s="114" t="s">
        <v>316</v>
      </c>
    </row>
    <row r="70" spans="1:27" ht="18" hidden="1" thickTop="1" x14ac:dyDescent="0.3">
      <c r="A70" s="130"/>
      <c r="B70" s="7" t="s">
        <v>407</v>
      </c>
      <c r="C70" s="7"/>
      <c r="D70" s="7"/>
      <c r="E70" s="272" t="s">
        <v>448</v>
      </c>
      <c r="G70" s="129"/>
      <c r="H70" s="129"/>
      <c r="I70" s="129"/>
      <c r="J70" s="129"/>
      <c r="K70" s="129"/>
      <c r="L70" s="4"/>
      <c r="M70" s="4"/>
      <c r="N70" s="4"/>
      <c r="O70" s="129"/>
      <c r="P70" s="129"/>
      <c r="Q70" s="129"/>
      <c r="R70" s="129"/>
      <c r="S70" s="136">
        <v>0</v>
      </c>
      <c r="V70" s="21"/>
      <c r="W70" s="129"/>
      <c r="X70" s="89"/>
      <c r="Y70" s="122" t="s">
        <v>460</v>
      </c>
    </row>
    <row r="71" spans="1:27" ht="15.75" thickTop="1" x14ac:dyDescent="0.25">
      <c r="A71" s="113">
        <f>+A$69+0.1</f>
        <v>6.1</v>
      </c>
      <c r="B71" s="7" t="s">
        <v>474</v>
      </c>
      <c r="C71" s="4" t="s">
        <v>473</v>
      </c>
      <c r="D71" s="4" t="s">
        <v>473</v>
      </c>
      <c r="E71" s="272"/>
      <c r="G71" s="181" t="s">
        <v>518</v>
      </c>
      <c r="H71" s="3" t="s">
        <v>351</v>
      </c>
      <c r="I71" s="181" t="s">
        <v>518</v>
      </c>
      <c r="J71" s="3" t="s">
        <v>351</v>
      </c>
      <c r="K71" s="4" t="s">
        <v>140</v>
      </c>
      <c r="L71" s="4" t="s">
        <v>140</v>
      </c>
      <c r="M71" s="4" t="s">
        <v>140</v>
      </c>
      <c r="N71" s="4" t="s">
        <v>140</v>
      </c>
      <c r="O71" s="3">
        <v>0</v>
      </c>
      <c r="P71" s="3">
        <v>-85</v>
      </c>
      <c r="S71" s="136">
        <v>0</v>
      </c>
      <c r="V71" s="21">
        <v>7110</v>
      </c>
      <c r="W71" s="3" t="s">
        <v>171</v>
      </c>
      <c r="X71" s="89" t="s">
        <v>313</v>
      </c>
      <c r="Y71" s="114" t="s">
        <v>458</v>
      </c>
      <c r="AA71">
        <v>1</v>
      </c>
    </row>
    <row r="72" spans="1:27" x14ac:dyDescent="0.25">
      <c r="A72" s="113">
        <f>A71+0.1</f>
        <v>6.1999999999999993</v>
      </c>
      <c r="B72" t="s">
        <v>312</v>
      </c>
      <c r="C72" s="4" t="s">
        <v>473</v>
      </c>
      <c r="D72" s="4" t="s">
        <v>473</v>
      </c>
      <c r="E72" s="272"/>
      <c r="G72" s="3" t="s">
        <v>627</v>
      </c>
      <c r="H72" s="3" t="s">
        <v>351</v>
      </c>
      <c r="I72" s="3" t="s">
        <v>627</v>
      </c>
      <c r="J72" s="3" t="s">
        <v>351</v>
      </c>
      <c r="K72" s="4" t="s">
        <v>140</v>
      </c>
      <c r="L72" s="4" t="s">
        <v>140</v>
      </c>
      <c r="M72" s="4" t="s">
        <v>140</v>
      </c>
      <c r="N72" s="4" t="s">
        <v>140</v>
      </c>
      <c r="O72" s="3">
        <v>0</v>
      </c>
      <c r="P72" s="3">
        <v>-85</v>
      </c>
      <c r="S72" s="136">
        <v>0</v>
      </c>
      <c r="V72" s="21">
        <v>2780</v>
      </c>
      <c r="W72" s="3" t="s">
        <v>171</v>
      </c>
      <c r="Y72" s="114" t="s">
        <v>459</v>
      </c>
      <c r="AA72">
        <v>2</v>
      </c>
    </row>
    <row r="73" spans="1:27" x14ac:dyDescent="0.25">
      <c r="A73" s="112"/>
      <c r="H73" s="3"/>
      <c r="J73" s="3"/>
      <c r="K73" s="4"/>
      <c r="L73" s="4"/>
      <c r="M73" s="4"/>
      <c r="N73" s="4"/>
      <c r="V73" s="21"/>
      <c r="X73" s="89"/>
    </row>
    <row r="74" spans="1:27" ht="18" thickBot="1" x14ac:dyDescent="0.35">
      <c r="A74" s="2">
        <v>7</v>
      </c>
      <c r="B74" s="1" t="s">
        <v>173</v>
      </c>
      <c r="C74" s="1"/>
      <c r="D74" s="1"/>
      <c r="E74" s="119"/>
      <c r="F74" s="119"/>
      <c r="H74" s="3"/>
      <c r="J74" s="3"/>
      <c r="K74" s="4"/>
      <c r="L74" s="4"/>
      <c r="M74" s="4"/>
      <c r="N74" s="4"/>
      <c r="V74" s="21"/>
      <c r="X74" s="89"/>
    </row>
    <row r="75" spans="1:27" ht="15.75" thickTop="1" x14ac:dyDescent="0.25">
      <c r="A75" s="113">
        <f>+A$74+0.1</f>
        <v>7.1</v>
      </c>
      <c r="B75" t="s">
        <v>581</v>
      </c>
      <c r="C75" s="4" t="s">
        <v>473</v>
      </c>
      <c r="D75" s="4" t="s">
        <v>473</v>
      </c>
      <c r="G75" s="167" t="s">
        <v>550</v>
      </c>
      <c r="H75" s="167" t="s">
        <v>351</v>
      </c>
      <c r="I75" s="167" t="s">
        <v>550</v>
      </c>
      <c r="J75" s="167" t="s">
        <v>351</v>
      </c>
      <c r="K75" s="4" t="s">
        <v>140</v>
      </c>
      <c r="L75" s="4" t="s">
        <v>140</v>
      </c>
      <c r="M75" s="4" t="s">
        <v>140</v>
      </c>
      <c r="N75" s="4" t="s">
        <v>140</v>
      </c>
      <c r="Q75" s="3">
        <v>-200</v>
      </c>
      <c r="S75" s="136">
        <v>0</v>
      </c>
      <c r="V75" s="21">
        <v>8240</v>
      </c>
      <c r="W75" s="3" t="s">
        <v>171</v>
      </c>
      <c r="AA75">
        <v>1</v>
      </c>
    </row>
    <row r="76" spans="1:27" x14ac:dyDescent="0.25">
      <c r="A76" s="217">
        <f>+A75+0.1</f>
        <v>7.1999999999999993</v>
      </c>
      <c r="B76" t="s">
        <v>582</v>
      </c>
      <c r="C76" s="4" t="s">
        <v>473</v>
      </c>
      <c r="D76" s="4" t="s">
        <v>473</v>
      </c>
      <c r="G76" s="167" t="s">
        <v>648</v>
      </c>
      <c r="H76" s="167" t="s">
        <v>351</v>
      </c>
      <c r="I76" s="167" t="s">
        <v>648</v>
      </c>
      <c r="J76" s="167" t="s">
        <v>351</v>
      </c>
      <c r="K76" s="4" t="s">
        <v>140</v>
      </c>
      <c r="L76" s="4" t="s">
        <v>140</v>
      </c>
      <c r="M76" s="4" t="s">
        <v>140</v>
      </c>
      <c r="N76" s="4" t="s">
        <v>140</v>
      </c>
      <c r="O76" s="216"/>
      <c r="P76" s="216"/>
      <c r="Q76" s="216">
        <v>-200</v>
      </c>
      <c r="R76" s="216"/>
      <c r="S76" s="215">
        <v>0</v>
      </c>
      <c r="V76" s="21">
        <v>5510</v>
      </c>
      <c r="W76" s="216" t="s">
        <v>171</v>
      </c>
      <c r="Y76" s="215"/>
      <c r="AA76">
        <v>1</v>
      </c>
    </row>
    <row r="77" spans="1:27" x14ac:dyDescent="0.25">
      <c r="A77" s="217">
        <f t="shared" ref="A77:A78" si="5">+A76+0.1</f>
        <v>7.2999999999999989</v>
      </c>
      <c r="B77" t="s">
        <v>3</v>
      </c>
      <c r="C77" s="4" t="s">
        <v>473</v>
      </c>
      <c r="D77" s="4" t="s">
        <v>473</v>
      </c>
      <c r="G77" s="227" t="s">
        <v>588</v>
      </c>
      <c r="H77" s="227" t="s">
        <v>584</v>
      </c>
      <c r="I77" s="227" t="s">
        <v>588</v>
      </c>
      <c r="J77" s="227" t="s">
        <v>584</v>
      </c>
      <c r="K77" s="4" t="s">
        <v>140</v>
      </c>
      <c r="L77" s="4" t="s">
        <v>140</v>
      </c>
      <c r="M77" s="4" t="s">
        <v>140</v>
      </c>
      <c r="N77" s="4" t="s">
        <v>140</v>
      </c>
      <c r="Q77" s="3">
        <v>-90</v>
      </c>
      <c r="S77" s="136">
        <v>0</v>
      </c>
      <c r="V77" s="21">
        <v>5250</v>
      </c>
      <c r="W77" s="3" t="s">
        <v>589</v>
      </c>
      <c r="X77" s="89" t="s">
        <v>313</v>
      </c>
      <c r="AA77">
        <v>1</v>
      </c>
    </row>
    <row r="78" spans="1:27" x14ac:dyDescent="0.25">
      <c r="A78" s="217">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36">
        <v>0</v>
      </c>
      <c r="V78" s="21">
        <v>570</v>
      </c>
      <c r="W78" s="3" t="s">
        <v>171</v>
      </c>
      <c r="X78" s="89" t="s">
        <v>313</v>
      </c>
      <c r="AA78">
        <v>1</v>
      </c>
    </row>
    <row r="79" spans="1:27" x14ac:dyDescent="0.25">
      <c r="A79" s="114"/>
      <c r="H79" s="3"/>
      <c r="J79" s="3"/>
      <c r="L79" s="3"/>
      <c r="M79" s="4"/>
      <c r="N79" s="4"/>
      <c r="V79" s="23"/>
      <c r="X79" s="89"/>
    </row>
    <row r="80" spans="1:27" ht="18" thickBot="1" x14ac:dyDescent="0.35">
      <c r="A80" s="2">
        <v>8</v>
      </c>
      <c r="B80" s="1" t="s">
        <v>417</v>
      </c>
      <c r="C80" s="1"/>
      <c r="D80" s="1"/>
      <c r="E80" s="119"/>
      <c r="F80" s="119"/>
      <c r="H80" s="3"/>
      <c r="J80" s="3"/>
      <c r="L80" s="3"/>
      <c r="M80" s="4"/>
      <c r="N80" s="4"/>
      <c r="V80" s="23"/>
      <c r="X80" s="89"/>
    </row>
    <row r="81" spans="1:27" ht="15.75" thickTop="1" x14ac:dyDescent="0.25">
      <c r="A81" s="113">
        <f>+A$80+0.1</f>
        <v>8.1</v>
      </c>
      <c r="B81" t="s">
        <v>5</v>
      </c>
      <c r="C81" s="4" t="s">
        <v>473</v>
      </c>
      <c r="D81" s="4" t="s">
        <v>473</v>
      </c>
      <c r="G81" s="3" t="s">
        <v>149</v>
      </c>
      <c r="H81" s="3" t="s">
        <v>352</v>
      </c>
      <c r="I81" s="3" t="s">
        <v>149</v>
      </c>
      <c r="J81" s="3" t="s">
        <v>352</v>
      </c>
      <c r="K81" s="4" t="s">
        <v>140</v>
      </c>
      <c r="L81" s="4" t="s">
        <v>163</v>
      </c>
      <c r="M81" s="4" t="s">
        <v>140</v>
      </c>
      <c r="N81" s="4" t="s">
        <v>140</v>
      </c>
      <c r="S81" s="136">
        <v>0</v>
      </c>
      <c r="V81" s="21">
        <v>8760</v>
      </c>
      <c r="W81" s="3" t="s">
        <v>172</v>
      </c>
      <c r="X81" s="89" t="s">
        <v>313</v>
      </c>
      <c r="AA81">
        <v>1</v>
      </c>
    </row>
    <row r="82" spans="1:27" x14ac:dyDescent="0.25">
      <c r="A82" s="113">
        <f>+A81+0.1</f>
        <v>8.1999999999999993</v>
      </c>
      <c r="B82" t="s">
        <v>175</v>
      </c>
      <c r="C82" s="4" t="s">
        <v>473</v>
      </c>
      <c r="D82" s="4" t="s">
        <v>473</v>
      </c>
      <c r="G82" s="3" t="s">
        <v>176</v>
      </c>
      <c r="H82" s="3" t="s">
        <v>351</v>
      </c>
      <c r="I82" s="3" t="s">
        <v>176</v>
      </c>
      <c r="J82" s="3" t="s">
        <v>351</v>
      </c>
      <c r="K82" s="4" t="s">
        <v>140</v>
      </c>
      <c r="L82" s="4" t="s">
        <v>329</v>
      </c>
      <c r="M82" s="4" t="s">
        <v>140</v>
      </c>
      <c r="N82" s="4" t="s">
        <v>140</v>
      </c>
      <c r="S82" s="136">
        <v>0</v>
      </c>
      <c r="V82" s="23">
        <v>450</v>
      </c>
      <c r="W82" s="3" t="s">
        <v>172</v>
      </c>
      <c r="X82" s="89" t="s">
        <v>313</v>
      </c>
      <c r="AA82">
        <v>1</v>
      </c>
    </row>
    <row r="83" spans="1:27" x14ac:dyDescent="0.25">
      <c r="A83" s="113">
        <f>+A82+0.1</f>
        <v>8.2999999999999989</v>
      </c>
      <c r="B83" s="5" t="s">
        <v>350</v>
      </c>
      <c r="C83" s="4" t="s">
        <v>473</v>
      </c>
      <c r="D83" s="4" t="s">
        <v>473</v>
      </c>
      <c r="E83" s="120"/>
      <c r="F83" s="120"/>
      <c r="G83" s="3" t="s">
        <v>177</v>
      </c>
      <c r="H83" s="3" t="s">
        <v>351</v>
      </c>
      <c r="I83" s="3" t="s">
        <v>177</v>
      </c>
      <c r="J83" s="3" t="s">
        <v>351</v>
      </c>
      <c r="K83" s="3" t="s">
        <v>203</v>
      </c>
      <c r="L83" s="4" t="s">
        <v>330</v>
      </c>
      <c r="M83" s="4" t="s">
        <v>140</v>
      </c>
      <c r="N83" s="4" t="s">
        <v>140</v>
      </c>
      <c r="S83" s="136">
        <v>0</v>
      </c>
      <c r="V83" s="23">
        <v>1650</v>
      </c>
      <c r="W83" s="3" t="s">
        <v>172</v>
      </c>
      <c r="AA83">
        <v>1</v>
      </c>
    </row>
    <row r="84" spans="1:27" x14ac:dyDescent="0.25">
      <c r="A84" s="20"/>
      <c r="H84" s="3"/>
      <c r="J84" s="3"/>
    </row>
    <row r="85" spans="1:27" ht="18" thickBot="1" x14ac:dyDescent="0.35">
      <c r="A85" s="2">
        <v>9</v>
      </c>
      <c r="B85" s="1" t="s">
        <v>6</v>
      </c>
      <c r="C85" s="1"/>
      <c r="D85" s="1"/>
      <c r="E85" s="119"/>
      <c r="F85" s="119"/>
      <c r="H85" s="3"/>
      <c r="J85" s="3"/>
    </row>
    <row r="86" spans="1:27" ht="15.75" thickTop="1" x14ac:dyDescent="0.25">
      <c r="A86" s="113">
        <f>+A$85+0.1</f>
        <v>9.1</v>
      </c>
      <c r="B86" t="s">
        <v>7</v>
      </c>
      <c r="C86" s="4" t="s">
        <v>472</v>
      </c>
      <c r="D86" s="4" t="s">
        <v>472</v>
      </c>
      <c r="G86" s="4" t="s">
        <v>140</v>
      </c>
      <c r="H86" s="3"/>
      <c r="I86" s="4" t="s">
        <v>140</v>
      </c>
      <c r="J86" s="3"/>
      <c r="K86" s="4" t="s">
        <v>140</v>
      </c>
      <c r="L86" s="4" t="s">
        <v>140</v>
      </c>
      <c r="M86" s="4" t="s">
        <v>140</v>
      </c>
      <c r="N86" s="4" t="s">
        <v>140</v>
      </c>
      <c r="S86" s="136">
        <v>0</v>
      </c>
      <c r="V86" s="4" t="s">
        <v>140</v>
      </c>
      <c r="W86" s="4" t="s">
        <v>140</v>
      </c>
    </row>
    <row r="87" spans="1:27" x14ac:dyDescent="0.25">
      <c r="A87" s="113">
        <f>+A86+0.1</f>
        <v>9.1999999999999993</v>
      </c>
      <c r="B87" t="s">
        <v>8</v>
      </c>
      <c r="C87" s="4" t="s">
        <v>472</v>
      </c>
      <c r="D87" s="4" t="s">
        <v>472</v>
      </c>
      <c r="G87" s="4" t="s">
        <v>140</v>
      </c>
      <c r="H87" s="3"/>
      <c r="I87" s="4" t="s">
        <v>140</v>
      </c>
      <c r="J87" s="3"/>
      <c r="K87" s="4" t="s">
        <v>140</v>
      </c>
      <c r="L87" s="4" t="s">
        <v>140</v>
      </c>
      <c r="M87" s="4" t="s">
        <v>140</v>
      </c>
      <c r="N87" s="4" t="s">
        <v>140</v>
      </c>
      <c r="S87" s="136">
        <v>0</v>
      </c>
      <c r="V87" s="4" t="s">
        <v>140</v>
      </c>
      <c r="W87" s="4" t="s">
        <v>140</v>
      </c>
    </row>
    <row r="89" spans="1:27" ht="18" thickBot="1" x14ac:dyDescent="0.35">
      <c r="A89" s="2">
        <v>10</v>
      </c>
      <c r="B89" s="1" t="s">
        <v>413</v>
      </c>
      <c r="C89" s="1"/>
      <c r="D89" s="1"/>
      <c r="E89" s="119"/>
      <c r="F89" s="119"/>
    </row>
    <row r="90" spans="1:27" ht="15.75" thickTop="1" x14ac:dyDescent="0.25">
      <c r="A90" s="113">
        <f>+A$89+0.1</f>
        <v>10.1</v>
      </c>
      <c r="B90" t="s">
        <v>180</v>
      </c>
      <c r="C90" s="4" t="s">
        <v>473</v>
      </c>
      <c r="D90" s="4" t="s">
        <v>473</v>
      </c>
      <c r="G90" s="3" t="s">
        <v>181</v>
      </c>
      <c r="H90" s="3" t="s">
        <v>352</v>
      </c>
      <c r="I90" s="3" t="s">
        <v>481</v>
      </c>
      <c r="J90" s="3" t="s">
        <v>351</v>
      </c>
      <c r="K90" s="4" t="s">
        <v>140</v>
      </c>
      <c r="L90" s="4" t="s">
        <v>140</v>
      </c>
      <c r="M90" s="4" t="s">
        <v>140</v>
      </c>
      <c r="N90" s="4" t="s">
        <v>140</v>
      </c>
      <c r="S90" s="136">
        <v>0</v>
      </c>
      <c r="V90" s="21">
        <v>3190</v>
      </c>
      <c r="W90" s="3" t="s">
        <v>172</v>
      </c>
      <c r="X90" s="89" t="s">
        <v>313</v>
      </c>
    </row>
    <row r="91" spans="1:27" x14ac:dyDescent="0.25">
      <c r="A91" s="113">
        <f>+A90+0.1</f>
        <v>10.199999999999999</v>
      </c>
      <c r="B91" t="s">
        <v>525</v>
      </c>
      <c r="C91" s="4" t="s">
        <v>473</v>
      </c>
      <c r="D91" s="4" t="s">
        <v>473</v>
      </c>
      <c r="G91" s="186" t="s">
        <v>527</v>
      </c>
      <c r="H91" s="186" t="s">
        <v>351</v>
      </c>
      <c r="I91" s="186" t="s">
        <v>527</v>
      </c>
      <c r="J91" s="186" t="s">
        <v>351</v>
      </c>
      <c r="K91" s="4" t="s">
        <v>140</v>
      </c>
      <c r="L91" s="4" t="s">
        <v>140</v>
      </c>
      <c r="M91" s="4" t="s">
        <v>140</v>
      </c>
      <c r="N91" s="4" t="s">
        <v>140</v>
      </c>
      <c r="S91" s="136">
        <v>0</v>
      </c>
      <c r="V91" s="21">
        <v>4940</v>
      </c>
      <c r="W91" s="186" t="s">
        <v>172</v>
      </c>
    </row>
    <row r="92" spans="1:27" hidden="1" x14ac:dyDescent="0.25">
      <c r="A92" s="113"/>
      <c r="B92" t="s">
        <v>407</v>
      </c>
      <c r="C92" s="4"/>
      <c r="D92" s="4"/>
      <c r="E92" s="272" t="s">
        <v>533</v>
      </c>
      <c r="G92" s="191"/>
      <c r="H92" s="191"/>
      <c r="I92" s="191"/>
      <c r="J92" s="191"/>
      <c r="K92" s="4"/>
      <c r="L92" s="4"/>
      <c r="M92" s="4"/>
      <c r="N92" s="4"/>
      <c r="O92" s="191"/>
      <c r="P92" s="191"/>
      <c r="Q92" s="191"/>
      <c r="R92" s="191"/>
      <c r="S92" s="192"/>
      <c r="V92" s="21"/>
      <c r="W92" s="191"/>
      <c r="Y92" s="192"/>
    </row>
    <row r="93" spans="1:27" x14ac:dyDescent="0.25">
      <c r="A93" s="113">
        <f>+A91+0.1</f>
        <v>10.299999999999999</v>
      </c>
      <c r="B93" t="s">
        <v>2</v>
      </c>
      <c r="C93" s="4" t="s">
        <v>473</v>
      </c>
      <c r="D93" s="4" t="s">
        <v>473</v>
      </c>
      <c r="E93" s="272"/>
      <c r="G93" s="167" t="s">
        <v>551</v>
      </c>
      <c r="H93" s="167" t="s">
        <v>351</v>
      </c>
      <c r="I93" s="167" t="s">
        <v>551</v>
      </c>
      <c r="J93" s="167" t="s">
        <v>351</v>
      </c>
      <c r="K93" s="4" t="s">
        <v>140</v>
      </c>
      <c r="L93" s="4" t="s">
        <v>140</v>
      </c>
      <c r="M93" s="4" t="s">
        <v>140</v>
      </c>
      <c r="N93" s="4" t="s">
        <v>140</v>
      </c>
      <c r="O93" s="189"/>
      <c r="P93" s="189"/>
      <c r="Q93" s="189"/>
      <c r="R93" s="189"/>
      <c r="S93" s="190">
        <v>0</v>
      </c>
      <c r="V93" s="21">
        <v>1750</v>
      </c>
      <c r="W93" s="189" t="s">
        <v>172</v>
      </c>
      <c r="Y93" s="190"/>
    </row>
    <row r="94" spans="1:27" x14ac:dyDescent="0.25">
      <c r="A94" s="113">
        <f t="shared" ref="A94:A99" si="6">+A93+0.1</f>
        <v>10.399999999999999</v>
      </c>
      <c r="B94" t="s">
        <v>1</v>
      </c>
      <c r="C94" s="4" t="s">
        <v>473</v>
      </c>
      <c r="D94" s="4" t="s">
        <v>473</v>
      </c>
      <c r="E94" s="272"/>
      <c r="G94" s="167" t="s">
        <v>539</v>
      </c>
      <c r="H94" s="167" t="s">
        <v>351</v>
      </c>
      <c r="I94" s="167" t="s">
        <v>539</v>
      </c>
      <c r="J94" s="167" t="s">
        <v>351</v>
      </c>
      <c r="K94" s="4" t="s">
        <v>140</v>
      </c>
      <c r="L94" s="4" t="s">
        <v>140</v>
      </c>
      <c r="M94" s="4" t="s">
        <v>140</v>
      </c>
      <c r="N94" s="4" t="s">
        <v>140</v>
      </c>
      <c r="O94" s="189"/>
      <c r="P94" s="189"/>
      <c r="Q94" s="189"/>
      <c r="R94" s="189"/>
      <c r="S94" s="190">
        <v>0</v>
      </c>
      <c r="V94" s="21">
        <v>1210</v>
      </c>
      <c r="W94" s="189" t="s">
        <v>172</v>
      </c>
      <c r="Y94" s="190"/>
    </row>
    <row r="95" spans="1:27" x14ac:dyDescent="0.25">
      <c r="A95" s="113">
        <f t="shared" si="6"/>
        <v>10.499999999999998</v>
      </c>
      <c r="B95" s="5" t="s">
        <v>9</v>
      </c>
      <c r="C95" s="4" t="s">
        <v>473</v>
      </c>
      <c r="D95" s="4" t="s">
        <v>473</v>
      </c>
      <c r="E95" s="272"/>
      <c r="G95" s="167" t="s">
        <v>552</v>
      </c>
      <c r="H95" s="167" t="s">
        <v>351</v>
      </c>
      <c r="I95" s="167" t="s">
        <v>552</v>
      </c>
      <c r="J95" s="167" t="s">
        <v>351</v>
      </c>
      <c r="K95" s="4" t="s">
        <v>140</v>
      </c>
      <c r="L95" s="4" t="s">
        <v>140</v>
      </c>
      <c r="M95" s="4" t="s">
        <v>140</v>
      </c>
      <c r="N95" s="4" t="s">
        <v>140</v>
      </c>
      <c r="O95" s="189"/>
      <c r="P95" s="189"/>
      <c r="Q95" s="189"/>
      <c r="R95" s="189"/>
      <c r="S95" s="190">
        <v>0</v>
      </c>
      <c r="V95" s="21">
        <v>2060</v>
      </c>
      <c r="W95" s="189" t="s">
        <v>172</v>
      </c>
      <c r="Y95" s="190"/>
    </row>
    <row r="96" spans="1:27" x14ac:dyDescent="0.25">
      <c r="A96" s="113">
        <f t="shared" si="6"/>
        <v>10.599999999999998</v>
      </c>
      <c r="B96" s="5" t="s">
        <v>382</v>
      </c>
      <c r="C96" s="4" t="s">
        <v>473</v>
      </c>
      <c r="D96" s="4" t="s">
        <v>473</v>
      </c>
      <c r="E96" s="272"/>
      <c r="G96" s="167" t="s">
        <v>553</v>
      </c>
      <c r="H96" s="167" t="s">
        <v>351</v>
      </c>
      <c r="I96" s="167" t="s">
        <v>553</v>
      </c>
      <c r="J96" s="167" t="s">
        <v>351</v>
      </c>
      <c r="K96" s="4" t="s">
        <v>140</v>
      </c>
      <c r="L96" s="4" t="s">
        <v>140</v>
      </c>
      <c r="M96" s="4" t="s">
        <v>140</v>
      </c>
      <c r="N96" s="4" t="s">
        <v>140</v>
      </c>
      <c r="O96" s="189"/>
      <c r="P96" s="189"/>
      <c r="Q96" s="189"/>
      <c r="R96" s="189"/>
      <c r="S96" s="190">
        <v>0</v>
      </c>
      <c r="V96" s="21">
        <v>2060</v>
      </c>
      <c r="W96" s="189" t="s">
        <v>172</v>
      </c>
      <c r="Y96" s="190"/>
    </row>
    <row r="97" spans="1:25" x14ac:dyDescent="0.25">
      <c r="A97" s="113">
        <f t="shared" si="6"/>
        <v>10.699999999999998</v>
      </c>
      <c r="B97" t="s">
        <v>0</v>
      </c>
      <c r="C97" s="4" t="s">
        <v>473</v>
      </c>
      <c r="D97" s="4" t="s">
        <v>473</v>
      </c>
      <c r="E97" s="272"/>
      <c r="G97" s="167" t="s">
        <v>540</v>
      </c>
      <c r="H97" s="167" t="s">
        <v>351</v>
      </c>
      <c r="I97" s="167" t="s">
        <v>540</v>
      </c>
      <c r="J97" s="167" t="s">
        <v>351</v>
      </c>
      <c r="K97" s="4" t="s">
        <v>140</v>
      </c>
      <c r="L97" s="4" t="s">
        <v>140</v>
      </c>
      <c r="M97" s="4" t="s">
        <v>140</v>
      </c>
      <c r="N97" s="4" t="s">
        <v>140</v>
      </c>
      <c r="O97" s="189"/>
      <c r="P97" s="189"/>
      <c r="Q97" s="189"/>
      <c r="R97" s="189"/>
      <c r="S97" s="190">
        <v>0</v>
      </c>
      <c r="V97" s="21">
        <v>3120</v>
      </c>
      <c r="W97" s="189" t="s">
        <v>172</v>
      </c>
      <c r="Y97" s="190"/>
    </row>
    <row r="98" spans="1:25" x14ac:dyDescent="0.25">
      <c r="A98" s="113">
        <f t="shared" si="6"/>
        <v>10.799999999999997</v>
      </c>
      <c r="B98" t="s">
        <v>390</v>
      </c>
      <c r="C98" s="4" t="s">
        <v>473</v>
      </c>
      <c r="D98" s="4" t="s">
        <v>473</v>
      </c>
      <c r="E98" s="272"/>
      <c r="G98" s="167" t="s">
        <v>554</v>
      </c>
      <c r="H98" s="167" t="s">
        <v>351</v>
      </c>
      <c r="I98" s="167" t="s">
        <v>554</v>
      </c>
      <c r="J98" s="167" t="s">
        <v>351</v>
      </c>
      <c r="K98" s="4" t="s">
        <v>140</v>
      </c>
      <c r="L98" s="4" t="s">
        <v>140</v>
      </c>
      <c r="M98" s="4" t="s">
        <v>140</v>
      </c>
      <c r="N98" s="4" t="s">
        <v>140</v>
      </c>
      <c r="O98" s="189"/>
      <c r="P98" s="189"/>
      <c r="Q98" s="189"/>
      <c r="R98" s="189"/>
      <c r="S98" s="190">
        <v>0</v>
      </c>
      <c r="V98" s="21">
        <v>3120</v>
      </c>
      <c r="W98" s="189" t="s">
        <v>172</v>
      </c>
      <c r="Y98" s="190"/>
    </row>
    <row r="99" spans="1:25" x14ac:dyDescent="0.25">
      <c r="A99" s="113">
        <f t="shared" si="6"/>
        <v>10.899999999999997</v>
      </c>
      <c r="B99" t="s">
        <v>14</v>
      </c>
      <c r="C99" s="4" t="s">
        <v>473</v>
      </c>
      <c r="D99" s="4" t="s">
        <v>473</v>
      </c>
      <c r="E99" s="272"/>
      <c r="G99" s="167" t="s">
        <v>541</v>
      </c>
      <c r="H99" s="167" t="s">
        <v>351</v>
      </c>
      <c r="I99" s="167" t="s">
        <v>541</v>
      </c>
      <c r="J99" s="167" t="s">
        <v>351</v>
      </c>
      <c r="K99" s="4" t="s">
        <v>140</v>
      </c>
      <c r="L99" s="4" t="s">
        <v>140</v>
      </c>
      <c r="M99" s="4" t="s">
        <v>140</v>
      </c>
      <c r="N99" s="4" t="s">
        <v>140</v>
      </c>
      <c r="O99" s="189"/>
      <c r="P99" s="189"/>
      <c r="Q99" s="189"/>
      <c r="R99" s="189"/>
      <c r="S99" s="190">
        <v>0</v>
      </c>
      <c r="V99" s="21">
        <v>2390</v>
      </c>
      <c r="W99" s="189" t="s">
        <v>172</v>
      </c>
      <c r="Y99" s="190"/>
    </row>
    <row r="100" spans="1:25" x14ac:dyDescent="0.25">
      <c r="A100" s="117">
        <v>10.1</v>
      </c>
      <c r="B100" t="s">
        <v>15</v>
      </c>
      <c r="C100" s="4" t="s">
        <v>473</v>
      </c>
      <c r="D100" s="4" t="s">
        <v>473</v>
      </c>
      <c r="E100" s="272"/>
      <c r="G100" s="167" t="s">
        <v>555</v>
      </c>
      <c r="H100" s="167" t="s">
        <v>351</v>
      </c>
      <c r="I100" s="167" t="s">
        <v>555</v>
      </c>
      <c r="J100" s="167" t="s">
        <v>351</v>
      </c>
      <c r="K100" s="4" t="s">
        <v>140</v>
      </c>
      <c r="L100" s="4" t="s">
        <v>140</v>
      </c>
      <c r="M100" s="4" t="s">
        <v>140</v>
      </c>
      <c r="N100" s="4" t="s">
        <v>140</v>
      </c>
      <c r="O100" s="189"/>
      <c r="P100" s="189"/>
      <c r="Q100" s="189"/>
      <c r="R100" s="189"/>
      <c r="S100" s="190">
        <v>0</v>
      </c>
      <c r="V100" s="21">
        <v>2390</v>
      </c>
      <c r="W100" s="189" t="s">
        <v>172</v>
      </c>
      <c r="Y100" s="190"/>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M26:M30 N9:N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A32" zoomScaleNormal="100" workbookViewId="0">
      <selection activeCell="S44" sqref="S44"/>
    </sheetView>
  </sheetViews>
  <sheetFormatPr defaultRowHeight="15" outlineLevelCol="1" x14ac:dyDescent="0.25"/>
  <cols>
    <col min="1" max="5" width="9.140625" style="215" customWidth="1" outlineLevel="1"/>
    <col min="6" max="6" width="22" customWidth="1"/>
    <col min="7" max="7" width="48.42578125" bestFit="1" customWidth="1"/>
    <col min="8" max="8" width="44.28515625" style="264" customWidth="1"/>
    <col min="9" max="9" width="20.140625" customWidth="1"/>
    <col min="11" max="11" width="20" hidden="1" customWidth="1" outlineLevel="1"/>
    <col min="12" max="12" width="9.140625" style="262"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140625" collapsed="1"/>
    <col min="22" max="22" width="9.140625" customWidth="1"/>
    <col min="36" max="39" width="8.85546875" customWidth="1"/>
  </cols>
  <sheetData>
    <row r="1" spans="1:27" ht="60.75" customHeight="1" x14ac:dyDescent="0.25">
      <c r="F1" s="268"/>
      <c r="G1" s="269"/>
      <c r="H1" s="269"/>
      <c r="I1" s="270"/>
      <c r="K1" s="132" t="s">
        <v>345</v>
      </c>
      <c r="L1" s="38">
        <f>+'[1]WORKCELL BOM'!Q68</f>
        <v>4</v>
      </c>
      <c r="M1" t="s">
        <v>449</v>
      </c>
    </row>
    <row r="2" spans="1:27" ht="28.5" customHeight="1" thickBot="1" x14ac:dyDescent="0.3">
      <c r="F2" s="292" t="s">
        <v>420</v>
      </c>
      <c r="G2" s="293"/>
      <c r="H2" s="293"/>
      <c r="I2" s="26"/>
    </row>
    <row r="3" spans="1:27" ht="15.75" thickTop="1" x14ac:dyDescent="0.25">
      <c r="F3" s="27"/>
      <c r="G3" s="7"/>
      <c r="H3" s="265"/>
      <c r="I3" s="28"/>
      <c r="K3" s="9"/>
    </row>
    <row r="4" spans="1:27" x14ac:dyDescent="0.25">
      <c r="F4" s="289" t="s">
        <v>424</v>
      </c>
      <c r="G4" s="115" t="str">
        <f>+[1]MENU!B3</f>
        <v>Work Cell</v>
      </c>
      <c r="H4" s="274" t="s">
        <v>322</v>
      </c>
      <c r="I4" s="274"/>
      <c r="K4" s="9" t="s">
        <v>432</v>
      </c>
    </row>
    <row r="5" spans="1:27" ht="15" customHeight="1" x14ac:dyDescent="0.25">
      <c r="F5" s="289"/>
      <c r="G5" s="115" t="str">
        <f>+[1]Data!C3</f>
        <v>Voltage</v>
      </c>
      <c r="H5" s="274" t="s">
        <v>642</v>
      </c>
      <c r="I5" s="274"/>
      <c r="K5" s="9" t="s">
        <v>12</v>
      </c>
    </row>
    <row r="6" spans="1:27" ht="15" customHeight="1" x14ac:dyDescent="0.25">
      <c r="F6" s="289"/>
      <c r="G6" s="115" t="str">
        <f>+[1]Data!E3</f>
        <v>Certification</v>
      </c>
      <c r="H6" s="274" t="s">
        <v>407</v>
      </c>
      <c r="I6" s="274"/>
      <c r="K6" s="9" t="s">
        <v>356</v>
      </c>
    </row>
    <row r="7" spans="1:27" x14ac:dyDescent="0.25">
      <c r="A7" s="215">
        <f>IF(AND(H8="N",H13="N"),0,1)</f>
        <v>1</v>
      </c>
      <c r="F7" s="219"/>
      <c r="G7" s="12"/>
      <c r="H7" s="12"/>
      <c r="I7" s="88"/>
      <c r="K7" s="9"/>
      <c r="M7" s="215"/>
      <c r="N7" s="215"/>
      <c r="R7" s="133" t="s">
        <v>440</v>
      </c>
    </row>
    <row r="8" spans="1:27" ht="15" customHeight="1" x14ac:dyDescent="0.25">
      <c r="A8" s="215">
        <v>1</v>
      </c>
      <c r="F8" s="291" t="s">
        <v>425</v>
      </c>
      <c r="G8" s="29" t="s">
        <v>208</v>
      </c>
      <c r="H8" s="274" t="s">
        <v>397</v>
      </c>
      <c r="I8" s="274"/>
      <c r="K8" s="7" t="s">
        <v>433</v>
      </c>
      <c r="L8" s="262">
        <f>IFERROR(VLOOKUP(H8,[1]MENU!B8:Y29,24,FALSE),0)</f>
        <v>0</v>
      </c>
      <c r="M8" s="215">
        <f>IF(OR(H$22=1,H$24=1,H$26=1,H$28=1),0,1)</f>
        <v>0</v>
      </c>
      <c r="N8" s="215">
        <f>IF(OR(L8=0,AND(L8=1,M8=1)),1,0)</f>
        <v>1</v>
      </c>
      <c r="O8" s="215">
        <f>IF(H8="",0,1)</f>
        <v>1</v>
      </c>
      <c r="P8" s="215">
        <f>+IF(H8="N",0,1)</f>
        <v>1</v>
      </c>
      <c r="Q8" s="215">
        <f>+N8*O8*P8</f>
        <v>1</v>
      </c>
      <c r="R8" s="133">
        <f>IF(Q8=1,1,"")</f>
        <v>1</v>
      </c>
    </row>
    <row r="9" spans="1:27" ht="15" customHeight="1" x14ac:dyDescent="0.25">
      <c r="A9" s="215">
        <f>+B9*C9</f>
        <v>1</v>
      </c>
      <c r="B9" s="215">
        <f>IF(OR(H$8="N",L8=1),0,1)</f>
        <v>1</v>
      </c>
      <c r="C9" s="215">
        <f>+IF($H$8=[1]MENU!$B$28,0,1)</f>
        <v>1</v>
      </c>
      <c r="F9" s="291"/>
      <c r="G9" s="29" t="s">
        <v>451</v>
      </c>
      <c r="H9" s="274" t="s">
        <v>271</v>
      </c>
      <c r="I9" s="274"/>
      <c r="K9" s="9" t="s">
        <v>11</v>
      </c>
      <c r="L9" s="262">
        <f>IFERROR(VLOOKUP(H13,[1]MENU!B8:Y29,24,FALSE),0)</f>
        <v>0</v>
      </c>
      <c r="M9" s="215">
        <f>IF(OR(H$22=2,H$24=2,H$26=2,H$28=2),0,1)</f>
        <v>0</v>
      </c>
      <c r="N9" s="215">
        <f>IF(OR(L9=0,AND(L9=1,M9=1)),1,0)</f>
        <v>1</v>
      </c>
      <c r="O9" s="215">
        <f>IF(H13="",0,1)</f>
        <v>1</v>
      </c>
      <c r="P9" s="215">
        <f>+IF(H13="N",0,1)</f>
        <v>1</v>
      </c>
      <c r="Q9" s="215">
        <f>+N9*O9*P9</f>
        <v>1</v>
      </c>
      <c r="R9" s="133">
        <f>IF(Q9=1,2,"")</f>
        <v>2</v>
      </c>
      <c r="S9" s="157"/>
    </row>
    <row r="10" spans="1:27" ht="15" customHeight="1" x14ac:dyDescent="0.25">
      <c r="A10" s="215">
        <f>+B10*C10</f>
        <v>1</v>
      </c>
      <c r="B10" s="215">
        <f>IF(OR(H$8="N",L8=1),0,1)</f>
        <v>1</v>
      </c>
      <c r="C10" s="215">
        <f>+IF($H$8=[1]MENU!$B$28,0,1)</f>
        <v>1</v>
      </c>
      <c r="F10" s="291"/>
      <c r="G10" s="29" t="s">
        <v>178</v>
      </c>
      <c r="H10" s="274" t="s">
        <v>407</v>
      </c>
      <c r="I10" s="274"/>
      <c r="K10" s="9" t="s">
        <v>174</v>
      </c>
      <c r="S10" s="157"/>
    </row>
    <row r="11" spans="1:27" ht="15" customHeight="1" x14ac:dyDescent="0.25">
      <c r="A11" s="215">
        <f>IF(H$8="N",0,1)</f>
        <v>1</v>
      </c>
      <c r="F11" s="291"/>
      <c r="G11" s="29" t="s">
        <v>452</v>
      </c>
      <c r="H11" s="274" t="s">
        <v>60</v>
      </c>
      <c r="I11" s="274"/>
      <c r="K11" s="9" t="s">
        <v>99</v>
      </c>
      <c r="S11" s="157"/>
      <c r="T11" s="157"/>
      <c r="U11" s="157"/>
      <c r="V11" s="157"/>
      <c r="W11" s="157"/>
      <c r="X11" s="157"/>
      <c r="Y11" s="157"/>
      <c r="Z11" s="157"/>
      <c r="AA11" s="157"/>
    </row>
    <row r="12" spans="1:27" ht="15" customHeight="1" x14ac:dyDescent="0.25">
      <c r="A12" s="215">
        <f>IF(H$8="N",0,1)</f>
        <v>1</v>
      </c>
      <c r="F12" s="291"/>
      <c r="G12" s="29" t="s">
        <v>453</v>
      </c>
      <c r="H12" s="274" t="s">
        <v>63</v>
      </c>
      <c r="I12" s="274"/>
      <c r="K12" s="9" t="str">
        <f>VLOOKUP(H11,[1]Material!A2:B10,2,FALSE)</f>
        <v>Humiseal</v>
      </c>
    </row>
    <row r="13" spans="1:27" ht="15" customHeight="1" x14ac:dyDescent="0.25">
      <c r="A13" s="215">
        <f>+IF($H$8=[1]MENU!$B$28,0,1)</f>
        <v>1</v>
      </c>
      <c r="F13" s="291"/>
      <c r="G13" s="29" t="s">
        <v>209</v>
      </c>
      <c r="H13" s="274" t="s">
        <v>396</v>
      </c>
      <c r="I13" s="274"/>
      <c r="K13" s="7" t="s">
        <v>433</v>
      </c>
    </row>
    <row r="14" spans="1:27" ht="15" customHeight="1" x14ac:dyDescent="0.25">
      <c r="A14" s="215">
        <f>+B14*C14</f>
        <v>1</v>
      </c>
      <c r="B14" s="215">
        <f>IF(OR(H$13="N",L9=1),0,1)</f>
        <v>1</v>
      </c>
      <c r="C14" s="215">
        <f>+IF($H$8=[1]MENU!$B$28,0,1)</f>
        <v>1</v>
      </c>
      <c r="F14" s="291"/>
      <c r="G14" s="29" t="s">
        <v>454</v>
      </c>
      <c r="H14" s="274" t="s">
        <v>271</v>
      </c>
      <c r="I14" s="274"/>
      <c r="K14" s="9" t="s">
        <v>11</v>
      </c>
    </row>
    <row r="15" spans="1:27" ht="15" hidden="1" customHeight="1" x14ac:dyDescent="0.25">
      <c r="A15" s="215">
        <f>+B15*C15</f>
        <v>0</v>
      </c>
      <c r="B15" s="215">
        <f>IF(OR(H10="N",H$13="N",L9=1),0,1)</f>
        <v>0</v>
      </c>
      <c r="C15" s="215">
        <f>+IF($H$8=[1]MENU!$B$28,0,1)</f>
        <v>1</v>
      </c>
      <c r="F15" s="291"/>
      <c r="G15" s="29" t="s">
        <v>179</v>
      </c>
      <c r="H15" s="274"/>
      <c r="I15" s="274"/>
      <c r="K15" s="9" t="s">
        <v>11</v>
      </c>
    </row>
    <row r="16" spans="1:27" ht="15" customHeight="1" x14ac:dyDescent="0.25">
      <c r="A16" s="215">
        <f>+B16*C16</f>
        <v>1</v>
      </c>
      <c r="B16" s="215">
        <f>IF(H$13="N",0,1)</f>
        <v>1</v>
      </c>
      <c r="C16" s="215">
        <f>+IF($H$8=[1]MENU!$B$28,0,1)</f>
        <v>1</v>
      </c>
      <c r="F16" s="291"/>
      <c r="G16" s="29" t="s">
        <v>455</v>
      </c>
      <c r="H16" s="274" t="s">
        <v>60</v>
      </c>
      <c r="I16" s="274"/>
      <c r="K16" s="9" t="s">
        <v>99</v>
      </c>
    </row>
    <row r="17" spans="1:47" ht="15" customHeight="1" x14ac:dyDescent="0.25">
      <c r="A17" s="215">
        <f>+B17*C17</f>
        <v>1</v>
      </c>
      <c r="B17" s="215">
        <f>IF(H$13="N",0,1)</f>
        <v>1</v>
      </c>
      <c r="C17" s="215">
        <f>+IF($H$8=[1]MENU!$B$28,0,1)</f>
        <v>1</v>
      </c>
      <c r="F17" s="289"/>
      <c r="G17" s="29" t="s">
        <v>456</v>
      </c>
      <c r="H17" s="274" t="s">
        <v>64</v>
      </c>
      <c r="I17" s="274"/>
      <c r="K17" s="9" t="str">
        <f>VLOOKUP(H16,[1]Material!A2:B10,2,FALSE)</f>
        <v>Humiseal</v>
      </c>
    </row>
    <row r="18" spans="1:47" ht="15" customHeight="1" x14ac:dyDescent="0.25">
      <c r="A18" s="215">
        <v>1</v>
      </c>
      <c r="F18" s="219"/>
      <c r="G18" s="12"/>
      <c r="H18" s="12"/>
      <c r="I18" s="88"/>
      <c r="K18" s="9"/>
      <c r="S18" s="275" t="str">
        <f>IF(OR(H19="N",H19=""),"",H19)</f>
        <v>3 Station Dispense Head with Two Position Tilt on Stations 2 and 3</v>
      </c>
      <c r="T18" s="275"/>
      <c r="U18" s="275"/>
      <c r="V18" s="275"/>
      <c r="W18" s="275"/>
      <c r="X18" s="275"/>
      <c r="Y18" s="275"/>
    </row>
    <row r="19" spans="1:47" x14ac:dyDescent="0.25">
      <c r="A19" s="215">
        <v>1</v>
      </c>
      <c r="F19" s="263" t="s">
        <v>426</v>
      </c>
      <c r="G19" s="29" t="s">
        <v>412</v>
      </c>
      <c r="H19" s="290" t="s">
        <v>489</v>
      </c>
      <c r="I19" s="274"/>
      <c r="K19" s="9" t="str">
        <f>+[1]MENU!E32</f>
        <v>DISPENSE_HEAD</v>
      </c>
      <c r="L19" s="262">
        <f>IFERROR(VLOOKUP(H19,[1]MENU!B33:Y41,24,FALSE),0)</f>
        <v>3</v>
      </c>
    </row>
    <row r="20" spans="1:47" ht="15" customHeight="1" x14ac:dyDescent="0.25">
      <c r="A20" s="215">
        <f>IF(OR(H$19="N",H19=""),0,1)</f>
        <v>1</v>
      </c>
      <c r="F20" s="123"/>
      <c r="G20" s="29"/>
      <c r="H20" s="35"/>
      <c r="I20" s="28"/>
      <c r="K20" s="9"/>
    </row>
    <row r="21" spans="1:47" ht="15" customHeight="1" x14ac:dyDescent="0.25">
      <c r="A21" s="215">
        <f>+B21*C21</f>
        <v>1</v>
      </c>
      <c r="B21" s="215">
        <f>IF(L$19&gt;=1,1,0)</f>
        <v>1</v>
      </c>
      <c r="C21" s="215">
        <f>+IF(OR($H$19=[1]MENU!$B$39,$H$19=[1]MENU!$B$40),0,1)</f>
        <v>1</v>
      </c>
      <c r="F21" s="291" t="s">
        <v>427</v>
      </c>
      <c r="G21" s="29" t="s">
        <v>504</v>
      </c>
      <c r="H21" s="274" t="s">
        <v>0</v>
      </c>
      <c r="I21" s="274"/>
      <c r="K21" s="9" t="str">
        <f>IF(L$28&gt;=2,"POD_NOSPRAY","POD")</f>
        <v>POD</v>
      </c>
      <c r="L21" s="262">
        <f>IFERROR(VLOOKUP(H21,[1]MENU!B$44:Y$52,24,FALSE),0)</f>
        <v>1</v>
      </c>
    </row>
    <row r="22" spans="1:47" ht="15" customHeight="1" x14ac:dyDescent="0.25">
      <c r="A22" s="215">
        <f>+B22*C22*D22</f>
        <v>1</v>
      </c>
      <c r="B22" s="215">
        <f>IF(AND(L$19&gt;=1,H21&lt;&gt;"N"),1,0)</f>
        <v>1</v>
      </c>
      <c r="C22" s="215">
        <v>1</v>
      </c>
      <c r="D22" s="215">
        <f>+IF(OR($H$19=[1]MENU!$B$39,$H$19=[1]MENU!$B$40),0,1)</f>
        <v>1</v>
      </c>
      <c r="F22" s="291"/>
      <c r="G22" s="29" t="s">
        <v>505</v>
      </c>
      <c r="H22" s="274">
        <v>1</v>
      </c>
      <c r="I22" s="274"/>
      <c r="K22" s="11" t="s">
        <v>440</v>
      </c>
    </row>
    <row r="23" spans="1:47" ht="15" customHeight="1" x14ac:dyDescent="0.25">
      <c r="A23" s="215">
        <f>IF(L$19&gt;=2,1,0)</f>
        <v>1</v>
      </c>
      <c r="F23" s="291"/>
      <c r="G23" s="29" t="s">
        <v>506</v>
      </c>
      <c r="H23" s="274" t="s">
        <v>1</v>
      </c>
      <c r="I23" s="274"/>
      <c r="K23" s="9" t="str">
        <f>IF(L$28&gt;=2,"POD_NOSPRAY","POD")</f>
        <v>POD</v>
      </c>
      <c r="L23" s="262">
        <f>IFERROR(VLOOKUP(H23,[1]MENU!B$44:Y$52,24,FALSE),0)</f>
        <v>0</v>
      </c>
    </row>
    <row r="24" spans="1:47" ht="15" customHeight="1" x14ac:dyDescent="0.25">
      <c r="A24" s="215">
        <f>+B24*C24</f>
        <v>1</v>
      </c>
      <c r="B24" s="215">
        <f>IF(AND(L$19&gt;=2,H23&lt;&gt;"N"),1,0)</f>
        <v>1</v>
      </c>
      <c r="C24" s="215">
        <v>1</v>
      </c>
      <c r="F24" s="291"/>
      <c r="G24" s="29" t="s">
        <v>507</v>
      </c>
      <c r="H24" s="274">
        <v>1</v>
      </c>
      <c r="I24" s="274"/>
      <c r="K24" s="11" t="s">
        <v>440</v>
      </c>
    </row>
    <row r="25" spans="1:47" ht="15" customHeight="1" x14ac:dyDescent="0.25">
      <c r="A25" s="215">
        <f>IF(L$19&gt;=3,1,0)</f>
        <v>1</v>
      </c>
      <c r="F25" s="291"/>
      <c r="G25" s="29" t="s">
        <v>531</v>
      </c>
      <c r="H25" s="274" t="s">
        <v>2</v>
      </c>
      <c r="I25" s="274"/>
      <c r="K25" s="9" t="str">
        <f>IF(L$28&gt;=2,"POD_NOSPRAY","POD")</f>
        <v>POD</v>
      </c>
      <c r="L25" s="262">
        <f>IFERROR(VLOOKUP(H25,[1]MENU!B$44:Y$52,24,FALSE),0)</f>
        <v>0</v>
      </c>
    </row>
    <row r="26" spans="1:47" ht="15" customHeight="1" x14ac:dyDescent="0.25">
      <c r="A26" s="215">
        <f>+B26*C26</f>
        <v>1</v>
      </c>
      <c r="B26" s="215">
        <f>IF(AND(L$19&gt;=3,H25&lt;&gt;"N"),1,0)</f>
        <v>1</v>
      </c>
      <c r="C26" s="215">
        <v>1</v>
      </c>
      <c r="F26" s="291"/>
      <c r="G26" s="29" t="s">
        <v>508</v>
      </c>
      <c r="H26" s="274">
        <v>2</v>
      </c>
      <c r="I26" s="274"/>
      <c r="K26" s="11" t="s">
        <v>440</v>
      </c>
      <c r="S26" s="157"/>
      <c r="T26" s="170"/>
      <c r="U26" s="170"/>
      <c r="V26" s="170"/>
      <c r="W26" s="170"/>
      <c r="X26" s="170"/>
      <c r="Y26" s="170"/>
      <c r="Z26" s="170"/>
      <c r="AA26" s="170"/>
      <c r="AB26" s="170"/>
      <c r="AC26" s="170"/>
      <c r="AD26" s="170"/>
      <c r="AE26" s="170"/>
      <c r="AF26" s="170"/>
      <c r="AG26" s="170"/>
      <c r="AH26" s="170"/>
      <c r="AI26" s="170"/>
      <c r="AN26" s="170"/>
      <c r="AO26" s="170"/>
      <c r="AP26" s="170"/>
      <c r="AQ26" s="170"/>
      <c r="AR26" s="170"/>
      <c r="AS26" s="170"/>
      <c r="AT26" s="170"/>
      <c r="AU26" s="170"/>
    </row>
    <row r="27" spans="1:47" ht="15" hidden="1" customHeight="1" x14ac:dyDescent="0.25">
      <c r="A27" s="215">
        <f>IF(L$19=4,1,0)</f>
        <v>0</v>
      </c>
      <c r="F27" s="291"/>
      <c r="G27" s="29" t="s">
        <v>509</v>
      </c>
      <c r="H27" s="274"/>
      <c r="I27" s="274"/>
      <c r="K27" s="9" t="str">
        <f>IF(L$28&gt;=2,"POD_NOSPRAY","POD")</f>
        <v>POD</v>
      </c>
      <c r="L27" s="262">
        <f>IFERROR(VLOOKUP(H27,[1]MENU!B$44:Y$52,24,FALSE),0)</f>
        <v>0</v>
      </c>
      <c r="S27" s="157"/>
      <c r="T27" s="170"/>
      <c r="U27" s="170"/>
      <c r="V27" s="170"/>
      <c r="W27" s="170"/>
      <c r="X27" s="170"/>
      <c r="Y27" s="170"/>
      <c r="Z27" s="170"/>
      <c r="AA27" s="170"/>
      <c r="AB27" s="170"/>
      <c r="AC27" s="170"/>
      <c r="AD27" s="170"/>
      <c r="AE27" s="170"/>
      <c r="AF27" s="170"/>
      <c r="AG27" s="170"/>
      <c r="AH27" s="170"/>
      <c r="AI27" s="170"/>
      <c r="AN27" s="170"/>
      <c r="AO27" s="170"/>
      <c r="AP27" s="170"/>
      <c r="AQ27" s="170"/>
      <c r="AR27" s="170"/>
      <c r="AS27" s="170"/>
      <c r="AT27" s="170"/>
      <c r="AU27" s="170"/>
    </row>
    <row r="28" spans="1:47" ht="15" hidden="1" customHeight="1" x14ac:dyDescent="0.25">
      <c r="A28" s="215">
        <f>+B28*C28</f>
        <v>0</v>
      </c>
      <c r="B28" s="215">
        <f>IF(AND(L$19=4,H27&lt;&gt;"N"),1,0)</f>
        <v>0</v>
      </c>
      <c r="C28" s="215">
        <v>1</v>
      </c>
      <c r="F28" s="291"/>
      <c r="G28" s="29" t="s">
        <v>510</v>
      </c>
      <c r="H28" s="274"/>
      <c r="I28" s="274"/>
      <c r="K28" s="11" t="s">
        <v>440</v>
      </c>
      <c r="L28" s="262">
        <f>L21+L23+L25+L27</f>
        <v>1</v>
      </c>
      <c r="S28" s="157"/>
      <c r="T28" s="170"/>
      <c r="U28" s="170"/>
      <c r="V28" s="170"/>
      <c r="W28" s="170"/>
      <c r="X28" s="170"/>
      <c r="Y28" s="170"/>
      <c r="Z28" s="170"/>
      <c r="AA28" s="170"/>
      <c r="AB28" s="170"/>
      <c r="AC28" s="170"/>
      <c r="AD28" s="170"/>
      <c r="AE28" s="170"/>
      <c r="AF28" s="170"/>
      <c r="AG28" s="170"/>
      <c r="AH28" s="170"/>
      <c r="AI28" s="170"/>
      <c r="AN28" s="170"/>
      <c r="AO28" s="170"/>
      <c r="AP28" s="170"/>
      <c r="AQ28" s="170"/>
      <c r="AR28" s="170"/>
      <c r="AS28" s="170"/>
      <c r="AT28" s="170"/>
      <c r="AU28" s="170"/>
    </row>
    <row r="29" spans="1:47" x14ac:dyDescent="0.25">
      <c r="A29" s="215">
        <v>1</v>
      </c>
      <c r="F29" s="220"/>
      <c r="G29" s="221"/>
      <c r="H29" s="221"/>
      <c r="I29" s="222"/>
      <c r="K29" s="9"/>
      <c r="S29" s="157"/>
      <c r="T29" s="170"/>
      <c r="U29" s="170"/>
      <c r="V29" s="170"/>
      <c r="W29" s="170"/>
      <c r="X29" s="170"/>
      <c r="Y29" s="170"/>
      <c r="Z29" s="170"/>
      <c r="AA29" s="170"/>
      <c r="AB29" s="170"/>
      <c r="AC29" s="170"/>
      <c r="AD29" s="170"/>
      <c r="AE29" s="170"/>
      <c r="AF29" s="170"/>
      <c r="AG29" s="170"/>
      <c r="AH29" s="170"/>
      <c r="AI29" s="170"/>
      <c r="AN29" s="170"/>
      <c r="AO29" s="170"/>
      <c r="AP29" s="170"/>
      <c r="AQ29" s="170"/>
      <c r="AR29" s="170"/>
      <c r="AS29" s="170"/>
      <c r="AT29" s="170"/>
      <c r="AU29" s="170"/>
    </row>
    <row r="30" spans="1:47" x14ac:dyDescent="0.25">
      <c r="A30" s="215">
        <v>1</v>
      </c>
      <c r="F30" s="291" t="s">
        <v>428</v>
      </c>
      <c r="G30" s="115" t="str">
        <f>+IF(H30="","Part Handling",IF(B31=0,"Fixture","Conveyor"))</f>
        <v>Conveyor</v>
      </c>
      <c r="H30" s="274" t="s">
        <v>532</v>
      </c>
      <c r="I30" s="274"/>
      <c r="K30" s="9" t="str">
        <f>+[1]MENU!E55</f>
        <v>CONVEYOR</v>
      </c>
      <c r="S30" s="157"/>
      <c r="T30" s="170"/>
      <c r="U30" s="170"/>
      <c r="V30" s="170"/>
      <c r="W30" s="170"/>
      <c r="X30" s="170"/>
      <c r="Y30" s="170"/>
      <c r="Z30" s="170"/>
      <c r="AA30" s="170"/>
      <c r="AB30" s="170"/>
      <c r="AC30" s="170"/>
      <c r="AD30" s="170"/>
      <c r="AE30" s="170"/>
      <c r="AF30" s="170"/>
      <c r="AG30" s="170"/>
      <c r="AH30" s="170"/>
      <c r="AI30" s="170"/>
      <c r="AN30" s="170"/>
      <c r="AO30" s="170"/>
      <c r="AP30" s="170"/>
      <c r="AQ30" s="170"/>
      <c r="AR30" s="170"/>
      <c r="AS30" s="170"/>
      <c r="AT30" s="170"/>
      <c r="AU30" s="170"/>
    </row>
    <row r="31" spans="1:47" ht="15" customHeight="1" x14ac:dyDescent="0.25">
      <c r="A31" s="215">
        <f>+B31*C31</f>
        <v>1</v>
      </c>
      <c r="B31" s="215">
        <f>+IF($H$30=[1]MENU!$B$57,0,1)</f>
        <v>1</v>
      </c>
      <c r="C31" s="215">
        <f>IF(H$30="N",0,1)</f>
        <v>1</v>
      </c>
      <c r="F31" s="291"/>
      <c r="G31" s="115" t="s">
        <v>13</v>
      </c>
      <c r="H31" s="274" t="s">
        <v>16</v>
      </c>
      <c r="I31" s="274"/>
      <c r="K31" s="9" t="str">
        <f>+[1]Data!B3</f>
        <v>Direction</v>
      </c>
      <c r="T31" s="170"/>
      <c r="U31" s="170"/>
      <c r="V31" s="170"/>
      <c r="W31" s="170"/>
      <c r="X31" s="170"/>
      <c r="Y31" s="170"/>
      <c r="Z31" s="170"/>
      <c r="AA31" s="170"/>
      <c r="AB31" s="170"/>
      <c r="AC31" s="170"/>
      <c r="AD31" s="170"/>
      <c r="AE31" s="170"/>
      <c r="AF31" s="170"/>
      <c r="AG31" s="170"/>
      <c r="AH31" s="170"/>
      <c r="AI31" s="170"/>
      <c r="AN31" s="170"/>
      <c r="AO31" s="170"/>
      <c r="AP31" s="170"/>
      <c r="AQ31" s="170"/>
    </row>
    <row r="32" spans="1:47" ht="15" customHeight="1" x14ac:dyDescent="0.25">
      <c r="A32" s="215">
        <f>+B32*C32</f>
        <v>1</v>
      </c>
      <c r="B32" s="215">
        <f>+IF($H$30=[1]MENU!$B$57,0,1)</f>
        <v>1</v>
      </c>
      <c r="C32" s="215">
        <f>IF(H$30="N",0,1)</f>
        <v>1</v>
      </c>
      <c r="F32" s="291"/>
      <c r="G32" s="115" t="s">
        <v>611</v>
      </c>
      <c r="H32" s="274" t="s">
        <v>596</v>
      </c>
      <c r="I32" s="274"/>
      <c r="K32" s="9" t="s">
        <v>610</v>
      </c>
      <c r="M32" s="262"/>
      <c r="T32" s="170"/>
      <c r="U32" s="170"/>
      <c r="V32" s="170"/>
      <c r="W32" s="170"/>
      <c r="X32" s="170"/>
      <c r="Y32" s="170"/>
      <c r="Z32" s="170"/>
      <c r="AA32" s="170"/>
      <c r="AB32" s="170"/>
      <c r="AC32" s="170"/>
      <c r="AD32" s="170"/>
      <c r="AE32" s="170"/>
      <c r="AF32" s="170"/>
      <c r="AG32" s="170"/>
      <c r="AH32" s="170"/>
      <c r="AI32" s="170"/>
      <c r="AN32" s="170"/>
      <c r="AO32" s="170"/>
      <c r="AP32" s="170"/>
      <c r="AQ32" s="170"/>
    </row>
    <row r="33" spans="1:43" ht="15" customHeight="1" x14ac:dyDescent="0.25">
      <c r="A33" s="215">
        <f>+B33*C33</f>
        <v>1</v>
      </c>
      <c r="B33" s="215">
        <f>+IF($H$30=[1]MENU!$B$57,0,1)</f>
        <v>1</v>
      </c>
      <c r="C33" s="215">
        <f>IF(H$30="N",0,1)</f>
        <v>1</v>
      </c>
      <c r="F33" s="291"/>
      <c r="G33" s="115" t="str">
        <f>+[1]MENU!B64</f>
        <v>Barcode - Mounted on Conveyor Inlet with P Select</v>
      </c>
      <c r="H33" s="274" t="s">
        <v>407</v>
      </c>
      <c r="I33" s="274"/>
      <c r="K33" s="9" t="str">
        <f>IF(L33=1,"No","YesNo")</f>
        <v>YesNo</v>
      </c>
      <c r="L33" s="262">
        <f>+IF(H32=[1]MENU!B67,1,0)</f>
        <v>0</v>
      </c>
      <c r="T33" s="170"/>
      <c r="U33" s="170"/>
      <c r="V33" s="170"/>
      <c r="W33" s="170"/>
      <c r="X33" s="170"/>
      <c r="Y33" s="170"/>
      <c r="Z33" s="170"/>
      <c r="AA33" s="170"/>
      <c r="AB33" s="170"/>
      <c r="AC33" s="170"/>
      <c r="AD33" s="170"/>
      <c r="AE33" s="170"/>
      <c r="AF33" s="170"/>
      <c r="AG33" s="170"/>
      <c r="AH33" s="170"/>
      <c r="AI33" s="170"/>
      <c r="AN33" s="170"/>
      <c r="AO33" s="170"/>
      <c r="AP33" s="170"/>
      <c r="AQ33" s="170"/>
    </row>
    <row r="34" spans="1:43" ht="15" customHeight="1" x14ac:dyDescent="0.25">
      <c r="A34" s="215">
        <v>1</v>
      </c>
      <c r="F34" s="220"/>
      <c r="G34" s="221"/>
      <c r="H34" s="221"/>
      <c r="I34" s="222"/>
      <c r="K34" s="9"/>
      <c r="T34" s="170"/>
      <c r="U34" s="170"/>
      <c r="V34" s="170"/>
      <c r="W34" s="170"/>
      <c r="X34" s="170"/>
      <c r="Y34" s="170"/>
      <c r="Z34" s="170"/>
      <c r="AA34" s="170"/>
      <c r="AB34" s="170"/>
      <c r="AC34" s="170"/>
      <c r="AD34" s="170"/>
      <c r="AE34" s="170"/>
      <c r="AF34" s="170"/>
      <c r="AG34" s="170"/>
      <c r="AH34" s="170"/>
      <c r="AI34" s="170"/>
      <c r="AN34" s="170"/>
      <c r="AO34" s="170"/>
      <c r="AP34" s="170"/>
      <c r="AQ34" s="170"/>
    </row>
    <row r="35" spans="1:43" x14ac:dyDescent="0.25">
      <c r="A35" s="215">
        <v>1</v>
      </c>
      <c r="F35" s="263" t="s">
        <v>429</v>
      </c>
      <c r="G35" s="29" t="s">
        <v>436</v>
      </c>
      <c r="H35" s="274" t="s">
        <v>474</v>
      </c>
      <c r="I35" s="274"/>
      <c r="K35" s="9" t="str">
        <f>+[1]MENU!E70</f>
        <v>CAMERA</v>
      </c>
      <c r="T35" s="170"/>
      <c r="U35" s="170"/>
      <c r="V35" s="170"/>
      <c r="W35" s="170"/>
      <c r="X35" s="170"/>
      <c r="Y35" s="170"/>
      <c r="Z35" s="170"/>
      <c r="AA35" s="170"/>
      <c r="AB35" s="170"/>
      <c r="AC35" s="170"/>
      <c r="AD35" s="170"/>
      <c r="AE35" s="170"/>
      <c r="AF35" s="170"/>
      <c r="AG35" s="170"/>
      <c r="AH35" s="170"/>
      <c r="AI35" s="170"/>
      <c r="AN35" s="170"/>
      <c r="AO35" s="170"/>
      <c r="AP35" s="170"/>
      <c r="AQ35" s="170"/>
    </row>
    <row r="36" spans="1:43" x14ac:dyDescent="0.25">
      <c r="A36" s="215">
        <v>1</v>
      </c>
      <c r="F36" s="220"/>
      <c r="G36" s="221"/>
      <c r="H36" s="221"/>
      <c r="I36" s="222"/>
      <c r="K36" s="9"/>
      <c r="T36" s="170"/>
      <c r="U36" s="170"/>
      <c r="V36" s="170"/>
      <c r="W36" s="170"/>
      <c r="X36" s="170"/>
      <c r="Y36" s="170"/>
      <c r="Z36" s="170"/>
      <c r="AA36" s="170"/>
      <c r="AB36" s="170"/>
      <c r="AC36" s="170"/>
      <c r="AD36" s="170"/>
      <c r="AE36" s="170"/>
      <c r="AF36" s="170"/>
      <c r="AG36" s="170"/>
      <c r="AH36" s="170"/>
      <c r="AI36" s="170"/>
    </row>
    <row r="37" spans="1:43" x14ac:dyDescent="0.25">
      <c r="A37" s="215">
        <f>+B37*C37*D37</f>
        <v>1</v>
      </c>
      <c r="B37" s="215">
        <f>+IF($H$30=[1]MENU!$B$57,0,1)</f>
        <v>1</v>
      </c>
      <c r="C37" s="215">
        <f>IF(H$30="N",0,1)</f>
        <v>1</v>
      </c>
      <c r="D37" s="215">
        <f>+IF($H$8=[1]MENU!$B$28,0,1)</f>
        <v>1</v>
      </c>
      <c r="F37" s="289" t="s">
        <v>430</v>
      </c>
      <c r="G37" s="115" t="str">
        <f>+[1]MENU!B75</f>
        <v>Fan Width Sensor</v>
      </c>
      <c r="H37" s="274" t="s">
        <v>407</v>
      </c>
      <c r="I37" s="274"/>
      <c r="K37" s="9" t="str">
        <f>IF(L37=0,"No","YesNo")</f>
        <v>YesNo</v>
      </c>
      <c r="L37" s="262">
        <f>+IF(H38="Y",0,1)</f>
        <v>1</v>
      </c>
      <c r="T37" s="170"/>
      <c r="U37" s="170"/>
      <c r="V37" s="170"/>
      <c r="W37" s="170"/>
      <c r="X37" s="170"/>
      <c r="Y37" s="170"/>
      <c r="Z37" s="170"/>
      <c r="AA37" s="170"/>
      <c r="AB37" s="170"/>
      <c r="AC37" s="170"/>
      <c r="AD37" s="170"/>
      <c r="AE37" s="170"/>
      <c r="AF37" s="170"/>
      <c r="AG37" s="170"/>
      <c r="AH37" s="170"/>
      <c r="AI37" s="170"/>
    </row>
    <row r="38" spans="1:43" hidden="1" x14ac:dyDescent="0.25">
      <c r="A38" s="215">
        <f>+B38*C38*D38</f>
        <v>0</v>
      </c>
      <c r="B38" s="215">
        <f>+IF($H$30=[1]MENU!$B$57,0,1)</f>
        <v>1</v>
      </c>
      <c r="C38" s="215">
        <f>IF(H$30="N",0,1)</f>
        <v>1</v>
      </c>
      <c r="D38" s="215">
        <f>+IF($H$8=[1]MENU!$B$28,1,0)</f>
        <v>0</v>
      </c>
      <c r="F38" s="289"/>
      <c r="G38" s="115" t="str">
        <f>+[1]MENU!B76</f>
        <v>Fan Width Sensor with Continuous Film Calibration</v>
      </c>
      <c r="H38" s="274"/>
      <c r="I38" s="274"/>
      <c r="K38" s="9" t="str">
        <f>IF(L38=0,"No","YesNo")</f>
        <v>YesNo</v>
      </c>
      <c r="L38" s="262">
        <f>+IF(H37="Y",0,1)</f>
        <v>1</v>
      </c>
      <c r="T38" s="170"/>
      <c r="U38" s="170"/>
      <c r="V38" s="170"/>
      <c r="W38" s="170"/>
      <c r="X38" s="170"/>
      <c r="Y38" s="170"/>
      <c r="Z38" s="170"/>
      <c r="AA38" s="170"/>
      <c r="AB38" s="170"/>
      <c r="AC38" s="170"/>
      <c r="AD38" s="170"/>
      <c r="AE38" s="170"/>
      <c r="AF38" s="170"/>
      <c r="AG38" s="170"/>
      <c r="AH38" s="170"/>
      <c r="AI38" s="170"/>
    </row>
    <row r="39" spans="1:43" ht="15" customHeight="1" x14ac:dyDescent="0.25">
      <c r="A39" s="215">
        <f>+B39*C39</f>
        <v>1</v>
      </c>
      <c r="B39" s="215">
        <f>+IF($H$30=[1]MENU!$B$57,0,1)</f>
        <v>1</v>
      </c>
      <c r="C39" s="215">
        <f>IF(H$30="N",0,1)</f>
        <v>1</v>
      </c>
      <c r="F39" s="289"/>
      <c r="G39" s="115" t="str">
        <f>+[1]MENU!B77</f>
        <v>Needle Calibration, 3 axis</v>
      </c>
      <c r="H39" s="274" t="s">
        <v>407</v>
      </c>
      <c r="I39" s="274"/>
      <c r="K39" s="9" t="s">
        <v>11</v>
      </c>
      <c r="T39" s="170"/>
      <c r="U39" s="170"/>
      <c r="V39" s="170"/>
      <c r="W39" s="170"/>
      <c r="X39" s="170"/>
      <c r="Y39" s="170"/>
      <c r="Z39" s="170"/>
      <c r="AA39" s="170"/>
      <c r="AB39" s="170"/>
      <c r="AC39" s="170"/>
      <c r="AD39" s="170"/>
      <c r="AE39" s="170"/>
      <c r="AF39" s="170"/>
      <c r="AG39" s="170"/>
      <c r="AH39" s="170"/>
      <c r="AI39" s="170"/>
    </row>
    <row r="40" spans="1:43" ht="15" customHeight="1" x14ac:dyDescent="0.25">
      <c r="A40" s="215">
        <v>1</v>
      </c>
      <c r="F40" s="289"/>
      <c r="G40" s="115" t="str">
        <f>+[1]MENU!B78</f>
        <v>Black Light</v>
      </c>
      <c r="H40" s="274" t="s">
        <v>271</v>
      </c>
      <c r="I40" s="274"/>
      <c r="K40" s="9" t="s">
        <v>11</v>
      </c>
      <c r="T40" s="170"/>
      <c r="U40" s="170"/>
      <c r="V40" s="170"/>
      <c r="W40" s="170"/>
      <c r="X40" s="170"/>
      <c r="Y40" s="170"/>
      <c r="Z40" s="170"/>
      <c r="AA40" s="170"/>
      <c r="AB40" s="170"/>
      <c r="AC40" s="170"/>
      <c r="AD40" s="170"/>
      <c r="AE40" s="170"/>
      <c r="AF40" s="170"/>
      <c r="AG40" s="170"/>
      <c r="AH40" s="170"/>
      <c r="AI40" s="170"/>
    </row>
    <row r="41" spans="1:43" ht="15" customHeight="1" x14ac:dyDescent="0.25">
      <c r="A41" s="215">
        <v>1</v>
      </c>
      <c r="F41" s="223"/>
      <c r="G41" s="70"/>
      <c r="H41" s="70"/>
      <c r="I41" s="79"/>
      <c r="K41" s="9"/>
      <c r="T41" s="170"/>
      <c r="U41" s="170"/>
      <c r="V41" s="170"/>
      <c r="W41" s="170"/>
      <c r="X41" s="170"/>
      <c r="Y41" s="170"/>
      <c r="Z41" s="170"/>
      <c r="AA41" s="170"/>
      <c r="AB41" s="170"/>
      <c r="AC41" s="170"/>
      <c r="AD41" s="170"/>
      <c r="AE41" s="170"/>
      <c r="AF41" s="170"/>
      <c r="AG41" s="170"/>
      <c r="AH41" s="170"/>
      <c r="AI41" s="170"/>
    </row>
    <row r="42" spans="1:43" x14ac:dyDescent="0.25">
      <c r="A42" s="215">
        <v>1</v>
      </c>
      <c r="F42" s="289" t="s">
        <v>441</v>
      </c>
      <c r="G42" s="107" t="s">
        <v>442</v>
      </c>
      <c r="H42" s="274" t="s">
        <v>407</v>
      </c>
      <c r="I42" s="274"/>
      <c r="K42" s="9" t="s">
        <v>11</v>
      </c>
      <c r="V42" s="173"/>
      <c r="W42" s="173"/>
      <c r="X42" s="173"/>
      <c r="Y42" s="173"/>
      <c r="Z42" s="173"/>
      <c r="AA42" s="173"/>
      <c r="AB42" s="173"/>
      <c r="AC42" s="173"/>
      <c r="AD42" s="173"/>
      <c r="AE42" s="173"/>
      <c r="AF42" s="173"/>
    </row>
    <row r="43" spans="1:43" ht="15" customHeight="1" x14ac:dyDescent="0.25">
      <c r="A43" s="215">
        <f>+IF(H5=[1]Data!C4,1,0)</f>
        <v>1</v>
      </c>
      <c r="F43" s="289"/>
      <c r="G43" s="107" t="str">
        <f>+[1]MENU!B91</f>
        <v>Fume Extractor</v>
      </c>
      <c r="H43" s="274" t="s">
        <v>407</v>
      </c>
      <c r="I43" s="274"/>
      <c r="K43" s="9" t="s">
        <v>11</v>
      </c>
    </row>
    <row r="44" spans="1:43" x14ac:dyDescent="0.25">
      <c r="A44" s="215">
        <v>1</v>
      </c>
      <c r="F44" s="289"/>
      <c r="G44" s="29" t="s">
        <v>444</v>
      </c>
      <c r="H44" s="274" t="s">
        <v>407</v>
      </c>
      <c r="I44" s="274"/>
      <c r="K44" s="9" t="str">
        <f>+[1]MENU!$E$92</f>
        <v>UNMOUNTED</v>
      </c>
    </row>
    <row r="45" spans="1:43" hidden="1" x14ac:dyDescent="0.25">
      <c r="A45" s="215">
        <f>+B45*C45</f>
        <v>0</v>
      </c>
      <c r="B45" s="215">
        <f>+IF(H44="N",0,1)</f>
        <v>0</v>
      </c>
      <c r="C45" s="215">
        <f>+IF(H44="",0,1)</f>
        <v>1</v>
      </c>
      <c r="F45" s="289"/>
      <c r="G45" s="29" t="s">
        <v>445</v>
      </c>
      <c r="H45" s="274"/>
      <c r="I45" s="274"/>
      <c r="K45" s="9" t="str">
        <f>+[1]MENU!$E$92</f>
        <v>UNMOUNTED</v>
      </c>
    </row>
    <row r="46" spans="1:43" hidden="1" x14ac:dyDescent="0.25">
      <c r="A46" s="215">
        <f t="shared" ref="A46:A47" si="0">+B46*C46</f>
        <v>0</v>
      </c>
      <c r="B46" s="215">
        <f t="shared" ref="B46:B47" si="1">+IF(H45="N",0,1)</f>
        <v>1</v>
      </c>
      <c r="C46" s="215">
        <f>+IF(H45="",0,1)</f>
        <v>0</v>
      </c>
      <c r="F46" s="289"/>
      <c r="G46" s="29" t="s">
        <v>446</v>
      </c>
      <c r="H46" s="274"/>
      <c r="I46" s="274"/>
      <c r="K46" s="9" t="str">
        <f>+[1]MENU!$E$92</f>
        <v>UNMOUNTED</v>
      </c>
    </row>
    <row r="47" spans="1:43" hidden="1" x14ac:dyDescent="0.25">
      <c r="A47" s="215">
        <f t="shared" si="0"/>
        <v>0</v>
      </c>
      <c r="B47" s="215">
        <f t="shared" si="1"/>
        <v>1</v>
      </c>
      <c r="C47" s="215">
        <f>+IF(H46="",0,1)</f>
        <v>0</v>
      </c>
      <c r="F47" s="289"/>
      <c r="G47" s="29" t="s">
        <v>447</v>
      </c>
      <c r="H47" s="274"/>
      <c r="I47" s="274"/>
      <c r="K47" s="9" t="str">
        <f>+[1]MENU!$E$92</f>
        <v>UNMOUNTED</v>
      </c>
    </row>
    <row r="48" spans="1:43" ht="15" customHeight="1" x14ac:dyDescent="0.25">
      <c r="F48" s="224"/>
      <c r="G48" s="225"/>
      <c r="H48" s="70"/>
      <c r="I48" s="79"/>
      <c r="K48" s="9"/>
      <c r="T48" s="173"/>
      <c r="U48" s="173"/>
      <c r="V48" s="173"/>
      <c r="W48" s="173"/>
      <c r="X48" s="173"/>
    </row>
    <row r="49" spans="1:25" ht="23.1" customHeight="1" x14ac:dyDescent="0.25">
      <c r="F49" s="246" t="str">
        <f>+CONCATENATE("Lead Time - ",L1," Weeks (ARO)")</f>
        <v>Lead Time - 4 Weeks (ARO)</v>
      </c>
      <c r="G49" s="243"/>
      <c r="H49" s="244" t="s">
        <v>512</v>
      </c>
      <c r="I49" s="249">
        <f>+'[1]WORKCELL BOM'!S68</f>
        <v>35050</v>
      </c>
      <c r="K49" s="9"/>
      <c r="T49" s="173"/>
      <c r="U49" s="173"/>
      <c r="V49" s="173"/>
      <c r="W49" s="173"/>
      <c r="X49" s="173"/>
    </row>
    <row r="50" spans="1:25" ht="23.1" customHeight="1" x14ac:dyDescent="0.25">
      <c r="F50" s="178" t="str">
        <f>IF(B31=0,"",CONCATENATE("Conveyor Rail Available ",'[1]WORKCELL BOM'!O68,"mm"))</f>
        <v>Conveyor Rail Available 0mm</v>
      </c>
      <c r="G50" s="247"/>
      <c r="H50" s="245"/>
      <c r="I50" s="248" t="str">
        <f>CONCATENATE("Work Area Estimate ",'[1]WORKCELL BOM'!M68,"mm x ",'[1]WORKCELL BOM'!N68,"mm")</f>
        <v>Work Area Estimate 326mm x 380mm</v>
      </c>
      <c r="T50" s="276" t="str">
        <f>+IF(I51="Y","MAKE ARRANGEMENTS FOR SAMPLE PARTS","")</f>
        <v>MAKE ARRANGEMENTS FOR SAMPLE PARTS</v>
      </c>
      <c r="U50" s="276"/>
      <c r="V50" s="276"/>
      <c r="W50" s="276"/>
      <c r="X50" s="276"/>
    </row>
    <row r="51" spans="1:25" ht="15" customHeight="1" x14ac:dyDescent="0.25">
      <c r="F51" s="96" t="s">
        <v>340</v>
      </c>
      <c r="G51" s="97">
        <v>42765</v>
      </c>
      <c r="H51" s="94" t="s">
        <v>344</v>
      </c>
      <c r="I51" s="34" t="s">
        <v>271</v>
      </c>
      <c r="K51" t="s">
        <v>11</v>
      </c>
      <c r="L51" s="154"/>
      <c r="M51" s="154"/>
      <c r="N51" s="154"/>
      <c r="O51" s="154"/>
      <c r="P51" s="154"/>
      <c r="Q51" s="154"/>
      <c r="R51" s="154"/>
      <c r="T51" s="276" t="str">
        <f>+IF(I51="Y","MAKE ARRANGEMENTS FOR SAMPLE MATERIAL","")</f>
        <v>MAKE ARRANGEMENTS FOR SAMPLE MATERIAL</v>
      </c>
      <c r="U51" s="276"/>
      <c r="V51" s="276"/>
      <c r="W51" s="276"/>
      <c r="X51" s="276"/>
      <c r="Y51" s="170"/>
    </row>
    <row r="52" spans="1:25" ht="15" customHeight="1" x14ac:dyDescent="0.25">
      <c r="F52" s="199" t="s">
        <v>341</v>
      </c>
      <c r="G52" s="200">
        <f>IF(G51="","",WORKDAY(G54,-8))</f>
        <v>42781</v>
      </c>
      <c r="H52" s="95" t="s">
        <v>346</v>
      </c>
      <c r="I52" s="34" t="s">
        <v>665</v>
      </c>
      <c r="L52" s="154"/>
      <c r="M52" s="154"/>
      <c r="N52" s="154"/>
      <c r="O52" s="154"/>
      <c r="P52" s="154"/>
      <c r="Q52" s="154"/>
      <c r="R52" s="154"/>
      <c r="T52" s="276" t="str">
        <f>+IF(I51="Y","SCHEDULE ACCEPTANCE WITH DAVID FILBERT","")</f>
        <v>SCHEDULE ACCEPTANCE WITH DAVID FILBERT</v>
      </c>
      <c r="U52" s="276"/>
      <c r="V52" s="276"/>
      <c r="W52" s="276"/>
      <c r="X52" s="276"/>
      <c r="Y52" s="170"/>
    </row>
    <row r="53" spans="1:25" ht="15" customHeight="1" x14ac:dyDescent="0.25">
      <c r="F53" s="199" t="s">
        <v>342</v>
      </c>
      <c r="G53" s="200">
        <f>IF(G51="","",WORKDAY(G54,-2))</f>
        <v>42789</v>
      </c>
      <c r="H53" s="95" t="s">
        <v>347</v>
      </c>
      <c r="I53" s="34" t="s">
        <v>666</v>
      </c>
      <c r="Y53" s="170"/>
    </row>
    <row r="54" spans="1:25" ht="15" customHeight="1" x14ac:dyDescent="0.25">
      <c r="F54" s="199" t="str">
        <f>IF(I51="Y","Acceptance","Shipping")</f>
        <v>Acceptance</v>
      </c>
      <c r="G54" s="201">
        <f>IF(G51="","",WORKDAY(G51,(L1*5)))</f>
        <v>42793</v>
      </c>
      <c r="H54" s="95" t="s">
        <v>348</v>
      </c>
      <c r="I54" s="34">
        <v>29254</v>
      </c>
      <c r="Y54" s="157"/>
    </row>
    <row r="55" spans="1:25" ht="30" customHeight="1" x14ac:dyDescent="0.25">
      <c r="F55" s="286" t="s">
        <v>349</v>
      </c>
      <c r="G55" s="287"/>
      <c r="H55" s="287"/>
      <c r="I55" s="288"/>
      <c r="T55" s="157"/>
      <c r="U55" s="157"/>
      <c r="V55" s="157"/>
      <c r="W55" s="157"/>
      <c r="X55" s="157"/>
      <c r="Y55" s="157"/>
    </row>
    <row r="56" spans="1:25" x14ac:dyDescent="0.25">
      <c r="F56" s="27"/>
      <c r="G56" s="7"/>
      <c r="H56" s="265"/>
      <c r="I56" s="28"/>
    </row>
    <row r="57" spans="1:25" ht="25.15" customHeight="1" thickBot="1" x14ac:dyDescent="0.3">
      <c r="F57" s="27"/>
      <c r="G57" s="32" t="s">
        <v>164</v>
      </c>
      <c r="H57" s="139" t="s">
        <v>667</v>
      </c>
      <c r="I57" s="28"/>
      <c r="S57" s="271" t="s">
        <v>645</v>
      </c>
      <c r="T57" s="271"/>
      <c r="U57" s="271"/>
      <c r="W57" s="271" t="s">
        <v>646</v>
      </c>
      <c r="X57" s="271"/>
      <c r="Y57" s="271"/>
    </row>
    <row r="58" spans="1:25" ht="25.15" customHeight="1" thickBot="1" x14ac:dyDescent="0.3">
      <c r="F58" s="27"/>
      <c r="G58" s="32" t="s">
        <v>165</v>
      </c>
      <c r="H58" s="140"/>
      <c r="I58" s="28"/>
    </row>
    <row r="59" spans="1:25" ht="25.15" customHeight="1" thickBot="1" x14ac:dyDescent="0.3">
      <c r="F59" s="27"/>
      <c r="G59" s="32" t="s">
        <v>166</v>
      </c>
      <c r="H59" s="140"/>
      <c r="I59" s="28"/>
    </row>
    <row r="60" spans="1:25" ht="25.15" customHeight="1" thickBot="1" x14ac:dyDescent="0.3">
      <c r="F60" s="27"/>
      <c r="G60" s="32" t="s">
        <v>167</v>
      </c>
      <c r="H60" s="140"/>
      <c r="I60" s="28"/>
    </row>
    <row r="61" spans="1:25" ht="25.15" customHeight="1" thickBot="1" x14ac:dyDescent="0.3">
      <c r="F61" s="27"/>
      <c r="G61" s="32" t="s">
        <v>168</v>
      </c>
      <c r="H61" s="141"/>
      <c r="I61" s="28"/>
    </row>
    <row r="62" spans="1:25" ht="25.15" customHeight="1" thickBot="1" x14ac:dyDescent="0.3">
      <c r="F62" s="27"/>
      <c r="G62" s="32" t="s">
        <v>494</v>
      </c>
      <c r="H62" s="174" t="s">
        <v>538</v>
      </c>
      <c r="I62" s="28"/>
      <c r="K62" t="s">
        <v>495</v>
      </c>
    </row>
    <row r="63" spans="1:25" x14ac:dyDescent="0.25">
      <c r="F63" s="30"/>
      <c r="G63" s="33"/>
      <c r="H63" s="25"/>
      <c r="I63" s="31"/>
    </row>
    <row r="64" spans="1:25" x14ac:dyDescent="0.25">
      <c r="A64" s="215">
        <f>+IF($I$54="",0,1)</f>
        <v>1</v>
      </c>
      <c r="F64" s="277" t="s">
        <v>668</v>
      </c>
      <c r="G64" s="278"/>
      <c r="H64" s="278"/>
      <c r="I64" s="279"/>
    </row>
    <row r="65" spans="1:9" x14ac:dyDescent="0.25">
      <c r="A65" s="215">
        <f t="shared" ref="A65:A69" si="2">+IF($I$54="",0,1)</f>
        <v>1</v>
      </c>
      <c r="F65" s="280"/>
      <c r="G65" s="281"/>
      <c r="H65" s="281"/>
      <c r="I65" s="282"/>
    </row>
    <row r="66" spans="1:9" x14ac:dyDescent="0.25">
      <c r="A66" s="215">
        <f t="shared" si="2"/>
        <v>1</v>
      </c>
      <c r="F66" s="280"/>
      <c r="G66" s="281"/>
      <c r="H66" s="281"/>
      <c r="I66" s="282"/>
    </row>
    <row r="67" spans="1:9" x14ac:dyDescent="0.25">
      <c r="A67" s="215">
        <f t="shared" si="2"/>
        <v>1</v>
      </c>
      <c r="F67" s="280"/>
      <c r="G67" s="281"/>
      <c r="H67" s="281"/>
      <c r="I67" s="282"/>
    </row>
    <row r="68" spans="1:9" x14ac:dyDescent="0.25">
      <c r="A68" s="215">
        <f t="shared" si="2"/>
        <v>1</v>
      </c>
      <c r="F68" s="280"/>
      <c r="G68" s="281"/>
      <c r="H68" s="281"/>
      <c r="I68" s="282"/>
    </row>
    <row r="69" spans="1:9" x14ac:dyDescent="0.25">
      <c r="A69" s="215">
        <f t="shared" si="2"/>
        <v>1</v>
      </c>
      <c r="F69" s="283"/>
      <c r="G69" s="284"/>
      <c r="H69" s="284"/>
      <c r="I69" s="285"/>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1">
      <formula>$I$51="N"</formula>
    </cfRule>
    <cfRule type="expression" dxfId="1" priority="2">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4:I6 H42:I47 H37:I40 H35:I35 H19:I19 H62 H8:I17 H30:I33 H21:I28">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mc:AlternateContent xmlns:mc="http://schemas.openxmlformats.org/markup-compatibility/2006">
      <mc:Choice Requires="x14">
        <oleObject progId="AcroExch.Document.11" shapeId="22085" r:id="rId8">
          <objectPr defaultSize="0" autoPict="0" r:id="rId5">
            <anchor moveWithCells="1">
              <from>
                <xdr:col>18</xdr:col>
                <xdr:colOff>419100</xdr:colOff>
                <xdr:row>57</xdr:row>
                <xdr:rowOff>114300</xdr:rowOff>
              </from>
              <to>
                <xdr:col>20</xdr:col>
                <xdr:colOff>247650</xdr:colOff>
                <xdr:row>59</xdr:row>
                <xdr:rowOff>200025</xdr:rowOff>
              </to>
            </anchor>
          </objectPr>
        </oleObject>
      </mc:Choice>
      <mc:Fallback>
        <oleObject progId="AcroExch.Document.11" shapeId="22085" r:id="rId8"/>
      </mc:Fallback>
    </mc:AlternateContent>
    <mc:AlternateContent xmlns:mc="http://schemas.openxmlformats.org/markup-compatibility/2006">
      <mc:Choice Requires="x14">
        <oleObject progId="AcroExch.Document.11" shapeId="22086" r:id="rId9">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2086" r:id="rId9"/>
      </mc:Fallback>
    </mc:AlternateContent>
  </oleObjects>
  <mc:AlternateContent xmlns:mc="http://schemas.openxmlformats.org/markup-compatibility/2006">
    <mc:Choice Requires="x14">
      <controls>
        <mc:AlternateContent xmlns:mc="http://schemas.openxmlformats.org/markup-compatibility/2006">
          <mc:Choice Requires="x14">
            <control shapeId="2058" r:id="rId10"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mc:AlternateContent xmlns:mc="http://schemas.openxmlformats.org/markup-compatibility/2006">
          <mc:Choice Requires="x14">
            <control shapeId="22084" r:id="rId11" name="Button 2628">
              <controlPr defaultSize="0" print="0" autoFill="0" autoPict="0" macro="[1]!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C58C1C5-56ED-42CA-BED5-F0B0B4488B63}">
            <xm:f>'[DS Workcell Configurator S1088.xlsm]WORKCELL BOM'!#REF!&lt;0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E1" workbookViewId="0">
      <selection activeCell="L11" sqref="L11"/>
    </sheetView>
  </sheetViews>
  <sheetFormatPr defaultRowHeight="15" outlineLevelCol="1" x14ac:dyDescent="0.25"/>
  <cols>
    <col min="1" max="6" width="8.85546875" style="230"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38" customWidth="1" outlineLevel="1"/>
    <col min="14" max="17" width="9.42578125" style="38" customWidth="1" outlineLevel="1"/>
    <col min="18" max="19" width="16.85546875" customWidth="1" outlineLevel="1"/>
    <col min="20" max="23" width="9.140625" customWidth="1" outlineLevel="1"/>
    <col min="24" max="24" width="8.85546875"/>
  </cols>
  <sheetData>
    <row r="1" spans="1:22" ht="31.7" customHeight="1" thickBot="1" x14ac:dyDescent="0.3">
      <c r="G1" s="302" t="s">
        <v>467</v>
      </c>
      <c r="H1" s="302"/>
      <c r="I1" s="302"/>
      <c r="J1" s="302"/>
      <c r="K1" s="302"/>
      <c r="L1" s="302"/>
      <c r="M1" s="302"/>
      <c r="N1" s="302"/>
      <c r="O1" s="302"/>
      <c r="P1" s="302"/>
      <c r="Q1" s="302"/>
      <c r="R1" s="302"/>
      <c r="S1" s="302"/>
    </row>
    <row r="2" spans="1:22" ht="20.25" thickTop="1" x14ac:dyDescent="0.25">
      <c r="G2" s="303" t="s">
        <v>186</v>
      </c>
      <c r="H2" s="303"/>
      <c r="I2" s="300" t="str">
        <f>+'WORKCELL CONFIGURATOR'!H57</f>
        <v>Sunburst EMS</v>
      </c>
      <c r="J2" s="300"/>
      <c r="K2" s="45" t="s">
        <v>204</v>
      </c>
      <c r="L2" s="137" t="str">
        <f>+'WORKCELL CONFIGURATOR'!I52</f>
        <v>SUNB4723</v>
      </c>
      <c r="M2" s="39"/>
      <c r="N2" s="39"/>
      <c r="O2" s="39"/>
      <c r="P2" s="39"/>
      <c r="Q2" s="160"/>
      <c r="R2" s="44"/>
      <c r="S2" s="42"/>
    </row>
    <row r="3" spans="1:22" ht="20.25" thickBot="1" x14ac:dyDescent="0.3">
      <c r="G3" s="304" t="s">
        <v>185</v>
      </c>
      <c r="H3" s="304"/>
      <c r="I3" s="301">
        <f>+'WORKCELL CONFIGURATOR'!I54</f>
        <v>29254</v>
      </c>
      <c r="J3" s="301"/>
      <c r="K3" s="46" t="s">
        <v>205</v>
      </c>
      <c r="L3" s="138" t="str">
        <f>+'WORKCELL CONFIGURATOR'!I53</f>
        <v>S1088</v>
      </c>
      <c r="M3" s="40"/>
      <c r="N3" s="40"/>
      <c r="O3" s="40"/>
      <c r="P3" s="40"/>
      <c r="Q3" s="161"/>
      <c r="R3" s="41"/>
      <c r="S3" s="43"/>
    </row>
    <row r="4" spans="1:22" ht="15.75" thickTop="1" x14ac:dyDescent="0.25">
      <c r="G4" s="305" t="s">
        <v>343</v>
      </c>
      <c r="H4" s="305"/>
      <c r="I4" s="24">
        <f>+'WORKCELL CONFIGURATOR'!L1</f>
        <v>4</v>
      </c>
      <c r="J4" s="305" t="s">
        <v>340</v>
      </c>
      <c r="K4" s="305"/>
      <c r="L4" s="93">
        <f>+'WORKCELL CONFIGURATOR'!G51</f>
        <v>42765</v>
      </c>
      <c r="M4"/>
      <c r="N4"/>
      <c r="O4"/>
      <c r="P4"/>
      <c r="Q4" s="136"/>
    </row>
    <row r="5" spans="1:22" x14ac:dyDescent="0.25">
      <c r="G5" s="306" t="s">
        <v>356</v>
      </c>
      <c r="H5" s="306"/>
      <c r="I5" s="107" t="str">
        <f>+'WORKCELL CONFIGURATOR'!H6</f>
        <v>N</v>
      </c>
      <c r="J5" s="308" t="s">
        <v>341</v>
      </c>
      <c r="K5" s="308"/>
      <c r="L5" s="93">
        <f>+'WORKCELL CONFIGURATOR'!G52</f>
        <v>42781</v>
      </c>
      <c r="M5"/>
      <c r="N5"/>
      <c r="O5"/>
      <c r="P5"/>
      <c r="Q5" s="136"/>
    </row>
    <row r="6" spans="1:22" x14ac:dyDescent="0.25">
      <c r="G6" s="306" t="s">
        <v>12</v>
      </c>
      <c r="H6" s="306"/>
      <c r="I6" s="29" t="str">
        <f>+'WORKCELL CONFIGURATOR'!H5</f>
        <v>100-120v 50/60Hz</v>
      </c>
      <c r="J6" s="309" t="s">
        <v>342</v>
      </c>
      <c r="K6" s="309"/>
      <c r="L6" s="93">
        <f>+'WORKCELL CONFIGURATOR'!G53</f>
        <v>42789</v>
      </c>
      <c r="M6"/>
      <c r="N6"/>
      <c r="O6"/>
      <c r="P6"/>
      <c r="Q6" s="136"/>
    </row>
    <row r="7" spans="1:22" ht="16.5" thickBot="1" x14ac:dyDescent="0.3">
      <c r="G7" s="307" t="s">
        <v>613</v>
      </c>
      <c r="H7" s="307"/>
      <c r="I7" s="147" t="str">
        <f>+IF(I41=MENU!B66,MENU!T66,IF(I9=MENU!B4,MENU!T4,MENU!U5))</f>
        <v>180mm</v>
      </c>
      <c r="J7" s="310" t="str">
        <f>+'WORKCELL CONFIGURATOR'!F54</f>
        <v>Acceptance</v>
      </c>
      <c r="K7" s="310"/>
      <c r="L7" s="108">
        <f>+'WORKCELL CONFIGURATOR'!G54</f>
        <v>42793</v>
      </c>
      <c r="M7"/>
      <c r="N7"/>
      <c r="O7"/>
      <c r="P7"/>
      <c r="Q7" s="136"/>
    </row>
    <row r="8" spans="1:22" ht="36" thickTop="1" thickBot="1" x14ac:dyDescent="0.3">
      <c r="G8" s="109" t="s">
        <v>108</v>
      </c>
      <c r="H8" s="109" t="s">
        <v>109</v>
      </c>
      <c r="I8" s="295" t="s">
        <v>106</v>
      </c>
      <c r="J8" s="295"/>
      <c r="K8" s="110" t="s">
        <v>207</v>
      </c>
      <c r="L8" s="111" t="s">
        <v>187</v>
      </c>
      <c r="M8" s="124" t="s">
        <v>107</v>
      </c>
      <c r="N8" s="124" t="s">
        <v>571</v>
      </c>
      <c r="O8" s="125" t="s">
        <v>431</v>
      </c>
      <c r="P8" s="125" t="str">
        <f>+MENU!R2</f>
        <v>Axis of Motion</v>
      </c>
      <c r="Q8" s="125" t="s">
        <v>471</v>
      </c>
      <c r="R8" s="111" t="s">
        <v>182</v>
      </c>
      <c r="S8" s="111" t="s">
        <v>183</v>
      </c>
    </row>
    <row r="9" spans="1:22" ht="15.75" thickTop="1" x14ac:dyDescent="0.25">
      <c r="A9" s="230">
        <v>1</v>
      </c>
      <c r="G9" s="20">
        <f>IF('WORKCELL CONFIGURATOR'!H4="",0,1)</f>
        <v>1</v>
      </c>
      <c r="H9" s="11" t="str">
        <f>+'WORKCELL CONFIGURATOR'!G4</f>
        <v>Work Cell</v>
      </c>
      <c r="I9" s="296" t="str">
        <f>+'WORKCELL CONFIGURATOR'!H4</f>
        <v>Delta 6</v>
      </c>
      <c r="J9" s="296"/>
      <c r="K9" s="9"/>
      <c r="L9" s="10" t="str">
        <f>+IFERROR(VLOOKUP(I9,MENU!B$4:I$90,$U$9,FALSE),"")</f>
        <v>642-0221</v>
      </c>
      <c r="M9" s="234">
        <f>+IFERROR(VLOOKUP($I9,MENU!$B$4:$Y$100,14,FALSE),0)</f>
        <v>511</v>
      </c>
      <c r="N9" s="234">
        <f>+IFERROR(VLOOKUP($I9,MENU!$B$4:$Y$100,15,FALSE),0)</f>
        <v>475</v>
      </c>
      <c r="O9" s="234">
        <f>+IFERROR(VLOOKUP($I9,MENU!$B$4:$Y$100,16,FALSE),0)*G9</f>
        <v>400</v>
      </c>
      <c r="P9" s="234">
        <f>+IFERROR(VLOOKUP($I9,MENU!$B$4:$Y$100,17,FALSE),0)</f>
        <v>3</v>
      </c>
      <c r="Q9" s="234">
        <f>+IFERROR(VLOOKUP($I9,MENU!$B$4:$Y$100,18,FALSE),0)</f>
        <v>4</v>
      </c>
      <c r="R9" s="142">
        <f>+IFERROR(VLOOKUP($I9,MENU!$B$4:$Y$100,21,FALSE),0)</f>
        <v>35540</v>
      </c>
      <c r="S9" s="21">
        <f>IFERROR(G9*R9,0)</f>
        <v>35540</v>
      </c>
      <c r="U9">
        <f>+VLOOKUP(I9,Data!B12:C14,2,FALSE)</f>
        <v>6</v>
      </c>
      <c r="V9">
        <f>+VLOOKUP(I9,Data!E12:F14,2,FALSE)</f>
        <v>3</v>
      </c>
    </row>
    <row r="10" spans="1:22" x14ac:dyDescent="0.25">
      <c r="A10" s="230">
        <v>1</v>
      </c>
      <c r="G10" s="122">
        <v>1</v>
      </c>
      <c r="H10" s="11" t="s">
        <v>316</v>
      </c>
      <c r="I10" s="294"/>
      <c r="J10" s="294"/>
      <c r="K10" s="9"/>
      <c r="L10" s="143" t="str">
        <f>IFERROR(VLOOKUP('WORKCELL CONFIGURATOR'!H35,MENU!B70:Y72,24,FALSE),MENU!Y70)</f>
        <v>B92-00004</v>
      </c>
      <c r="M10" s="234">
        <f>+IFERROR(VLOOKUP($I10,MENU!$B$4:$Y$100,14,FALSE),0)</f>
        <v>0</v>
      </c>
      <c r="N10" s="234">
        <f>+IFERROR(VLOOKUP($I10,MENU!$B$4:$Y$100,15,FALSE),0)</f>
        <v>0</v>
      </c>
      <c r="O10" s="234">
        <f>+IFERROR(VLOOKUP($I10,MENU!$B$4:$Y$100,16,FALSE),0)*G10</f>
        <v>0</v>
      </c>
      <c r="P10" s="234">
        <f>+IFERROR(VLOOKUP($I10,MENU!$B$4:$Y$100,17,FALSE),0)</f>
        <v>0</v>
      </c>
      <c r="Q10" s="234">
        <f>+IFERROR(VLOOKUP($I10,MENU!$B$4:$Y$100,18,FALSE),0)</f>
        <v>0</v>
      </c>
      <c r="R10" s="142">
        <f>+IFERROR(VLOOKUP($I10,MENU!$B$4:$Y$100,21,FALSE),0)</f>
        <v>0</v>
      </c>
      <c r="S10" s="21"/>
      <c r="V10" s="168"/>
    </row>
    <row r="11" spans="1:22" x14ac:dyDescent="0.25">
      <c r="A11" s="230">
        <v>1</v>
      </c>
      <c r="G11" s="122">
        <v>1</v>
      </c>
      <c r="H11" s="11" t="s">
        <v>457</v>
      </c>
      <c r="I11" s="294" t="s">
        <v>480</v>
      </c>
      <c r="J11" s="294"/>
      <c r="K11" s="9"/>
      <c r="L11" s="10" t="str">
        <f>VLOOKUP(P70,Data!B17:E19,V9,FALSE)</f>
        <v>612-2254-3</v>
      </c>
      <c r="M11" s="234">
        <f>+IFERROR(VLOOKUP($I11,MENU!$B$4:$Y$100,14,FALSE),0)</f>
        <v>0</v>
      </c>
      <c r="N11" s="234">
        <f>+IFERROR(VLOOKUP($I11,MENU!$B$4:$Y$100,15,FALSE),0)</f>
        <v>0</v>
      </c>
      <c r="O11" s="234">
        <f>+IFERROR(VLOOKUP($I11,MENU!$B$4:$Y$100,16,FALSE),0)*G11</f>
        <v>0</v>
      </c>
      <c r="P11" s="234">
        <f>+IFERROR(VLOOKUP($I11,MENU!$B$4:$Y$100,17,FALSE),0)</f>
        <v>0</v>
      </c>
      <c r="Q11" s="234">
        <f>+IFERROR(VLOOKUP($I11,MENU!$B$4:$Y$100,18,FALSE),0)</f>
        <v>0</v>
      </c>
      <c r="R11" s="142">
        <f>+IFERROR(VLOOKUP($I11,MENU!$B$4:$Y$100,21,FALSE),0)</f>
        <v>0</v>
      </c>
      <c r="S11" s="21"/>
    </row>
    <row r="12" spans="1:22" hidden="1" x14ac:dyDescent="0.25">
      <c r="A12" s="230">
        <v>0</v>
      </c>
      <c r="G12" s="122"/>
      <c r="H12" s="11"/>
      <c r="I12" s="294"/>
      <c r="J12" s="294"/>
      <c r="K12" s="9"/>
      <c r="L12" s="10"/>
      <c r="M12" s="234">
        <f>+IFERROR(VLOOKUP($I12,MENU!$B$4:$Y$100,14,FALSE),0)</f>
        <v>0</v>
      </c>
      <c r="N12" s="234">
        <f>+IFERROR(VLOOKUP($I12,MENU!$B$4:$Y$100,15,FALSE),0)</f>
        <v>0</v>
      </c>
      <c r="O12" s="234">
        <f>+IFERROR(VLOOKUP($I12,MENU!$B$4:$Y$100,16,FALSE),0)*G12</f>
        <v>0</v>
      </c>
      <c r="P12" s="234">
        <f>+IFERROR(VLOOKUP($I12,MENU!$B$4:$Y$100,17,FALSE),0)</f>
        <v>0</v>
      </c>
      <c r="Q12" s="234">
        <f>+IFERROR(VLOOKUP($I12,MENU!$B$4:$Y$100,18,FALSE),0)</f>
        <v>0</v>
      </c>
      <c r="R12" s="142">
        <f>+IFERROR(VLOOKUP($I12,MENU!$B$4:$Y$100,21,FALSE),0)</f>
        <v>0</v>
      </c>
      <c r="S12" s="21"/>
    </row>
    <row r="13" spans="1:22" x14ac:dyDescent="0.25">
      <c r="A13" s="136">
        <f>+B13*C13</f>
        <v>1</v>
      </c>
      <c r="B13" s="136">
        <f>IF('WORKCELL CONFIGURATOR'!H8="",0,1)</f>
        <v>1</v>
      </c>
      <c r="C13" s="136">
        <f>IF('WORKCELL CONFIGURATOR'!H8="N",0,1)</f>
        <v>1</v>
      </c>
      <c r="G13" s="122">
        <f>+A13</f>
        <v>1</v>
      </c>
      <c r="H13" s="11" t="str">
        <f>+'WORKCELL CONFIGURATOR'!G8</f>
        <v>Material Reservoir - 1</v>
      </c>
      <c r="I13" s="294" t="str">
        <f>+'WORKCELL CONFIGURATOR'!H8</f>
        <v>2 Gallon Top Ported Tank with Scale</v>
      </c>
      <c r="J13" s="294"/>
      <c r="K13" s="175">
        <v>1</v>
      </c>
      <c r="L13" s="10" t="str">
        <f>+IFERROR(VLOOKUP(I13,MENU!B$4:I$90,$U$9,FALSE),"")</f>
        <v>612-2205-1</v>
      </c>
      <c r="M13" s="234">
        <f>+IFERROR(VLOOKUP($I13,MENU!$B$4:$Y$100,14,FALSE),0)</f>
        <v>0</v>
      </c>
      <c r="N13" s="234">
        <f>+IFERROR(VLOOKUP($I13,MENU!$B$4:$Y$100,15,FALSE),0)</f>
        <v>0</v>
      </c>
      <c r="O13" s="234">
        <f>+IFERROR(VLOOKUP($I13,MENU!$B$4:$Y$100,16,FALSE),0)*G13</f>
        <v>0</v>
      </c>
      <c r="P13" s="234">
        <f>+IFERROR(VLOOKUP($I13,MENU!$B$4:$Y$100,17,FALSE),0)</f>
        <v>0</v>
      </c>
      <c r="Q13" s="234">
        <f>+IFERROR(VLOOKUP($I13,MENU!$B$4:$Y$100,18,FALSE),0)</f>
        <v>0</v>
      </c>
      <c r="R13" s="142">
        <f>+IFERROR(VLOOKUP($I13,MENU!$B$4:$Y$100,21,FALSE),0)</f>
        <v>4020</v>
      </c>
      <c r="S13" s="21">
        <f t="shared" ref="S13:S52" si="0">IFERROR(G13*R13,0)</f>
        <v>4020</v>
      </c>
    </row>
    <row r="14" spans="1:22" x14ac:dyDescent="0.25">
      <c r="A14" s="136">
        <f>+B14*C14</f>
        <v>1</v>
      </c>
      <c r="B14" s="136">
        <f>IF('WORKCELL CONFIGURATOR'!H9="",0,1)</f>
        <v>1</v>
      </c>
      <c r="C14" s="136">
        <f>IF('WORKCELL CONFIGURATOR'!H9="N",0,1)</f>
        <v>1</v>
      </c>
      <c r="G14" s="136">
        <f>+A14</f>
        <v>1</v>
      </c>
      <c r="H14" s="11" t="str">
        <f>+'WORKCELL CONFIGURATOR'!G9</f>
        <v>Flow Meter - 1</v>
      </c>
      <c r="I14" s="294" t="s">
        <v>423</v>
      </c>
      <c r="J14" s="294"/>
      <c r="K14" s="175">
        <v>1</v>
      </c>
      <c r="L14" s="10" t="str">
        <f>+IFERROR(VLOOKUP(I14,MENU!B$4:I$90,$U$9,FALSE),"")</f>
        <v>612-1887-1</v>
      </c>
      <c r="M14" s="234">
        <f>+IFERROR(VLOOKUP($I14,MENU!$B$4:$Y$100,14,FALSE),0)</f>
        <v>0</v>
      </c>
      <c r="N14" s="234">
        <f>+IFERROR(VLOOKUP($I14,MENU!$B$4:$Y$100,15,FALSE),0)</f>
        <v>0</v>
      </c>
      <c r="O14" s="234">
        <f>+IFERROR(VLOOKUP($I14,MENU!$B$4:$Y$100,16,FALSE),0)*G14</f>
        <v>0</v>
      </c>
      <c r="P14" s="234">
        <f>+IFERROR(VLOOKUP($I14,MENU!$B$4:$Y$100,17,FALSE),0)</f>
        <v>0</v>
      </c>
      <c r="Q14" s="234">
        <f>+IFERROR(VLOOKUP($I14,MENU!$B$4:$Y$100,18,FALSE),0)</f>
        <v>0</v>
      </c>
      <c r="R14" s="142">
        <f>+IFERROR(VLOOKUP($I14,MENU!$B$4:$Y$100,21,FALSE),0)</f>
        <v>8760</v>
      </c>
      <c r="S14" s="21">
        <f t="shared" si="0"/>
        <v>8760</v>
      </c>
    </row>
    <row r="15" spans="1:22" hidden="1" x14ac:dyDescent="0.25">
      <c r="A15" s="136">
        <f>+B15*C15</f>
        <v>0</v>
      </c>
      <c r="B15" s="136">
        <f>IF('WORKCELL CONFIGURATOR'!H10="",0,1)</f>
        <v>1</v>
      </c>
      <c r="C15" s="136">
        <f>IF('WORKCELL CONFIGURATOR'!H10="N",0,1)</f>
        <v>0</v>
      </c>
      <c r="G15" s="136">
        <f>+A15</f>
        <v>0</v>
      </c>
      <c r="H15" s="11" t="str">
        <f>+'WORKCELL CONFIGURATOR'!G10</f>
        <v>Solvent Flush - 1</v>
      </c>
      <c r="I15" s="294" t="str">
        <f>+'WORKCELL CONFIGURATOR'!H10</f>
        <v>N</v>
      </c>
      <c r="J15" s="294"/>
      <c r="K15" s="175">
        <v>1</v>
      </c>
      <c r="L15" s="10">
        <f>+IFERROR(VLOOKUP(I15,MENU!B$4:I$90,$U$9,FALSE),"")</f>
        <v>0</v>
      </c>
      <c r="M15" s="234">
        <f>+IFERROR(VLOOKUP($I15,MENU!$B$4:$Y$100,14,FALSE),0)</f>
        <v>0</v>
      </c>
      <c r="N15" s="234">
        <f>+IFERROR(VLOOKUP($I15,MENU!$B$4:$Y$100,15,FALSE),0)</f>
        <v>0</v>
      </c>
      <c r="O15" s="234">
        <f>+IFERROR(VLOOKUP($I15,MENU!$B$4:$Y$100,16,FALSE),0)*G15</f>
        <v>0</v>
      </c>
      <c r="P15" s="234">
        <f>+IFERROR(VLOOKUP($I15,MENU!$B$4:$Y$100,17,FALSE),0)</f>
        <v>0</v>
      </c>
      <c r="Q15" s="234">
        <f>+IFERROR(VLOOKUP($I15,MENU!$B$4:$Y$100,18,FALSE),0)</f>
        <v>0</v>
      </c>
      <c r="R15" s="142">
        <f>+IFERROR(VLOOKUP($I15,MENU!$B$4:$Y$100,21,FALSE),0)</f>
        <v>0</v>
      </c>
      <c r="S15" s="21">
        <f t="shared" si="0"/>
        <v>0</v>
      </c>
    </row>
    <row r="16" spans="1:22" hidden="1" x14ac:dyDescent="0.25">
      <c r="A16" s="136">
        <v>0</v>
      </c>
      <c r="B16" s="136"/>
      <c r="C16" s="136"/>
      <c r="G16" s="136"/>
      <c r="H16" s="11"/>
      <c r="I16" s="294"/>
      <c r="J16" s="294"/>
      <c r="K16" s="3"/>
      <c r="L16" s="10" t="str">
        <f>+IFERROR(VLOOKUP(I16,MENU!B$4:I$90,$U$9,FALSE),"")</f>
        <v/>
      </c>
      <c r="M16" s="234">
        <f>+IFERROR(VLOOKUP($I16,MENU!$B$4:$Y$100,14,FALSE),0)</f>
        <v>0</v>
      </c>
      <c r="N16" s="234">
        <f>+IFERROR(VLOOKUP($I16,MENU!$B$4:$Y$100,15,FALSE),0)</f>
        <v>0</v>
      </c>
      <c r="O16" s="234">
        <f>+IFERROR(VLOOKUP($I16,MENU!$B$4:$Y$100,16,FALSE),0)*G16</f>
        <v>0</v>
      </c>
      <c r="P16" s="234">
        <f>+IFERROR(VLOOKUP($I16,MENU!$B$4:$Y$100,17,FALSE),0)</f>
        <v>0</v>
      </c>
      <c r="Q16" s="234">
        <f>+IFERROR(VLOOKUP($I16,MENU!$B$4:$Y$100,18,FALSE),0)</f>
        <v>0</v>
      </c>
      <c r="R16" s="142">
        <f>+IFERROR(VLOOKUP($I16,MENU!$B$4:$Y$100,21,FALSE),0)</f>
        <v>0</v>
      </c>
      <c r="S16" s="21"/>
    </row>
    <row r="17" spans="1:19" hidden="1" x14ac:dyDescent="0.25">
      <c r="A17" s="136">
        <v>0</v>
      </c>
      <c r="B17" s="136"/>
      <c r="C17" s="136"/>
      <c r="G17" s="136"/>
      <c r="H17" s="11"/>
      <c r="I17" s="294"/>
      <c r="J17" s="294"/>
      <c r="K17" s="3"/>
      <c r="L17" s="10" t="str">
        <f>+IFERROR(VLOOKUP(I17,MENU!B$4:I$90,$U$9,FALSE),"")</f>
        <v/>
      </c>
      <c r="M17" s="234">
        <f>+IFERROR(VLOOKUP($I17,MENU!$B$4:$Y$100,14,FALSE),0)</f>
        <v>0</v>
      </c>
      <c r="N17" s="234">
        <f>+IFERROR(VLOOKUP($I17,MENU!$B$4:$Y$100,15,FALSE),0)</f>
        <v>0</v>
      </c>
      <c r="O17" s="234">
        <f>+IFERROR(VLOOKUP($I17,MENU!$B$4:$Y$100,16,FALSE),0)*G17</f>
        <v>0</v>
      </c>
      <c r="P17" s="234">
        <f>+IFERROR(VLOOKUP($I17,MENU!$B$4:$Y$100,17,FALSE),0)</f>
        <v>0</v>
      </c>
      <c r="Q17" s="234">
        <f>+IFERROR(VLOOKUP($I17,MENU!$B$4:$Y$100,18,FALSE),0)</f>
        <v>0</v>
      </c>
      <c r="R17" s="142">
        <f>+IFERROR(VLOOKUP($I17,MENU!$B$4:$Y$100,21,FALSE),0)</f>
        <v>0</v>
      </c>
      <c r="S17" s="21"/>
    </row>
    <row r="18" spans="1:19" x14ac:dyDescent="0.25">
      <c r="A18" s="136">
        <f>+B18*C18</f>
        <v>1</v>
      </c>
      <c r="B18" s="136">
        <f>IF('WORKCELL CONFIGURATOR'!H13="",0,1)</f>
        <v>1</v>
      </c>
      <c r="C18" s="136">
        <f>IF('WORKCELL CONFIGURATOR'!H13="N",0,1)</f>
        <v>1</v>
      </c>
      <c r="G18" s="136">
        <f>+A18</f>
        <v>1</v>
      </c>
      <c r="H18" s="11" t="str">
        <f>+'WORKCELL CONFIGURATOR'!G13</f>
        <v>Material Reservoir - 2</v>
      </c>
      <c r="I18" s="294" t="str">
        <f>+'WORKCELL CONFIGURATOR'!H13</f>
        <v>2 Gallon Top Ported Tank with Float</v>
      </c>
      <c r="J18" s="294"/>
      <c r="K18" s="3">
        <v>2</v>
      </c>
      <c r="L18" s="10" t="str">
        <f>+IFERROR(VLOOKUP(I18,MENU!B$4:I$90,$U$9,FALSE),"")</f>
        <v>612-2204-1</v>
      </c>
      <c r="M18" s="234">
        <f>+IFERROR(VLOOKUP($I18,MENU!$B$4:$Y$100,14,FALSE),0)</f>
        <v>0</v>
      </c>
      <c r="N18" s="234">
        <f>+IFERROR(VLOOKUP($I18,MENU!$B$4:$Y$100,15,FALSE),0)</f>
        <v>0</v>
      </c>
      <c r="O18" s="234">
        <f>+IFERROR(VLOOKUP($I18,MENU!$B$4:$Y$100,16,FALSE),0)*G18</f>
        <v>0</v>
      </c>
      <c r="P18" s="234">
        <f>+IFERROR(VLOOKUP($I18,MENU!$B$4:$Y$100,17,FALSE),0)</f>
        <v>0</v>
      </c>
      <c r="Q18" s="234">
        <f>+IFERROR(VLOOKUP($I18,MENU!$B$4:$Y$100,18,FALSE),0)</f>
        <v>0</v>
      </c>
      <c r="R18" s="142">
        <f>+IFERROR(VLOOKUP($I18,MENU!$B$4:$Y$100,21,FALSE),0)</f>
        <v>3190</v>
      </c>
      <c r="S18" s="21">
        <f t="shared" si="0"/>
        <v>3190</v>
      </c>
    </row>
    <row r="19" spans="1:19" x14ac:dyDescent="0.25">
      <c r="A19" s="136">
        <f>+B19*C19</f>
        <v>1</v>
      </c>
      <c r="B19" s="136">
        <f>IF('WORKCELL CONFIGURATOR'!H14="",0,1)</f>
        <v>1</v>
      </c>
      <c r="C19" s="136">
        <f>IF('WORKCELL CONFIGURATOR'!H14="N",0,1)</f>
        <v>1</v>
      </c>
      <c r="G19" s="136">
        <f>+A19</f>
        <v>1</v>
      </c>
      <c r="H19" s="11" t="str">
        <f>+'WORKCELL CONFIGURATOR'!G14</f>
        <v>Flow Meter - 2</v>
      </c>
      <c r="I19" s="294" t="s">
        <v>423</v>
      </c>
      <c r="J19" s="294"/>
      <c r="K19" s="3">
        <v>2</v>
      </c>
      <c r="L19" s="10" t="str">
        <f>+IFERROR(VLOOKUP(I19,MENU!B$4:I$90,$U$9,FALSE),"")</f>
        <v>612-1887-1</v>
      </c>
      <c r="M19" s="234">
        <f>+IFERROR(VLOOKUP($I19,MENU!$B$4:$Y$100,14,FALSE),0)</f>
        <v>0</v>
      </c>
      <c r="N19" s="234">
        <f>+IFERROR(VLOOKUP($I19,MENU!$B$4:$Y$100,15,FALSE),0)</f>
        <v>0</v>
      </c>
      <c r="O19" s="234">
        <f>+IFERROR(VLOOKUP($I19,MENU!$B$4:$Y$100,16,FALSE),0)*G19</f>
        <v>0</v>
      </c>
      <c r="P19" s="234">
        <f>+IFERROR(VLOOKUP($I19,MENU!$B$4:$Y$100,17,FALSE),0)</f>
        <v>0</v>
      </c>
      <c r="Q19" s="234">
        <f>+IFERROR(VLOOKUP($I19,MENU!$B$4:$Y$100,18,FALSE),0)</f>
        <v>0</v>
      </c>
      <c r="R19" s="142">
        <f>+IFERROR(VLOOKUP($I19,MENU!$B$4:$Y$100,21,FALSE),0)</f>
        <v>8760</v>
      </c>
      <c r="S19" s="21">
        <f t="shared" si="0"/>
        <v>8760</v>
      </c>
    </row>
    <row r="20" spans="1:19" hidden="1" x14ac:dyDescent="0.25">
      <c r="A20" s="136">
        <f>+B20*C20</f>
        <v>0</v>
      </c>
      <c r="B20" s="136">
        <f>IF('WORKCELL CONFIGURATOR'!H15="",0,1)</f>
        <v>0</v>
      </c>
      <c r="C20" s="136">
        <f>IF('WORKCELL CONFIGURATOR'!H15="N",0,1)</f>
        <v>1</v>
      </c>
      <c r="G20" s="136">
        <f>+A20</f>
        <v>0</v>
      </c>
      <c r="H20" s="11" t="str">
        <f>+'WORKCELL CONFIGURATOR'!G15</f>
        <v>Solvent Flush - 2</v>
      </c>
      <c r="I20" s="294" t="s">
        <v>443</v>
      </c>
      <c r="J20" s="294"/>
      <c r="K20" s="131">
        <v>2</v>
      </c>
      <c r="L20" s="10" t="s">
        <v>461</v>
      </c>
      <c r="M20" s="234">
        <f>+IFERROR(VLOOKUP($I20,MENU!$B$4:$Y$100,14,FALSE),0)</f>
        <v>0</v>
      </c>
      <c r="N20" s="234">
        <f>+IFERROR(VLOOKUP($I20,MENU!$B$4:$Y$100,15,FALSE),0)</f>
        <v>0</v>
      </c>
      <c r="O20" s="234">
        <f>+IFERROR(VLOOKUP($I20,MENU!$B$4:$Y$100,16,FALSE),0)*G20</f>
        <v>0</v>
      </c>
      <c r="P20" s="234">
        <f>+IFERROR(VLOOKUP($I20,MENU!$B$4:$Y$100,17,FALSE),0)</f>
        <v>0</v>
      </c>
      <c r="Q20" s="234">
        <f>+IFERROR(VLOOKUP($I20,MENU!$B$4:$Y$100,18,FALSE),0)</f>
        <v>0</v>
      </c>
      <c r="R20" s="142">
        <f>+IFERROR(VLOOKUP($I20,MENU!$B$4:$Y$100,21,FALSE),0)</f>
        <v>0</v>
      </c>
      <c r="S20" s="21">
        <f t="shared" si="0"/>
        <v>0</v>
      </c>
    </row>
    <row r="21" spans="1:19" hidden="1" x14ac:dyDescent="0.25">
      <c r="A21" s="136">
        <v>0</v>
      </c>
      <c r="B21" s="136"/>
      <c r="C21" s="136"/>
      <c r="G21" s="136"/>
      <c r="H21" s="11"/>
      <c r="I21" s="294"/>
      <c r="J21" s="294"/>
      <c r="K21" s="131"/>
      <c r="L21" s="10" t="str">
        <f>+IFERROR(VLOOKUP(I21,MENU!B$4:I$90,$U$9,FALSE),"")</f>
        <v/>
      </c>
      <c r="M21" s="234">
        <f>+IFERROR(VLOOKUP($I21,MENU!$B$4:$Y$100,14,FALSE),0)</f>
        <v>0</v>
      </c>
      <c r="N21" s="234">
        <f>+IFERROR(VLOOKUP($I21,MENU!$B$4:$Y$100,15,FALSE),0)</f>
        <v>0</v>
      </c>
      <c r="O21" s="234">
        <f>+IFERROR(VLOOKUP($I21,MENU!$B$4:$Y$100,16,FALSE),0)*G21</f>
        <v>0</v>
      </c>
      <c r="P21" s="234">
        <f>+IFERROR(VLOOKUP($I21,MENU!$B$4:$Y$100,17,FALSE),0)</f>
        <v>0</v>
      </c>
      <c r="Q21" s="234">
        <f>+IFERROR(VLOOKUP($I21,MENU!$B$4:$Y$100,18,FALSE),0)</f>
        <v>0</v>
      </c>
      <c r="R21" s="142">
        <f>+IFERROR(VLOOKUP($I21,MENU!$B$4:$Y$100,21,FALSE),0)</f>
        <v>0</v>
      </c>
      <c r="S21" s="21"/>
    </row>
    <row r="22" spans="1:19" hidden="1" x14ac:dyDescent="0.25">
      <c r="A22" s="136">
        <v>0</v>
      </c>
      <c r="B22" s="136"/>
      <c r="C22" s="136"/>
      <c r="G22" s="136"/>
      <c r="H22" s="11"/>
      <c r="I22" s="294"/>
      <c r="J22" s="294"/>
      <c r="K22" s="131"/>
      <c r="L22" s="10" t="str">
        <f>+IFERROR(VLOOKUP(I22,MENU!B$4:I$90,$U$9,FALSE),"")</f>
        <v/>
      </c>
      <c r="M22" s="234">
        <f>+IFERROR(VLOOKUP($I22,MENU!$B$4:$Y$100,14,FALSE),0)</f>
        <v>0</v>
      </c>
      <c r="N22" s="234">
        <f>+IFERROR(VLOOKUP($I22,MENU!$B$4:$Y$100,15,FALSE),0)</f>
        <v>0</v>
      </c>
      <c r="O22" s="234">
        <f>+IFERROR(VLOOKUP($I22,MENU!$B$4:$Y$100,16,FALSE),0)*G22</f>
        <v>0</v>
      </c>
      <c r="P22" s="234">
        <f>+IFERROR(VLOOKUP($I22,MENU!$B$4:$Y$100,17,FALSE),0)</f>
        <v>0</v>
      </c>
      <c r="Q22" s="234">
        <f>+IFERROR(VLOOKUP($I22,MENU!$B$4:$Y$100,18,FALSE),0)</f>
        <v>0</v>
      </c>
      <c r="R22" s="142">
        <f>+IFERROR(VLOOKUP($I22,MENU!$B$4:$Y$100,21,FALSE),0)</f>
        <v>0</v>
      </c>
      <c r="S22" s="21">
        <f t="shared" si="0"/>
        <v>0</v>
      </c>
    </row>
    <row r="23" spans="1:19" hidden="1" x14ac:dyDescent="0.25">
      <c r="A23" s="136">
        <v>0</v>
      </c>
      <c r="B23" s="136"/>
      <c r="C23" s="136"/>
      <c r="G23" s="136"/>
      <c r="H23" s="11"/>
      <c r="I23" s="294"/>
      <c r="J23" s="294"/>
      <c r="K23" s="131"/>
      <c r="L23" s="10" t="str">
        <f>+IFERROR(VLOOKUP(I23,MENU!B$4:I$90,$U$9,FALSE),"")</f>
        <v/>
      </c>
      <c r="M23" s="234">
        <f>+IFERROR(VLOOKUP($I23,MENU!$B$4:$Y$100,14,FALSE),0)</f>
        <v>0</v>
      </c>
      <c r="N23" s="234">
        <f>+IFERROR(VLOOKUP($I23,MENU!$B$4:$Y$100,15,FALSE),0)</f>
        <v>0</v>
      </c>
      <c r="O23" s="234">
        <f>+IFERROR(VLOOKUP($I23,MENU!$B$4:$Y$100,16,FALSE),0)*G23</f>
        <v>0</v>
      </c>
      <c r="P23" s="234">
        <f>+IFERROR(VLOOKUP($I23,MENU!$B$4:$Y$100,17,FALSE),0)</f>
        <v>0</v>
      </c>
      <c r="Q23" s="234">
        <f>+IFERROR(VLOOKUP($I23,MENU!$B$4:$Y$100,18,FALSE),0)</f>
        <v>0</v>
      </c>
      <c r="R23" s="142">
        <f>+IFERROR(VLOOKUP($I23,MENU!$B$4:$Y$100,21,FALSE),0)</f>
        <v>0</v>
      </c>
      <c r="S23" s="21">
        <f t="shared" si="0"/>
        <v>0</v>
      </c>
    </row>
    <row r="24" spans="1:19" x14ac:dyDescent="0.25">
      <c r="A24" s="136">
        <f>+B24*C24</f>
        <v>1</v>
      </c>
      <c r="B24" s="136">
        <f>IF('WORKCELL CONFIGURATOR'!H19="",0,1)</f>
        <v>1</v>
      </c>
      <c r="C24" s="136">
        <f>IF('WORKCELL CONFIGURATOR'!H19="N",0,1)</f>
        <v>1</v>
      </c>
      <c r="G24" s="136">
        <f>+A24</f>
        <v>1</v>
      </c>
      <c r="H24" s="11" t="str">
        <f>+'WORKCELL CONFIGURATOR'!G19</f>
        <v>Dispense Head</v>
      </c>
      <c r="I24" s="294" t="str">
        <f>+'WORKCELL CONFIGURATOR'!H19</f>
        <v>3 Station Dispense Head with Two Position Tilt on Stations 2 and 3</v>
      </c>
      <c r="J24" s="294"/>
      <c r="K24" s="131"/>
      <c r="L24" s="10" t="str">
        <f>+IFERROR(VLOOKUP(I24,MENU!B$4:I$90,$U$9,FALSE),"")</f>
        <v>612-1879-3</v>
      </c>
      <c r="M24" s="234">
        <f>+IFERROR(VLOOKUP($I24,MENU!$B$4:$Y$100,14,FALSE),0)</f>
        <v>-89</v>
      </c>
      <c r="N24" s="234">
        <f>+IFERROR(VLOOKUP($I24,MENU!$B$4:$Y$100,15,FALSE),0)</f>
        <v>-49</v>
      </c>
      <c r="O24" s="234">
        <f>+IFERROR(VLOOKUP($I24,MENU!$B$4:$Y$100,16,FALSE),0)*G24</f>
        <v>-228</v>
      </c>
      <c r="P24" s="234">
        <f>+IFERROR(VLOOKUP($I24,MENU!$B$4:$Y$100,17,FALSE),0)</f>
        <v>0</v>
      </c>
      <c r="Q24" s="234">
        <f>+IFERROR(VLOOKUP($I24,MENU!$B$4:$Y$100,18,FALSE),0)</f>
        <v>0</v>
      </c>
      <c r="R24" s="142">
        <f>+IFERROR(VLOOKUP($I24,MENU!$B$4:$Y$100,21,FALSE),0)</f>
        <v>0</v>
      </c>
      <c r="S24" s="21">
        <f t="shared" si="0"/>
        <v>0</v>
      </c>
    </row>
    <row r="25" spans="1:19" hidden="1" x14ac:dyDescent="0.25">
      <c r="A25" s="136">
        <v>0</v>
      </c>
      <c r="B25" s="136"/>
      <c r="C25" s="136"/>
      <c r="G25" s="136"/>
      <c r="H25" s="11"/>
      <c r="I25" s="294"/>
      <c r="J25" s="294"/>
      <c r="K25" s="131"/>
      <c r="L25" s="10" t="str">
        <f>+IFERROR(VLOOKUP(I25,MENU!B$4:I$90,$U$9,FALSE),"")</f>
        <v/>
      </c>
      <c r="M25" s="234">
        <f>+IFERROR(VLOOKUP($I25,MENU!$B$4:$Y$100,14,FALSE),0)</f>
        <v>0</v>
      </c>
      <c r="N25" s="234">
        <f>+IFERROR(VLOOKUP($I25,MENU!$B$4:$Y$100,15,FALSE),0)</f>
        <v>0</v>
      </c>
      <c r="O25" s="234">
        <f>+IFERROR(VLOOKUP($I25,MENU!$B$4:$Y$100,16,FALSE),0)*G25</f>
        <v>0</v>
      </c>
      <c r="P25" s="234">
        <f>+IFERROR(VLOOKUP($I25,MENU!$B$4:$Y$100,17,FALSE),0)</f>
        <v>0</v>
      </c>
      <c r="Q25" s="234">
        <f>+IFERROR(VLOOKUP($I25,MENU!$B$4:$Y$100,18,FALSE),0)</f>
        <v>0</v>
      </c>
      <c r="R25" s="142">
        <f>+IFERROR(VLOOKUP($I25,MENU!$B$4:$Y$100,21,FALSE),0)</f>
        <v>0</v>
      </c>
      <c r="S25" s="21">
        <f t="shared" si="0"/>
        <v>0</v>
      </c>
    </row>
    <row r="26" spans="1:19" x14ac:dyDescent="0.25">
      <c r="A26" s="136">
        <f>+B26*C26</f>
        <v>1</v>
      </c>
      <c r="B26" s="136">
        <f>IF('WORKCELL CONFIGURATOR'!H21="",0,1)</f>
        <v>1</v>
      </c>
      <c r="C26" s="136">
        <f>IF('WORKCELL CONFIGURATOR'!H21="N",0,1)</f>
        <v>1</v>
      </c>
      <c r="G26" s="136">
        <f>+A26</f>
        <v>1</v>
      </c>
      <c r="H26" s="11" t="str">
        <f>+'WORKCELL CONFIGURATOR'!G21</f>
        <v>Station 1</v>
      </c>
      <c r="I26" s="294" t="str">
        <f>+'WORKCELL CONFIGURATOR'!H21</f>
        <v>FCS300-ES</v>
      </c>
      <c r="J26" s="294"/>
      <c r="K26" s="131">
        <f>+'WORKCELL CONFIGURATOR'!H22</f>
        <v>1</v>
      </c>
      <c r="L26" s="10" t="str">
        <f>+IFERROR(VLOOKUP(I26,MENU!B$4:I$90,$U$9,FALSE),"")</f>
        <v>612-1870-1</v>
      </c>
      <c r="M26" s="234">
        <f>+IFERROR(VLOOKUP($I26,MENU!$B$4:$Y$100,14,FALSE),0)</f>
        <v>0</v>
      </c>
      <c r="N26" s="234">
        <f>+IFERROR(VLOOKUP($I26,MENU!$B$4:$Y$100,15,FALSE),0)</f>
        <v>0</v>
      </c>
      <c r="O26" s="234">
        <f>+IFERROR(VLOOKUP($I26,MENU!$B$4:$Y$100,16,FALSE),0)*G26</f>
        <v>0</v>
      </c>
      <c r="P26" s="234">
        <f>+IFERROR(VLOOKUP($I26,MENU!$B$4:$Y$100,17,FALSE),0)</f>
        <v>0</v>
      </c>
      <c r="Q26" s="234">
        <f>+IFERROR(VLOOKUP($I26,MENU!$B$4:$Y$100,18,FALSE),0)</f>
        <v>0</v>
      </c>
      <c r="R26" s="142">
        <f>+IFERROR(VLOOKUP($I26,MENU!$B$4:$Y$100,21,FALSE),0)</f>
        <v>3860</v>
      </c>
      <c r="S26" s="21">
        <f t="shared" si="0"/>
        <v>3860</v>
      </c>
    </row>
    <row r="27" spans="1:19" hidden="1" x14ac:dyDescent="0.25">
      <c r="A27" s="136">
        <v>0</v>
      </c>
      <c r="B27" s="136"/>
      <c r="C27" s="136"/>
      <c r="G27" s="136"/>
      <c r="H27" s="11"/>
      <c r="I27" s="294"/>
      <c r="J27" s="294"/>
      <c r="K27" s="131"/>
      <c r="L27" s="10" t="str">
        <f>+IFERROR(VLOOKUP(I27,MENU!B$4:I$90,$U$9,FALSE),"")</f>
        <v/>
      </c>
      <c r="M27" s="234">
        <f>+IFERROR(VLOOKUP($I27,MENU!$B$4:$Y$100,14,FALSE),0)</f>
        <v>0</v>
      </c>
      <c r="N27" s="234">
        <f>+IFERROR(VLOOKUP($I27,MENU!$B$4:$Y$100,15,FALSE),0)</f>
        <v>0</v>
      </c>
      <c r="O27" s="234">
        <f>+IFERROR(VLOOKUP($I27,MENU!$B$4:$Y$100,16,FALSE),0)*G27</f>
        <v>0</v>
      </c>
      <c r="P27" s="234">
        <f>+IFERROR(VLOOKUP($I27,MENU!$B$4:$Y$100,17,FALSE),0)</f>
        <v>0</v>
      </c>
      <c r="Q27" s="234">
        <f>+IFERROR(VLOOKUP($I27,MENU!$B$4:$Y$100,18,FALSE),0)</f>
        <v>0</v>
      </c>
      <c r="R27" s="142">
        <f>+IFERROR(VLOOKUP($I27,MENU!$B$4:$Y$100,21,FALSE),0)</f>
        <v>0</v>
      </c>
      <c r="S27" s="21">
        <f t="shared" si="0"/>
        <v>0</v>
      </c>
    </row>
    <row r="28" spans="1:19" x14ac:dyDescent="0.25">
      <c r="A28" s="136">
        <f>+B28*C28</f>
        <v>1</v>
      </c>
      <c r="B28" s="136">
        <f>IF('WORKCELL CONFIGURATOR'!H23="",0,1)</f>
        <v>1</v>
      </c>
      <c r="C28" s="136">
        <f>IF('WORKCELL CONFIGURATOR'!H23="N",0,1)</f>
        <v>1</v>
      </c>
      <c r="G28" s="136">
        <f>+A28</f>
        <v>1</v>
      </c>
      <c r="H28" s="11" t="str">
        <f>+'WORKCELL CONFIGURATOR'!G23</f>
        <v>Station 2</v>
      </c>
      <c r="I28" s="294" t="str">
        <f>+'WORKCELL CONFIGURATOR'!H23</f>
        <v>FC100-MC</v>
      </c>
      <c r="J28" s="294"/>
      <c r="K28" s="131">
        <f>+'WORKCELL CONFIGURATOR'!H24</f>
        <v>1</v>
      </c>
      <c r="L28" s="10" t="str">
        <f>+IFERROR(VLOOKUP(I28,MENU!B$4:I$90,$U$9,FALSE),"")</f>
        <v>612-1874-1</v>
      </c>
      <c r="M28" s="234">
        <f>+IFERROR(VLOOKUP($I28,MENU!$B$4:$Y$100,14,FALSE),0)</f>
        <v>0</v>
      </c>
      <c r="N28" s="234">
        <f>+IFERROR(VLOOKUP($I28,MENU!$B$4:$Y$100,15,FALSE),0)</f>
        <v>0</v>
      </c>
      <c r="O28" s="234">
        <f>+IFERROR(VLOOKUP($I28,MENU!$B$4:$Y$100,16,FALSE),0)*G28</f>
        <v>0</v>
      </c>
      <c r="P28" s="234">
        <f>+IFERROR(VLOOKUP($I28,MENU!$B$4:$Y$100,17,FALSE),0)</f>
        <v>0</v>
      </c>
      <c r="Q28" s="234">
        <f>+IFERROR(VLOOKUP($I28,MENU!$B$4:$Y$100,18,FALSE),0)</f>
        <v>0</v>
      </c>
      <c r="R28" s="142">
        <f>+IFERROR(VLOOKUP($I28,MENU!$B$4:$Y$100,21,FALSE),0)</f>
        <v>2780</v>
      </c>
      <c r="S28" s="21">
        <f t="shared" si="0"/>
        <v>2780</v>
      </c>
    </row>
    <row r="29" spans="1:19" hidden="1" x14ac:dyDescent="0.25">
      <c r="A29" s="136">
        <v>0</v>
      </c>
      <c r="B29" s="136"/>
      <c r="C29" s="136"/>
      <c r="G29" s="136"/>
      <c r="H29" s="11"/>
      <c r="I29" s="294"/>
      <c r="J29" s="294"/>
      <c r="K29" s="131"/>
      <c r="L29" s="10" t="str">
        <f>+IFERROR(VLOOKUP(I29,MENU!B$4:I$90,$U$9,FALSE),"")</f>
        <v/>
      </c>
      <c r="M29" s="234">
        <f>+IFERROR(VLOOKUP($I29,MENU!$B$4:$Y$100,14,FALSE),0)</f>
        <v>0</v>
      </c>
      <c r="N29" s="234">
        <f>+IFERROR(VLOOKUP($I29,MENU!$B$4:$Y$100,15,FALSE),0)</f>
        <v>0</v>
      </c>
      <c r="O29" s="234">
        <f>+IFERROR(VLOOKUP($I29,MENU!$B$4:$Y$100,16,FALSE),0)*G29</f>
        <v>0</v>
      </c>
      <c r="P29" s="234">
        <f>+IFERROR(VLOOKUP($I29,MENU!$B$4:$Y$100,17,FALSE),0)</f>
        <v>0</v>
      </c>
      <c r="Q29" s="234">
        <f>+IFERROR(VLOOKUP($I29,MENU!$B$4:$Y$100,18,FALSE),0)</f>
        <v>0</v>
      </c>
      <c r="R29" s="142">
        <f>+IFERROR(VLOOKUP($I29,MENU!$B$4:$Y$100,21,FALSE),0)</f>
        <v>0</v>
      </c>
      <c r="S29" s="21">
        <f t="shared" si="0"/>
        <v>0</v>
      </c>
    </row>
    <row r="30" spans="1:19" x14ac:dyDescent="0.25">
      <c r="A30" s="136">
        <f>+B30*C30</f>
        <v>1</v>
      </c>
      <c r="B30" s="136">
        <f>IF('WORKCELL CONFIGURATOR'!H25="",0,1)</f>
        <v>1</v>
      </c>
      <c r="C30" s="136">
        <f>IF('WORKCELL CONFIGURATOR'!H25="N",0,1)</f>
        <v>1</v>
      </c>
      <c r="G30" s="136">
        <f>+A30</f>
        <v>1</v>
      </c>
      <c r="H30" s="11" t="str">
        <f>+'WORKCELL CONFIGURATOR'!G25</f>
        <v>Station 3</v>
      </c>
      <c r="I30" s="294" t="str">
        <f>+'WORKCELL CONFIGURATOR'!H25</f>
        <v>FCM100</v>
      </c>
      <c r="J30" s="294"/>
      <c r="K30" s="131">
        <f>+'WORKCELL CONFIGURATOR'!H26</f>
        <v>2</v>
      </c>
      <c r="L30" s="10" t="str">
        <f>+IFERROR(VLOOKUP(I30,MENU!B$4:I$90,$U$9,FALSE),"")</f>
        <v>612-1873-1</v>
      </c>
      <c r="M30" s="234">
        <f>+IFERROR(VLOOKUP($I30,MENU!$B$4:$Y$100,14,FALSE),0)</f>
        <v>0</v>
      </c>
      <c r="N30" s="234">
        <f>+IFERROR(VLOOKUP($I30,MENU!$B$4:$Y$100,15,FALSE),0)</f>
        <v>0</v>
      </c>
      <c r="O30" s="234">
        <f>+IFERROR(VLOOKUP($I30,MENU!$B$4:$Y$100,16,FALSE),0)*G30</f>
        <v>0</v>
      </c>
      <c r="P30" s="234">
        <f>+IFERROR(VLOOKUP($I30,MENU!$B$4:$Y$100,17,FALSE),0)</f>
        <v>0</v>
      </c>
      <c r="Q30" s="234">
        <f>+IFERROR(VLOOKUP($I30,MENU!$B$4:$Y$100,18,FALSE),0)</f>
        <v>0</v>
      </c>
      <c r="R30" s="142">
        <f>+IFERROR(VLOOKUP($I30,MENU!$B$4:$Y$100,21,FALSE),0)</f>
        <v>3860</v>
      </c>
      <c r="S30" s="21">
        <f t="shared" si="0"/>
        <v>3860</v>
      </c>
    </row>
    <row r="31" spans="1:19" hidden="1" x14ac:dyDescent="0.25">
      <c r="A31" s="136">
        <v>0</v>
      </c>
      <c r="B31" s="136"/>
      <c r="C31" s="136"/>
      <c r="G31" s="136"/>
      <c r="H31" s="11"/>
      <c r="I31" s="294"/>
      <c r="J31" s="294"/>
      <c r="K31" s="131"/>
      <c r="L31" s="10" t="str">
        <f>+IFERROR(VLOOKUP(I31,MENU!B$4:I$90,$U$9,FALSE),"")</f>
        <v/>
      </c>
      <c r="M31" s="234">
        <f>+IFERROR(VLOOKUP($I31,MENU!$B$4:$Y$100,14,FALSE),0)</f>
        <v>0</v>
      </c>
      <c r="N31" s="234">
        <f>+IFERROR(VLOOKUP($I31,MENU!$B$4:$Y$100,15,FALSE),0)</f>
        <v>0</v>
      </c>
      <c r="O31" s="234">
        <f>+IFERROR(VLOOKUP($I31,MENU!$B$4:$Y$100,16,FALSE),0)*G31</f>
        <v>0</v>
      </c>
      <c r="P31" s="234">
        <f>+IFERROR(VLOOKUP($I31,MENU!$B$4:$Y$100,17,FALSE),0)</f>
        <v>0</v>
      </c>
      <c r="Q31" s="234">
        <f>+IFERROR(VLOOKUP($I31,MENU!$B$4:$Y$100,18,FALSE),0)</f>
        <v>0</v>
      </c>
      <c r="R31" s="142">
        <f>+IFERROR(VLOOKUP($I31,MENU!$B$4:$Y$100,21,FALSE),0)</f>
        <v>0</v>
      </c>
      <c r="S31" s="21">
        <f t="shared" si="0"/>
        <v>0</v>
      </c>
    </row>
    <row r="32" spans="1:19" hidden="1" x14ac:dyDescent="0.25">
      <c r="A32" s="136">
        <f>+B32*C32</f>
        <v>0</v>
      </c>
      <c r="B32" s="136">
        <f>IF('WORKCELL CONFIGURATOR'!H27="",0,1)</f>
        <v>0</v>
      </c>
      <c r="C32" s="136">
        <f>IF('WORKCELL CONFIGURATOR'!H27="N",0,1)</f>
        <v>1</v>
      </c>
      <c r="G32" s="136">
        <f>+A32</f>
        <v>0</v>
      </c>
      <c r="H32" s="11" t="str">
        <f>+'WORKCELL CONFIGURATOR'!G27</f>
        <v>Station 4</v>
      </c>
      <c r="I32" s="294">
        <f>+'WORKCELL CONFIGURATOR'!H27</f>
        <v>0</v>
      </c>
      <c r="J32" s="294"/>
      <c r="K32" s="131">
        <f>+'WORKCELL CONFIGURATOR'!H28</f>
        <v>0</v>
      </c>
      <c r="L32" s="10" t="str">
        <f>+IFERROR(VLOOKUP(I32,MENU!B$4:I$90,$U$9,FALSE),"")</f>
        <v/>
      </c>
      <c r="M32" s="234">
        <f>+IFERROR(VLOOKUP($I32,MENU!$B$4:$Y$100,14,FALSE),0)</f>
        <v>0</v>
      </c>
      <c r="N32" s="234">
        <f>+IFERROR(VLOOKUP($I32,MENU!$B$4:$Y$100,15,FALSE),0)</f>
        <v>0</v>
      </c>
      <c r="O32" s="234">
        <f>+IFERROR(VLOOKUP($I32,MENU!$B$4:$Y$100,16,FALSE),0)*G32</f>
        <v>0</v>
      </c>
      <c r="P32" s="234">
        <f>+IFERROR(VLOOKUP($I32,MENU!$B$4:$Y$100,17,FALSE),0)</f>
        <v>0</v>
      </c>
      <c r="Q32" s="234">
        <f>+IFERROR(VLOOKUP($I32,MENU!$B$4:$Y$100,18,FALSE),0)</f>
        <v>0</v>
      </c>
      <c r="R32" s="142">
        <f>+IFERROR(VLOOKUP($I32,MENU!$B$4:$Y$100,21,FALSE),0)</f>
        <v>0</v>
      </c>
      <c r="S32" s="21">
        <f t="shared" si="0"/>
        <v>0</v>
      </c>
    </row>
    <row r="33" spans="1:27" hidden="1" x14ac:dyDescent="0.25">
      <c r="A33" s="136">
        <v>0</v>
      </c>
      <c r="B33" s="136"/>
      <c r="C33" s="136"/>
      <c r="G33" s="136"/>
      <c r="H33" s="11"/>
      <c r="I33" s="294"/>
      <c r="J33" s="294"/>
      <c r="K33" s="3"/>
      <c r="L33" s="10" t="str">
        <f>+IFERROR(VLOOKUP(I33,MENU!B$4:I$90,$U$9,FALSE),"")</f>
        <v/>
      </c>
      <c r="M33" s="234">
        <f>+IFERROR(VLOOKUP($I33,MENU!$B$4:$Y$100,14,FALSE),0)</f>
        <v>0</v>
      </c>
      <c r="N33" s="234">
        <f>+IFERROR(VLOOKUP($I33,MENU!$B$4:$Y$100,15,FALSE),0)</f>
        <v>0</v>
      </c>
      <c r="O33" s="234">
        <f>+IFERROR(VLOOKUP($I33,MENU!$B$4:$Y$100,16,FALSE),0)*G33</f>
        <v>0</v>
      </c>
      <c r="P33" s="234">
        <f>+IFERROR(VLOOKUP($I33,MENU!$B$4:$Y$100,17,FALSE),0)</f>
        <v>0</v>
      </c>
      <c r="Q33" s="234">
        <f>+IFERROR(VLOOKUP($I33,MENU!$B$4:$Y$100,18,FALSE),0)</f>
        <v>0</v>
      </c>
      <c r="R33" s="142">
        <f>+IFERROR(VLOOKUP($I33,MENU!$B$4:$Y$100,21,FALSE),0)</f>
        <v>0</v>
      </c>
      <c r="S33" s="21">
        <f t="shared" si="0"/>
        <v>0</v>
      </c>
    </row>
    <row r="34" spans="1:27" hidden="1" x14ac:dyDescent="0.25">
      <c r="A34" s="136">
        <v>0</v>
      </c>
      <c r="B34" s="136"/>
      <c r="C34" s="136"/>
      <c r="G34" s="136"/>
      <c r="H34" s="11"/>
      <c r="I34" s="294"/>
      <c r="J34" s="294"/>
      <c r="K34" s="9"/>
      <c r="L34" s="10" t="str">
        <f>+IFERROR(VLOOKUP(I34,MENU!B$4:I$90,$U$9,FALSE),"")</f>
        <v/>
      </c>
      <c r="M34" s="234">
        <f>+IFERROR(VLOOKUP($I34,MENU!$B$4:$Y$100,14,FALSE),0)</f>
        <v>0</v>
      </c>
      <c r="N34" s="234">
        <f>+IFERROR(VLOOKUP($I34,MENU!$B$4:$Y$100,15,FALSE),0)</f>
        <v>0</v>
      </c>
      <c r="O34" s="234">
        <f>+IFERROR(VLOOKUP($I34,MENU!$B$4:$Y$100,16,FALSE),0)*G34</f>
        <v>0</v>
      </c>
      <c r="P34" s="234">
        <f>+IFERROR(VLOOKUP($I34,MENU!$B$4:$Y$100,17,FALSE),0)</f>
        <v>0</v>
      </c>
      <c r="Q34" s="234">
        <f>+IFERROR(VLOOKUP($I34,MENU!$B$4:$Y$100,18,FALSE),0)</f>
        <v>0</v>
      </c>
      <c r="R34" s="142">
        <f>+IFERROR(VLOOKUP($I34,MENU!$B$4:$Y$100,21,FALSE),0)</f>
        <v>0</v>
      </c>
      <c r="S34" s="21">
        <f t="shared" si="0"/>
        <v>0</v>
      </c>
    </row>
    <row r="35" spans="1:27" hidden="1" x14ac:dyDescent="0.25">
      <c r="A35" s="136">
        <v>0</v>
      </c>
      <c r="B35" s="136"/>
      <c r="C35" s="136"/>
      <c r="G35" s="136"/>
      <c r="H35" s="11"/>
      <c r="I35" s="294"/>
      <c r="J35" s="294"/>
      <c r="K35" s="9"/>
      <c r="L35" s="10" t="str">
        <f>+IFERROR(VLOOKUP(I35,MENU!B$4:I$90,$U$9,FALSE),"")</f>
        <v/>
      </c>
      <c r="M35" s="234">
        <f>+IFERROR(VLOOKUP($I35,MENU!$B$4:$Y$100,14,FALSE),0)</f>
        <v>0</v>
      </c>
      <c r="N35" s="234">
        <f>+IFERROR(VLOOKUP($I35,MENU!$B$4:$Y$100,15,FALSE),0)</f>
        <v>0</v>
      </c>
      <c r="O35" s="234">
        <f>+IFERROR(VLOOKUP($I35,MENU!$B$4:$Y$100,16,FALSE),0)*G35</f>
        <v>0</v>
      </c>
      <c r="P35" s="234">
        <f>+IFERROR(VLOOKUP($I35,MENU!$B$4:$Y$100,17,FALSE),0)</f>
        <v>0</v>
      </c>
      <c r="Q35" s="234">
        <f>+IFERROR(VLOOKUP($I35,MENU!$B$4:$Y$100,18,FALSE),0)</f>
        <v>0</v>
      </c>
      <c r="R35" s="142">
        <f>+IFERROR(VLOOKUP($I35,MENU!$B$4:$Y$100,21,FALSE),0)</f>
        <v>0</v>
      </c>
      <c r="S35" s="21">
        <f t="shared" si="0"/>
        <v>0</v>
      </c>
    </row>
    <row r="36" spans="1:27" hidden="1" x14ac:dyDescent="0.25">
      <c r="A36" s="136">
        <v>0</v>
      </c>
      <c r="B36" s="136"/>
      <c r="C36" s="136"/>
      <c r="G36" s="136"/>
      <c r="H36" s="11"/>
      <c r="I36" s="294"/>
      <c r="J36" s="294"/>
      <c r="K36" s="9"/>
      <c r="L36" s="10" t="str">
        <f>+IFERROR(VLOOKUP(I36,MENU!B$4:I$90,$U$9,FALSE),"")</f>
        <v/>
      </c>
      <c r="M36" s="234">
        <f>+IFERROR(VLOOKUP($I36,MENU!$B$4:$Y$100,14,FALSE),0)</f>
        <v>0</v>
      </c>
      <c r="N36" s="234">
        <f>+IFERROR(VLOOKUP($I36,MENU!$B$4:$Y$100,15,FALSE),0)</f>
        <v>0</v>
      </c>
      <c r="O36" s="234">
        <f>+IFERROR(VLOOKUP($I36,MENU!$B$4:$Y$100,16,FALSE),0)*G36</f>
        <v>0</v>
      </c>
      <c r="P36" s="234">
        <f>+IFERROR(VLOOKUP($I36,MENU!$B$4:$Y$100,17,FALSE),0)</f>
        <v>0</v>
      </c>
      <c r="Q36" s="234">
        <f>+IFERROR(VLOOKUP($I36,MENU!$B$4:$Y$100,18,FALSE),0)</f>
        <v>0</v>
      </c>
      <c r="R36" s="142">
        <f>+IFERROR(VLOOKUP($I36,MENU!$B$4:$Y$100,21,FALSE),0)</f>
        <v>0</v>
      </c>
      <c r="S36" s="21">
        <f t="shared" si="0"/>
        <v>0</v>
      </c>
    </row>
    <row r="37" spans="1:27" hidden="1" x14ac:dyDescent="0.25">
      <c r="A37" s="136">
        <v>0</v>
      </c>
      <c r="B37" s="136"/>
      <c r="C37" s="136"/>
      <c r="G37" s="136"/>
      <c r="H37" s="11"/>
      <c r="I37" s="294"/>
      <c r="J37" s="294"/>
      <c r="K37" s="9"/>
      <c r="L37" s="10" t="str">
        <f>+IFERROR(VLOOKUP(I37,MENU!B$4:I$90,$U$9,FALSE),"")</f>
        <v/>
      </c>
      <c r="M37" s="234">
        <f>+IFERROR(VLOOKUP($I37,MENU!$B$4:$Y$100,14,FALSE),0)</f>
        <v>0</v>
      </c>
      <c r="N37" s="234">
        <f>+IFERROR(VLOOKUP($I37,MENU!$B$4:$Y$100,15,FALSE),0)</f>
        <v>0</v>
      </c>
      <c r="O37" s="234">
        <f>+IFERROR(VLOOKUP($I37,MENU!$B$4:$Y$100,16,FALSE),0)*G37</f>
        <v>0</v>
      </c>
      <c r="P37" s="234">
        <f>+IFERROR(VLOOKUP($I37,MENU!$B$4:$Y$100,17,FALSE),0)</f>
        <v>0</v>
      </c>
      <c r="Q37" s="234">
        <f>+IFERROR(VLOOKUP($I37,MENU!$B$4:$Y$100,18,FALSE),0)</f>
        <v>0</v>
      </c>
      <c r="R37" s="142">
        <f>+IFERROR(VLOOKUP($I37,MENU!$B$4:$Y$100,21,FALSE),0)</f>
        <v>0</v>
      </c>
      <c r="S37" s="21">
        <f t="shared" si="0"/>
        <v>0</v>
      </c>
    </row>
    <row r="38" spans="1:27" hidden="1" x14ac:dyDescent="0.25">
      <c r="A38" s="136">
        <v>0</v>
      </c>
      <c r="B38" s="136"/>
      <c r="C38" s="136"/>
      <c r="G38" s="136"/>
      <c r="H38" s="11"/>
      <c r="I38" s="294"/>
      <c r="J38" s="294"/>
      <c r="K38" s="9"/>
      <c r="L38" s="10" t="str">
        <f>+IFERROR(VLOOKUP(I38,MENU!B$4:I$90,$U$9,FALSE),"")</f>
        <v/>
      </c>
      <c r="M38" s="234">
        <f>+IFERROR(VLOOKUP($I38,MENU!$B$4:$Y$100,14,FALSE),0)</f>
        <v>0</v>
      </c>
      <c r="N38" s="234">
        <f>+IFERROR(VLOOKUP($I38,MENU!$B$4:$Y$100,15,FALSE),0)</f>
        <v>0</v>
      </c>
      <c r="O38" s="234">
        <f>+IFERROR(VLOOKUP($I38,MENU!$B$4:$Y$100,16,FALSE),0)*G38</f>
        <v>0</v>
      </c>
      <c r="P38" s="234">
        <f>+IFERROR(VLOOKUP($I38,MENU!$B$4:$Y$100,17,FALSE),0)</f>
        <v>0</v>
      </c>
      <c r="Q38" s="234">
        <f>+IFERROR(VLOOKUP($I38,MENU!$B$4:$Y$100,18,FALSE),0)</f>
        <v>0</v>
      </c>
      <c r="R38" s="142">
        <f>+IFERROR(VLOOKUP($I38,MENU!$B$4:$Y$100,21,FALSE),0)</f>
        <v>0</v>
      </c>
      <c r="S38" s="21">
        <f t="shared" si="0"/>
        <v>0</v>
      </c>
    </row>
    <row r="39" spans="1:27" x14ac:dyDescent="0.25">
      <c r="A39" s="136">
        <f>+B39*C39</f>
        <v>1</v>
      </c>
      <c r="B39" s="136">
        <f>IF('WORKCELL CONFIGURATOR'!H30="",0,1)</f>
        <v>1</v>
      </c>
      <c r="C39" s="136">
        <f>IF('WORKCELL CONFIGURATOR'!H30="N",0,1)</f>
        <v>1</v>
      </c>
      <c r="D39" s="230" t="str">
        <f>IF((I39&lt;&gt;"Edge Chain Conveyor with Auto Adjust"),"",IF((P68=4),"-D","-E"))</f>
        <v>-D</v>
      </c>
      <c r="G39" s="136">
        <f>+A39</f>
        <v>1</v>
      </c>
      <c r="H39" s="11" t="str">
        <f>+'WORKCELL CONFIGURATOR'!G30</f>
        <v>Conveyor</v>
      </c>
      <c r="I39" s="294" t="str">
        <f>+'WORKCELL CONFIGURATOR'!H30</f>
        <v>Edge Chain Conveyor with Auto Adjust</v>
      </c>
      <c r="J39" s="294"/>
      <c r="K39" s="3"/>
      <c r="L39" s="10" t="str">
        <f>+IFERROR(VLOOKUP(I39,MENU!B$4:I$90,$U$9,FALSE),"")&amp;D39</f>
        <v>612-2996-31-D</v>
      </c>
      <c r="M39" s="234">
        <f>+IFERROR(VLOOKUP($I39,MENU!$B$4:$Y$100,14,FALSE),0)</f>
        <v>-75</v>
      </c>
      <c r="N39" s="234">
        <f>+IFERROR(VLOOKUP($I39,MENU!$B$4:$Y$100,15,FALSE),0)</f>
        <v>0</v>
      </c>
      <c r="O39" s="234">
        <f>+IFERROR(VLOOKUP($I39,MENU!$B$4:$Y$100,16,FALSE),0)*G39</f>
        <v>0</v>
      </c>
      <c r="P39" s="234">
        <f>+IFERROR(VLOOKUP($I39,MENU!$B$4:$Y$100,17,FALSE),0)</f>
        <v>1</v>
      </c>
      <c r="Q39" s="234">
        <f>+IFERROR(VLOOKUP($I39,MENU!$B$4:$Y$100,18,FALSE),0)</f>
        <v>0</v>
      </c>
      <c r="R39" s="142">
        <f>+IFERROR(VLOOKUP($I39,MENU!$B$4:$Y$100,21,FALSE),0)</f>
        <v>12050</v>
      </c>
      <c r="S39" s="21">
        <f t="shared" si="0"/>
        <v>12050</v>
      </c>
    </row>
    <row r="40" spans="1:27" hidden="1" x14ac:dyDescent="0.25">
      <c r="A40" s="136">
        <v>0</v>
      </c>
      <c r="B40" s="136"/>
      <c r="C40" s="136"/>
      <c r="G40" s="208">
        <f>+A40</f>
        <v>0</v>
      </c>
      <c r="H40" s="11" t="str">
        <f>+'WORKCELL CONFIGURATOR'!G31</f>
        <v>Direction</v>
      </c>
      <c r="I40" s="294" t="str">
        <f>+'WORKCELL CONFIGURATOR'!H31</f>
        <v>Left to Right</v>
      </c>
      <c r="J40" s="294"/>
      <c r="K40" s="3"/>
      <c r="L40" s="10" t="str">
        <f>+IFERROR(VLOOKUP(I40,MENU!B$4:I$90,$U$9,FALSE),"")</f>
        <v/>
      </c>
      <c r="M40" s="234">
        <f>+IFERROR(VLOOKUP($I40,MENU!$B$4:$Y$100,14,FALSE),0)</f>
        <v>0</v>
      </c>
      <c r="N40" s="234">
        <f>+IFERROR(VLOOKUP($I40,MENU!$B$4:$Y$100,15,FALSE),0)</f>
        <v>0</v>
      </c>
      <c r="O40" s="234">
        <f>+IFERROR(VLOOKUP($I40,MENU!$B$4:$Y$100,16,FALSE),0)*G40</f>
        <v>0</v>
      </c>
      <c r="P40" s="234">
        <f>+IFERROR(VLOOKUP($I40,MENU!$B$4:$Y$100,17,FALSE),0)</f>
        <v>0</v>
      </c>
      <c r="Q40" s="234">
        <f>+IFERROR(VLOOKUP($I40,MENU!$B$4:$Y$100,18,FALSE),0)</f>
        <v>0</v>
      </c>
      <c r="R40" s="142">
        <f>+IFERROR(VLOOKUP($I40,MENU!$B$4:$Y$100,21,FALSE),0)</f>
        <v>0</v>
      </c>
      <c r="S40" s="21">
        <f t="shared" si="0"/>
        <v>0</v>
      </c>
    </row>
    <row r="41" spans="1:27" x14ac:dyDescent="0.25">
      <c r="A41" s="208">
        <f>+B41*C41</f>
        <v>1</v>
      </c>
      <c r="B41" s="208">
        <f>IF('WORKCELL CONFIGURATOR'!H32="",0,1)</f>
        <v>1</v>
      </c>
      <c r="C41" s="208">
        <f>IF('WORKCELL CONFIGURATOR'!H32="N",0,1)</f>
        <v>1</v>
      </c>
      <c r="G41" s="208">
        <f>+A41</f>
        <v>1</v>
      </c>
      <c r="H41" s="11" t="str">
        <f>+'WORKCELL CONFIGURATOR'!G32</f>
        <v>Conveyor Options</v>
      </c>
      <c r="I41" s="294" t="str">
        <f>+'WORKCELL CONFIGURATOR'!H32</f>
        <v>Pin Locators</v>
      </c>
      <c r="J41" s="294"/>
      <c r="K41" s="207"/>
      <c r="L41" s="10" t="str">
        <f>+IFERROR(VLOOKUP(I41,MENU!B$4:I$90,$U$9,FALSE),"")</f>
        <v>612-3144-1</v>
      </c>
      <c r="M41" s="234">
        <f>+IFERROR(VLOOKUP($I41,MENU!$B$4:$Y$100,14,FALSE),0)</f>
        <v>-50</v>
      </c>
      <c r="N41" s="234">
        <f>+IFERROR(VLOOKUP($I41,MENU!$B$4:$Y$100,15,FALSE),0)</f>
        <v>0</v>
      </c>
      <c r="O41" s="234">
        <f>+IFERROR(VLOOKUP($I41,MENU!$B$4:$Y$100,16,FALSE),0)*G41</f>
        <v>0</v>
      </c>
      <c r="P41" s="234">
        <f>+IFERROR(VLOOKUP($I41,MENU!$B$4:$Y$100,17,FALSE),0)</f>
        <v>0</v>
      </c>
      <c r="Q41" s="234">
        <f>+IFERROR(VLOOKUP($I41,MENU!$B$4:$Y$100,18,FALSE),0)</f>
        <v>0</v>
      </c>
      <c r="R41" s="142">
        <f>+IFERROR(VLOOKUP($I41,MENU!$B$4:$Y$100,21,FALSE),0)</f>
        <v>2160</v>
      </c>
      <c r="S41" s="21">
        <f t="shared" ref="S41" si="1">IFERROR(G41*R41,0)</f>
        <v>2160</v>
      </c>
    </row>
    <row r="42" spans="1:27" hidden="1" x14ac:dyDescent="0.25">
      <c r="A42" s="136">
        <f>+B42*C42</f>
        <v>0</v>
      </c>
      <c r="B42" s="136">
        <f>IF('WORKCELL CONFIGURATOR'!H33="",0,1)</f>
        <v>1</v>
      </c>
      <c r="C42" s="136">
        <f>IF('WORKCELL CONFIGURATOR'!H33="N",0,1)</f>
        <v>0</v>
      </c>
      <c r="G42" s="208">
        <f>+A42</f>
        <v>0</v>
      </c>
      <c r="H42" s="11" t="s">
        <v>619</v>
      </c>
      <c r="I42" s="294" t="str">
        <f>+'WORKCELL CONFIGURATOR'!G33</f>
        <v>Barcode - Mounted on Conveyor Inlet with P Select</v>
      </c>
      <c r="J42" s="294"/>
      <c r="K42" s="3"/>
      <c r="L42" s="10" t="str">
        <f>+IFERROR(VLOOKUP(I42,MENU!B$4:I$90,$U$9,FALSE),"")</f>
        <v>612-1001-7</v>
      </c>
      <c r="M42" s="234">
        <f>+IFERROR(VLOOKUP($I42,MENU!$B$4:$Y$100,14,FALSE),0)</f>
        <v>0</v>
      </c>
      <c r="N42" s="234">
        <f>+IFERROR(VLOOKUP($I42,MENU!$B$4:$Y$100,15,FALSE),0)</f>
        <v>0</v>
      </c>
      <c r="O42" s="234">
        <f>+IFERROR(VLOOKUP($I42,MENU!$B$4:$Y$100,16,FALSE),0)*G42</f>
        <v>0</v>
      </c>
      <c r="P42" s="234">
        <f>+IFERROR(VLOOKUP($I42,MENU!$B$4:$Y$100,17,FALSE),0)</f>
        <v>0</v>
      </c>
      <c r="Q42" s="234">
        <f>+IFERROR(VLOOKUP($I42,MENU!$B$4:$Y$100,18,FALSE),0)</f>
        <v>0</v>
      </c>
      <c r="R42" s="142">
        <f>+IFERROR(VLOOKUP($I42,MENU!$B$4:$Y$100,21,FALSE),0)</f>
        <v>4330</v>
      </c>
      <c r="S42" s="21">
        <f t="shared" si="0"/>
        <v>0</v>
      </c>
    </row>
    <row r="43" spans="1:27" hidden="1" x14ac:dyDescent="0.25">
      <c r="A43" s="136">
        <v>0</v>
      </c>
      <c r="B43" s="136"/>
      <c r="C43" s="136"/>
      <c r="G43" s="208"/>
      <c r="H43" s="11"/>
      <c r="I43" s="294"/>
      <c r="J43" s="294"/>
      <c r="K43" s="3"/>
      <c r="L43" s="10" t="str">
        <f>+IFERROR(VLOOKUP(I43,MENU!B$4:I$90,$U$9,FALSE),"")</f>
        <v/>
      </c>
      <c r="M43" s="234">
        <f>+IFERROR(VLOOKUP($I43,MENU!$B$4:$Y$100,14,FALSE),0)</f>
        <v>0</v>
      </c>
      <c r="N43" s="234">
        <f>+IFERROR(VLOOKUP($I43,MENU!$B$4:$Y$100,15,FALSE),0)</f>
        <v>0</v>
      </c>
      <c r="O43" s="234">
        <f>+IFERROR(VLOOKUP($I43,MENU!$B$4:$Y$100,16,FALSE),0)*G43</f>
        <v>0</v>
      </c>
      <c r="P43" s="234">
        <f>+IFERROR(VLOOKUP($I43,MENU!$B$4:$Y$100,17,FALSE),0)</f>
        <v>0</v>
      </c>
      <c r="Q43" s="234">
        <f>+IFERROR(VLOOKUP($I43,MENU!$B$4:$Y$100,18,FALSE),0)</f>
        <v>0</v>
      </c>
      <c r="R43" s="142">
        <f>+IFERROR(VLOOKUP($I43,MENU!$B$4:$Y$100,21,FALSE),0)</f>
        <v>0</v>
      </c>
      <c r="S43" s="21">
        <f t="shared" si="0"/>
        <v>0</v>
      </c>
    </row>
    <row r="44" spans="1:27" x14ac:dyDescent="0.25">
      <c r="A44" s="136">
        <f>+B44*C44</f>
        <v>1</v>
      </c>
      <c r="B44" s="136">
        <f>IF('WORKCELL CONFIGURATOR'!H35="",0,1)</f>
        <v>1</v>
      </c>
      <c r="C44" s="136">
        <f>IF('WORKCELL CONFIGURATOR'!H35="N",0,1)</f>
        <v>1</v>
      </c>
      <c r="G44" s="136">
        <f>+A44</f>
        <v>1</v>
      </c>
      <c r="H44" s="11" t="str">
        <f>+'WORKCELL CONFIGURATOR'!G35</f>
        <v>Camera</v>
      </c>
      <c r="I44" s="294" t="str">
        <f>+'WORKCELL CONFIGURATOR'!H35</f>
        <v>Fiducial Camera</v>
      </c>
      <c r="J44" s="294"/>
      <c r="K44" s="3"/>
      <c r="L44" s="10" t="str">
        <f>+IFERROR(VLOOKUP(I44,MENU!B$4:I$90,$U$9,FALSE),"")</f>
        <v>612-2271-1</v>
      </c>
      <c r="M44" s="234">
        <f>+IFERROR(VLOOKUP($I44,MENU!$B$4:$Y$100,14,FALSE),0)</f>
        <v>0</v>
      </c>
      <c r="N44" s="234">
        <f>+IFERROR(VLOOKUP($I44,MENU!$B$4:$Y$100,15,FALSE),0)</f>
        <v>-85</v>
      </c>
      <c r="O44" s="234">
        <f>+IFERROR(VLOOKUP($I44,MENU!$B$4:$Y$100,16,FALSE),0)*G44</f>
        <v>0</v>
      </c>
      <c r="P44" s="234">
        <f>+IFERROR(VLOOKUP($I44,MENU!$B$4:$Y$100,17,FALSE),0)</f>
        <v>0</v>
      </c>
      <c r="Q44" s="234">
        <f>+IFERROR(VLOOKUP($I44,MENU!$B$4:$Y$100,18,FALSE),0)</f>
        <v>0</v>
      </c>
      <c r="R44" s="142">
        <f>+IFERROR(VLOOKUP($I44,MENU!$B$4:$Y$100,21,FALSE),0)</f>
        <v>7110</v>
      </c>
      <c r="S44" s="21">
        <f t="shared" si="0"/>
        <v>7110</v>
      </c>
    </row>
    <row r="45" spans="1:27" hidden="1" x14ac:dyDescent="0.25">
      <c r="A45" s="136">
        <v>0</v>
      </c>
      <c r="B45" s="136"/>
      <c r="C45" s="136"/>
      <c r="G45" s="136"/>
      <c r="H45" s="11"/>
      <c r="I45" s="294"/>
      <c r="J45" s="294"/>
      <c r="K45" s="3"/>
      <c r="L45" s="10" t="str">
        <f>+IFERROR(VLOOKUP(I45,MENU!B$4:I$90,$U$9,FALSE),"")</f>
        <v/>
      </c>
      <c r="M45" s="234">
        <f>+IFERROR(VLOOKUP($I45,MENU!$B$4:$Y$100,14,FALSE),0)</f>
        <v>0</v>
      </c>
      <c r="N45" s="234">
        <f>+IFERROR(VLOOKUP($I45,MENU!$B$4:$Y$100,15,FALSE),0)</f>
        <v>0</v>
      </c>
      <c r="O45" s="234">
        <f>+IFERROR(VLOOKUP($I45,MENU!$B$4:$Y$100,16,FALSE),0)*G45</f>
        <v>0</v>
      </c>
      <c r="P45" s="234">
        <f>+IFERROR(VLOOKUP($I45,MENU!$B$4:$Y$100,17,FALSE),0)</f>
        <v>0</v>
      </c>
      <c r="Q45" s="234">
        <f>+IFERROR(VLOOKUP($I45,MENU!$B$4:$Y$100,18,FALSE),0)</f>
        <v>0</v>
      </c>
      <c r="R45" s="142">
        <f>+IFERROR(VLOOKUP($I45,MENU!$B$4:$Y$100,21,FALSE),0)</f>
        <v>0</v>
      </c>
      <c r="S45" s="21">
        <f t="shared" si="0"/>
        <v>0</v>
      </c>
    </row>
    <row r="46" spans="1:27" hidden="1" x14ac:dyDescent="0.25">
      <c r="A46" s="136">
        <f>+B46*C46</f>
        <v>0</v>
      </c>
      <c r="B46" s="136">
        <f>IF('WORKCELL CONFIGURATOR'!H37="",0,1)</f>
        <v>1</v>
      </c>
      <c r="C46" s="136">
        <f>IF('WORKCELL CONFIGURATOR'!H37="N",0,1)</f>
        <v>0</v>
      </c>
      <c r="G46" s="136">
        <f>+A46</f>
        <v>0</v>
      </c>
      <c r="H46" s="11" t="str">
        <f>+'WORKCELL CONFIGURATOR'!G37</f>
        <v>Fan Width Sensor</v>
      </c>
      <c r="I46" s="294" t="str">
        <f>+H46</f>
        <v>Fan Width Sensor</v>
      </c>
      <c r="J46" s="294"/>
      <c r="K46" s="131"/>
      <c r="L46" s="10" t="str">
        <f>+IFERROR(VLOOKUP(I46,MENU!B$4:I$90,$U$9,FALSE),"")</f>
        <v>612-2389-1</v>
      </c>
      <c r="M46" s="234">
        <f>+IFERROR(VLOOKUP($I46,MENU!$B$4:$Y$100,14,FALSE),0)</f>
        <v>0</v>
      </c>
      <c r="N46" s="234">
        <f>+IFERROR(VLOOKUP($I46,MENU!$B$4:$Y$100,15,FALSE),0)</f>
        <v>0</v>
      </c>
      <c r="O46" s="234">
        <f>+IFERROR(VLOOKUP($I46,MENU!$B$4:$Y$100,16,FALSE),0)*G46</f>
        <v>0</v>
      </c>
      <c r="P46" s="234">
        <f>+IFERROR(VLOOKUP($I46,MENU!$B$4:$Y$100,17,FALSE),0)</f>
        <v>0</v>
      </c>
      <c r="Q46" s="234">
        <f>+IFERROR(VLOOKUP($I46,MENU!$B$4:$Y$100,18,FALSE),0)</f>
        <v>0</v>
      </c>
      <c r="R46" s="142">
        <f>+IFERROR(VLOOKUP($I46,MENU!$B$4:$Y$100,21,FALSE),0)</f>
        <v>8240</v>
      </c>
      <c r="S46" s="21">
        <f t="shared" si="0"/>
        <v>0</v>
      </c>
      <c r="X46" s="7"/>
      <c r="Y46" s="7"/>
      <c r="Z46" s="7"/>
      <c r="AA46" s="7"/>
    </row>
    <row r="47" spans="1:27" hidden="1" x14ac:dyDescent="0.25">
      <c r="A47" s="215">
        <f>+B47*C47</f>
        <v>0</v>
      </c>
      <c r="B47" s="215">
        <f>IF('WORKCELL CONFIGURATOR'!H38="",0,1)</f>
        <v>0</v>
      </c>
      <c r="C47" s="215">
        <f>IF('WORKCELL CONFIGURATOR'!H38="N",0,1)</f>
        <v>1</v>
      </c>
      <c r="G47" s="215">
        <f>+A47</f>
        <v>0</v>
      </c>
      <c r="H47" s="11" t="str">
        <f>+'WORKCELL CONFIGURATOR'!G38</f>
        <v>Fan Width Sensor with Continuous Film Calibration</v>
      </c>
      <c r="I47" s="294" t="str">
        <f>+H47</f>
        <v>Fan Width Sensor with Continuous Film Calibration</v>
      </c>
      <c r="J47" s="294"/>
      <c r="K47" s="226"/>
      <c r="L47" s="10" t="str">
        <f>+IFERROR(VLOOKUP(I47,MENU!B$4:I$90,$U$9,FALSE),"")</f>
        <v>612-2389-2</v>
      </c>
      <c r="M47" s="234">
        <f>+IFERROR(VLOOKUP($I47,MENU!$B$4:$Y$100,14,FALSE),0)</f>
        <v>0</v>
      </c>
      <c r="N47" s="234">
        <f>+IFERROR(VLOOKUP($I47,MENU!$B$4:$Y$100,15,FALSE),0)</f>
        <v>0</v>
      </c>
      <c r="O47" s="234">
        <f>+IFERROR(VLOOKUP($I47,MENU!$B$4:$Y$100,16,FALSE),0)*G47</f>
        <v>0</v>
      </c>
      <c r="P47" s="234">
        <f>+IFERROR(VLOOKUP($I47,MENU!$B$4:$Y$100,17,FALSE),0)</f>
        <v>0</v>
      </c>
      <c r="Q47" s="234">
        <f>+IFERROR(VLOOKUP($I47,MENU!$B$4:$Y$100,18,FALSE),0)</f>
        <v>0</v>
      </c>
      <c r="R47" s="142">
        <f>+IFERROR(VLOOKUP($I47,MENU!$B$4:$Y$100,21,FALSE),0)</f>
        <v>5510</v>
      </c>
      <c r="S47" s="21">
        <f t="shared" ref="S47" si="2">IFERROR(G47*R47,0)</f>
        <v>0</v>
      </c>
      <c r="X47" s="7"/>
      <c r="Y47" s="7"/>
      <c r="Z47" s="7"/>
      <c r="AA47" s="7"/>
    </row>
    <row r="48" spans="1:27" hidden="1" x14ac:dyDescent="0.25">
      <c r="A48" s="136">
        <f>+B48*C48</f>
        <v>0</v>
      </c>
      <c r="B48" s="136">
        <f>IF('WORKCELL CONFIGURATOR'!H39="",0,1)</f>
        <v>1</v>
      </c>
      <c r="C48" s="136">
        <f>IF('WORKCELL CONFIGURATOR'!H39="N",0,1)</f>
        <v>0</v>
      </c>
      <c r="G48" s="136">
        <f>+A48</f>
        <v>0</v>
      </c>
      <c r="H48" s="11" t="str">
        <f>+'WORKCELL CONFIGURATOR'!G39</f>
        <v>Needle Calibration, 3 axis</v>
      </c>
      <c r="I48" s="294" t="str">
        <f t="shared" ref="I48:I49" si="3">+H48</f>
        <v>Needle Calibration, 3 axis</v>
      </c>
      <c r="J48" s="294"/>
      <c r="K48" s="131"/>
      <c r="L48" s="10" t="str">
        <f>+IFERROR(VLOOKUP(I48,MENU!B$4:I$90,$U$9,FALSE),"")</f>
        <v>112-4922</v>
      </c>
      <c r="M48" s="234">
        <f>+IFERROR(VLOOKUP($I48,MENU!$B$4:$Y$100,14,FALSE),0)</f>
        <v>0</v>
      </c>
      <c r="N48" s="234">
        <f>+IFERROR(VLOOKUP($I48,MENU!$B$4:$Y$100,15,FALSE),0)</f>
        <v>0</v>
      </c>
      <c r="O48" s="234">
        <f>+IFERROR(VLOOKUP($I48,MENU!$B$4:$Y$100,16,FALSE),0)*G48</f>
        <v>0</v>
      </c>
      <c r="P48" s="234">
        <f>+IFERROR(VLOOKUP($I48,MENU!$B$4:$Y$100,17,FALSE),0)</f>
        <v>0</v>
      </c>
      <c r="Q48" s="234">
        <f>+IFERROR(VLOOKUP($I48,MENU!$B$4:$Y$100,18,FALSE),0)</f>
        <v>0</v>
      </c>
      <c r="R48" s="142">
        <f>+IFERROR(VLOOKUP($I48,MENU!$B$4:$Y$100,21,FALSE),0)</f>
        <v>5250</v>
      </c>
      <c r="S48" s="21">
        <f t="shared" si="0"/>
        <v>0</v>
      </c>
      <c r="X48" s="7"/>
      <c r="Y48" s="7"/>
      <c r="Z48" s="7"/>
      <c r="AA48" s="7"/>
    </row>
    <row r="49" spans="1:27" x14ac:dyDescent="0.25">
      <c r="A49" s="136">
        <f>+B49*C49</f>
        <v>1</v>
      </c>
      <c r="B49" s="136">
        <f>IF('WORKCELL CONFIGURATOR'!H40="",0,1)</f>
        <v>1</v>
      </c>
      <c r="C49" s="136">
        <f>IF('WORKCELL CONFIGURATOR'!H40="N",0,1)</f>
        <v>1</v>
      </c>
      <c r="G49" s="136">
        <f>+A49</f>
        <v>1</v>
      </c>
      <c r="H49" s="151" t="str">
        <f>+'WORKCELL CONFIGURATOR'!G40</f>
        <v>Black Light</v>
      </c>
      <c r="I49" s="311" t="str">
        <f t="shared" si="3"/>
        <v>Black Light</v>
      </c>
      <c r="J49" s="311"/>
      <c r="K49" s="134"/>
      <c r="L49" s="29" t="str">
        <f>+IFERROR(VLOOKUP(I49,MENU!B$4:I$90,$U$9,FALSE),"")</f>
        <v>622-0252-1</v>
      </c>
      <c r="M49" s="234">
        <f>+IFERROR(VLOOKUP($I49,MENU!$B$4:$Y$100,14,FALSE),0)</f>
        <v>0</v>
      </c>
      <c r="N49" s="234">
        <f>+IFERROR(VLOOKUP($I49,MENU!$B$4:$Y$100,15,FALSE),0)</f>
        <v>0</v>
      </c>
      <c r="O49" s="234">
        <f>+IFERROR(VLOOKUP($I49,MENU!$B$4:$Y$100,16,FALSE),0)*G49</f>
        <v>0</v>
      </c>
      <c r="P49" s="234">
        <f>+IFERROR(VLOOKUP($I49,MENU!$B$4:$Y$100,17,FALSE),0)</f>
        <v>0</v>
      </c>
      <c r="Q49" s="234">
        <f>+IFERROR(VLOOKUP($I49,MENU!$B$4:$Y$100,18,FALSE),0)</f>
        <v>0</v>
      </c>
      <c r="R49" s="142">
        <f>+IFERROR(VLOOKUP($I49,MENU!$B$4:$Y$100,21,FALSE),0)</f>
        <v>570</v>
      </c>
      <c r="S49" s="21">
        <f t="shared" si="0"/>
        <v>570</v>
      </c>
      <c r="X49" s="7"/>
      <c r="Y49" s="7"/>
      <c r="Z49" s="7"/>
      <c r="AA49" s="7"/>
    </row>
    <row r="50" spans="1:27" ht="15.75" hidden="1" thickBot="1" x14ac:dyDescent="0.3">
      <c r="A50" s="113">
        <f>IF('WORKCELL CONFIGURATOR'!H$42="Y",1,0)</f>
        <v>0</v>
      </c>
      <c r="G50" s="148"/>
      <c r="H50" s="149"/>
      <c r="I50" s="297"/>
      <c r="J50" s="297"/>
      <c r="K50" s="146"/>
      <c r="L50" s="147"/>
      <c r="N50" s="143"/>
      <c r="O50" s="10"/>
      <c r="P50" s="234"/>
      <c r="Q50" s="136"/>
      <c r="R50" s="142"/>
      <c r="S50" s="21"/>
      <c r="X50" s="7"/>
      <c r="Y50" s="7"/>
      <c r="Z50" s="7"/>
      <c r="AA50" s="7"/>
    </row>
    <row r="51" spans="1:27" ht="21.75" hidden="1" thickBot="1" x14ac:dyDescent="0.4">
      <c r="A51" s="113">
        <f>IF('WORKCELL CONFIGURATOR'!H$42="Y",1,0)</f>
        <v>0</v>
      </c>
      <c r="G51" s="153" t="s">
        <v>466</v>
      </c>
      <c r="H51" s="150"/>
      <c r="I51" s="298"/>
      <c r="J51" s="298"/>
      <c r="K51" s="144"/>
      <c r="L51" s="145" t="str">
        <f>+IFERROR(VLOOKUP(I51,MENU!B$4:I$90,$U$9,FALSE),"")</f>
        <v/>
      </c>
      <c r="N51" s="143"/>
      <c r="O51" s="10"/>
      <c r="P51" s="10"/>
      <c r="Q51" s="136"/>
      <c r="R51" s="142"/>
      <c r="S51" s="21"/>
      <c r="X51" s="7"/>
      <c r="Y51" s="7"/>
      <c r="Z51" s="7"/>
      <c r="AA51" s="7"/>
    </row>
    <row r="52" spans="1:27" hidden="1" x14ac:dyDescent="0.25">
      <c r="A52" s="136">
        <f>IF('WORKCELL CONFIGURATOR'!H$42="Y",1,0)</f>
        <v>0</v>
      </c>
      <c r="G52" s="122">
        <f>IF('WORKCELL CONFIGURATOR'!H$42="Y",1,0)</f>
        <v>0</v>
      </c>
      <c r="H52" s="11" t="str">
        <f>+'WORKCELL CONFIGURATOR'!G42</f>
        <v>Spare Parts</v>
      </c>
      <c r="I52" s="294" t="s">
        <v>485</v>
      </c>
      <c r="J52" s="294"/>
      <c r="K52" s="131"/>
      <c r="L52" s="10" t="str">
        <f>+IFERROR(VLOOKUP('WORKCELL CONFIGURATOR'!H4,MENU!B4:K5,10,FALSE),"")</f>
        <v>612-1957-1</v>
      </c>
      <c r="M52" s="143"/>
      <c r="N52" s="143"/>
      <c r="O52" s="10"/>
      <c r="P52" s="10"/>
      <c r="Q52" s="136"/>
      <c r="R52" s="142">
        <f>+MENU!V90</f>
        <v>3190</v>
      </c>
      <c r="S52" s="21">
        <f t="shared" si="0"/>
        <v>0</v>
      </c>
      <c r="X52" s="7"/>
      <c r="Y52" s="7"/>
      <c r="Z52" s="7"/>
      <c r="AA52" s="7"/>
    </row>
    <row r="53" spans="1:27" hidden="1" x14ac:dyDescent="0.25">
      <c r="A53" s="230">
        <f t="shared" ref="A53:A59" si="4">+B53*C53*D53</f>
        <v>0</v>
      </c>
      <c r="B53" s="136">
        <f>IF('WORKCELL CONFIGURATOR'!H$42="Y",1,0)</f>
        <v>0</v>
      </c>
      <c r="C53">
        <f>IF('WORKCELL CONFIGURATOR'!H8="",0,1)</f>
        <v>1</v>
      </c>
      <c r="D53">
        <f>IF('WORKCELL CONFIGURATOR'!H8="N",0,1)</f>
        <v>1</v>
      </c>
      <c r="G53" s="136">
        <f t="shared" ref="G53:G59" si="5">+A53</f>
        <v>0</v>
      </c>
      <c r="H53" s="11" t="str">
        <f>+'WORKCELL CONFIGURATOR'!G8</f>
        <v>Material Reservoir - 1</v>
      </c>
      <c r="I53" s="294" t="str">
        <f>+'WORKCELL CONFIGURATOR'!H8</f>
        <v>2 Gallon Top Ported Tank with Scale</v>
      </c>
      <c r="J53" s="294"/>
      <c r="K53" s="131"/>
      <c r="L53" s="10" t="str">
        <f>+IFERROR(VLOOKUP(I53,MENU!B$4:K$90,10,FALSE),"")</f>
        <v>612-2208-1</v>
      </c>
      <c r="M53" s="143"/>
      <c r="N53" s="143"/>
      <c r="O53" s="10"/>
      <c r="P53" s="10"/>
      <c r="Q53" s="136"/>
      <c r="R53" s="142"/>
      <c r="S53" s="21"/>
      <c r="X53" s="7"/>
      <c r="Y53" s="7"/>
      <c r="Z53" s="7"/>
      <c r="AA53" s="7"/>
    </row>
    <row r="54" spans="1:27" hidden="1" x14ac:dyDescent="0.25">
      <c r="A54" s="230">
        <f t="shared" si="4"/>
        <v>0</v>
      </c>
      <c r="B54" s="136">
        <f>IF('WORKCELL CONFIGURATOR'!H$42="Y",1,0)</f>
        <v>0</v>
      </c>
      <c r="C54">
        <f>IF('WORKCELL CONFIGURATOR'!H13="",0,1)</f>
        <v>1</v>
      </c>
      <c r="D54">
        <f>IF('WORKCELL CONFIGURATOR'!H13="N",0,1)</f>
        <v>1</v>
      </c>
      <c r="G54" s="136">
        <f t="shared" si="5"/>
        <v>0</v>
      </c>
      <c r="H54" s="11" t="str">
        <f>+'WORKCELL CONFIGURATOR'!G13</f>
        <v>Material Reservoir - 2</v>
      </c>
      <c r="I54" s="294" t="str">
        <f>+'WORKCELL CONFIGURATOR'!H13</f>
        <v>2 Gallon Top Ported Tank with Float</v>
      </c>
      <c r="J54" s="294"/>
      <c r="K54" s="131"/>
      <c r="L54" s="10" t="str">
        <f>+IFERROR(VLOOKUP(I54,MENU!B$4:K$90,10,FALSE),"")</f>
        <v>612-2207-1</v>
      </c>
      <c r="M54" s="143"/>
      <c r="N54" s="143"/>
      <c r="O54" s="10"/>
      <c r="P54" s="10"/>
      <c r="Q54" s="136"/>
      <c r="R54" s="142"/>
      <c r="S54" s="21"/>
      <c r="X54" s="7"/>
      <c r="Y54" s="7"/>
      <c r="Z54" s="7"/>
      <c r="AA54" s="7"/>
    </row>
    <row r="55" spans="1:27" hidden="1" x14ac:dyDescent="0.25">
      <c r="A55" s="230">
        <f t="shared" si="4"/>
        <v>0</v>
      </c>
      <c r="B55" s="136">
        <f>IF('WORKCELL CONFIGURATOR'!H$42="Y",1,0)</f>
        <v>0</v>
      </c>
      <c r="C55">
        <f>IF('WORKCELL CONFIGURATOR'!H10="",0,1)</f>
        <v>1</v>
      </c>
      <c r="D55">
        <f>IF('WORKCELL CONFIGURATOR'!H10="N",0,1)</f>
        <v>0</v>
      </c>
      <c r="G55" s="136">
        <f t="shared" si="5"/>
        <v>0</v>
      </c>
      <c r="H55" s="11" t="str">
        <f>+'WORKCELL CONFIGURATOR'!G10</f>
        <v>Solvent Flush - 1</v>
      </c>
      <c r="I55" s="294" t="str">
        <f>+'WORKCELL CONFIGURATOR'!H10</f>
        <v>N</v>
      </c>
      <c r="J55" s="294"/>
      <c r="K55" s="131"/>
      <c r="L55" s="10">
        <f>+IFERROR(VLOOKUP(I55,MENU!B$4:K$90,10,FALSE),"")</f>
        <v>0</v>
      </c>
      <c r="M55" s="143"/>
      <c r="N55" s="143"/>
      <c r="O55" s="10"/>
      <c r="P55" s="10"/>
      <c r="Q55" s="136"/>
      <c r="R55" s="142"/>
      <c r="S55" s="21"/>
    </row>
    <row r="56" spans="1:27" hidden="1" x14ac:dyDescent="0.25">
      <c r="A56" s="230">
        <f t="shared" si="4"/>
        <v>0</v>
      </c>
      <c r="B56" s="136">
        <f>IF('WORKCELL CONFIGURATOR'!H$42="Y",1,0)</f>
        <v>0</v>
      </c>
      <c r="C56">
        <f>IF('WORKCELL CONFIGURATOR'!H21="",0,1)</f>
        <v>1</v>
      </c>
      <c r="D56">
        <f>IF('WORKCELL CONFIGURATOR'!H21="N",0,1)</f>
        <v>1</v>
      </c>
      <c r="G56" s="136">
        <f t="shared" si="5"/>
        <v>0</v>
      </c>
      <c r="H56" s="11" t="str">
        <f>+'WORKCELL CONFIGURATOR'!G21</f>
        <v>Station 1</v>
      </c>
      <c r="I56" s="294" t="str">
        <f>+'WORKCELL CONFIGURATOR'!H21</f>
        <v>FCS300-ES</v>
      </c>
      <c r="J56" s="294"/>
      <c r="K56" s="131"/>
      <c r="L56" s="10" t="str">
        <f>+IFERROR(VLOOKUP(I56,MENU!B$4:K$90,10,FALSE),"")</f>
        <v>612-1962-1</v>
      </c>
      <c r="M56" s="143"/>
      <c r="N56" s="143"/>
      <c r="O56" s="10"/>
      <c r="P56" s="10"/>
      <c r="Q56" s="136"/>
      <c r="R56" s="142"/>
      <c r="S56" s="21"/>
    </row>
    <row r="57" spans="1:27" hidden="1" x14ac:dyDescent="0.25">
      <c r="A57" s="230">
        <f t="shared" si="4"/>
        <v>0</v>
      </c>
      <c r="B57" s="136">
        <f>IF('WORKCELL CONFIGURATOR'!H$42="Y",1,0)</f>
        <v>0</v>
      </c>
      <c r="C57">
        <f>IF('WORKCELL CONFIGURATOR'!H23="",0,1)</f>
        <v>1</v>
      </c>
      <c r="D57">
        <f>IF('WORKCELL CONFIGURATOR'!H23="N",0,1)</f>
        <v>1</v>
      </c>
      <c r="G57" s="136">
        <f t="shared" si="5"/>
        <v>0</v>
      </c>
      <c r="H57" s="11" t="str">
        <f>+'WORKCELL CONFIGURATOR'!G23</f>
        <v>Station 2</v>
      </c>
      <c r="I57" s="294" t="str">
        <f>+'WORKCELL CONFIGURATOR'!H23</f>
        <v>FC100-MC</v>
      </c>
      <c r="J57" s="294"/>
      <c r="K57" s="131"/>
      <c r="L57" s="10" t="str">
        <f>+IFERROR(VLOOKUP(I57,MENU!B$4:K$90,10,FALSE),"")</f>
        <v>612-1966-1</v>
      </c>
      <c r="M57" s="143"/>
      <c r="N57" s="143"/>
      <c r="O57" s="10"/>
      <c r="P57" s="10"/>
      <c r="Q57" s="136"/>
      <c r="R57" s="142"/>
      <c r="S57" s="21"/>
    </row>
    <row r="58" spans="1:27" hidden="1" x14ac:dyDescent="0.25">
      <c r="A58" s="230">
        <f t="shared" si="4"/>
        <v>0</v>
      </c>
      <c r="B58" s="136">
        <f>IF('WORKCELL CONFIGURATOR'!H$42="Y",1,0)</f>
        <v>0</v>
      </c>
      <c r="C58">
        <f>IF('WORKCELL CONFIGURATOR'!H25="",0,1)</f>
        <v>1</v>
      </c>
      <c r="D58">
        <f>IF('WORKCELL CONFIGURATOR'!H25="N",0,1)</f>
        <v>1</v>
      </c>
      <c r="G58" s="136">
        <f t="shared" si="5"/>
        <v>0</v>
      </c>
      <c r="H58" s="11" t="str">
        <f>+'WORKCELL CONFIGURATOR'!G25</f>
        <v>Station 3</v>
      </c>
      <c r="I58" s="294" t="str">
        <f>+'WORKCELL CONFIGURATOR'!H25</f>
        <v>FCM100</v>
      </c>
      <c r="J58" s="294"/>
      <c r="K58" s="131"/>
      <c r="L58" s="10" t="str">
        <f>+IFERROR(VLOOKUP(I58,MENU!B$4:K$90,10,FALSE),"")</f>
        <v>612-1965-1</v>
      </c>
      <c r="M58" s="143"/>
      <c r="N58" s="143"/>
      <c r="O58" s="10"/>
      <c r="P58" s="10"/>
      <c r="Q58" s="136"/>
      <c r="R58" s="142"/>
      <c r="S58" s="21"/>
    </row>
    <row r="59" spans="1:27" hidden="1" x14ac:dyDescent="0.25">
      <c r="A59" s="230">
        <f t="shared" si="4"/>
        <v>0</v>
      </c>
      <c r="B59" s="136">
        <f>IF('WORKCELL CONFIGURATOR'!H$42="Y",1,0)</f>
        <v>0</v>
      </c>
      <c r="C59">
        <f>IF('WORKCELL CONFIGURATOR'!H27="",0,1)</f>
        <v>0</v>
      </c>
      <c r="D59">
        <f>IF('WORKCELL CONFIGURATOR'!H27="N",0,1)</f>
        <v>1</v>
      </c>
      <c r="G59" s="136">
        <f t="shared" si="5"/>
        <v>0</v>
      </c>
      <c r="H59" s="11" t="str">
        <f>+'WORKCELL CONFIGURATOR'!G27</f>
        <v>Station 4</v>
      </c>
      <c r="I59" s="294">
        <f>+'WORKCELL CONFIGURATOR'!H27</f>
        <v>0</v>
      </c>
      <c r="J59" s="294"/>
      <c r="K59" s="131"/>
      <c r="L59" s="10" t="str">
        <f>+IFERROR(VLOOKUP(I59,MENU!B$4:K$90,10,FALSE),"")</f>
        <v/>
      </c>
      <c r="M59" s="143"/>
      <c r="N59" s="143"/>
      <c r="O59" s="10"/>
      <c r="P59" s="10"/>
      <c r="Q59" s="136"/>
      <c r="R59" s="142"/>
      <c r="S59" s="21"/>
    </row>
    <row r="60" spans="1:27" ht="15.75" hidden="1" thickBot="1" x14ac:dyDescent="0.3">
      <c r="A60" s="38">
        <f>IF(MAX($G$62:$G$66)&gt;0,1,0)</f>
        <v>0</v>
      </c>
      <c r="G60" s="148"/>
      <c r="H60" s="149"/>
      <c r="I60" s="297"/>
      <c r="J60" s="297"/>
      <c r="K60" s="146"/>
      <c r="L60" s="147"/>
      <c r="N60" s="143"/>
      <c r="O60" s="10"/>
      <c r="P60" s="10"/>
      <c r="Q60" s="187"/>
      <c r="R60" s="142"/>
      <c r="S60" s="21"/>
    </row>
    <row r="61" spans="1:27" ht="21.75" hidden="1" thickBot="1" x14ac:dyDescent="0.4">
      <c r="A61" s="38">
        <f>IF(MAX($G$62:$G$66)&gt;0,1,0)</f>
        <v>0</v>
      </c>
      <c r="G61" s="153" t="s">
        <v>526</v>
      </c>
      <c r="H61" s="150"/>
      <c r="I61" s="298"/>
      <c r="J61" s="298"/>
      <c r="K61" s="144"/>
      <c r="L61" s="145" t="str">
        <f>+IFERROR(VLOOKUP(I61,MENU!B$4:I$90,$U$9,FALSE),"")</f>
        <v/>
      </c>
      <c r="M61" s="187"/>
      <c r="N61" s="143"/>
      <c r="O61" s="10"/>
      <c r="P61" s="10"/>
      <c r="Q61" s="187"/>
      <c r="R61" s="142"/>
      <c r="S61" s="21"/>
    </row>
    <row r="62" spans="1:27" hidden="1" x14ac:dyDescent="0.25">
      <c r="A62" s="37">
        <f>+G62</f>
        <v>0</v>
      </c>
      <c r="G62" s="38">
        <f>IF('WORKCELL CONFIGURATOR'!$H$43="Y",1,0)</f>
        <v>0</v>
      </c>
      <c r="H62" s="11" t="str">
        <f>+MENU!B91</f>
        <v>Fume Extractor</v>
      </c>
      <c r="I62" s="294"/>
      <c r="J62" s="294"/>
      <c r="K62" s="186"/>
      <c r="L62" s="24" t="str">
        <f>+MENU!G91</f>
        <v>612-2358-1</v>
      </c>
      <c r="M62" s="143"/>
      <c r="N62" s="143"/>
      <c r="O62" s="10"/>
      <c r="P62" s="10"/>
      <c r="Q62" s="187"/>
      <c r="R62" s="142">
        <f>+MENU!V91</f>
        <v>4940</v>
      </c>
      <c r="S62" s="21">
        <f>+G62*R62</f>
        <v>0</v>
      </c>
      <c r="T62" s="187"/>
    </row>
    <row r="63" spans="1:27" hidden="1" x14ac:dyDescent="0.25">
      <c r="A63" s="37">
        <f t="shared" ref="A63:A66" si="6">+G63</f>
        <v>0</v>
      </c>
      <c r="G63" s="136">
        <f>+IF(OR(I63="N",I63=0),0,1)</f>
        <v>0</v>
      </c>
      <c r="H63" s="11" t="str">
        <f>+'WORKCELL CONFIGURATOR'!G44</f>
        <v>Unmounted 1</v>
      </c>
      <c r="I63" s="294" t="str">
        <f>+'WORKCELL CONFIGURATOR'!H44</f>
        <v>N</v>
      </c>
      <c r="J63" s="294"/>
      <c r="K63" s="131"/>
      <c r="L63" s="10" t="str">
        <f>+IFERROR(VLOOKUP($I63,MENU!$B93:$I100,$U$9,FALSE),"")</f>
        <v/>
      </c>
      <c r="M63" s="143"/>
      <c r="N63" s="143"/>
      <c r="O63" s="10"/>
      <c r="P63" s="10"/>
      <c r="Q63" s="192"/>
      <c r="R63" s="142" t="str">
        <f>+IFERROR(VLOOKUP($I63,MENU!$B93:$V100,22,FALSE),"")</f>
        <v/>
      </c>
      <c r="S63" s="21">
        <f>IFERROR(G63*R63,0)</f>
        <v>0</v>
      </c>
      <c r="T63" s="192"/>
    </row>
    <row r="64" spans="1:27" hidden="1" x14ac:dyDescent="0.25">
      <c r="A64" s="37">
        <f t="shared" si="6"/>
        <v>0</v>
      </c>
      <c r="G64" s="192">
        <f t="shared" ref="G64:G66" si="7">+IF(OR(I64="N",I64=0),0,1)</f>
        <v>0</v>
      </c>
      <c r="H64" s="11" t="str">
        <f>+'WORKCELL CONFIGURATOR'!G45</f>
        <v>Unmounted 2</v>
      </c>
      <c r="I64" s="294">
        <f>+'WORKCELL CONFIGURATOR'!H45</f>
        <v>0</v>
      </c>
      <c r="J64" s="294"/>
      <c r="K64" s="131"/>
      <c r="L64" s="10" t="str">
        <f>+IFERROR(VLOOKUP($I64,MENU!$B94:$I101,$U$9,FALSE),"")</f>
        <v/>
      </c>
      <c r="M64" s="143"/>
      <c r="N64" s="143"/>
      <c r="O64" s="10"/>
      <c r="P64" s="10"/>
      <c r="Q64" s="192"/>
      <c r="R64" s="142" t="str">
        <f>+IFERROR(VLOOKUP($I64,MENU!$B94:$V101,22,FALSE),"")</f>
        <v/>
      </c>
      <c r="S64" s="21">
        <f t="shared" ref="S64:S66" si="8">IFERROR(G64*R64,0)</f>
        <v>0</v>
      </c>
      <c r="T64" s="192"/>
    </row>
    <row r="65" spans="1:20" hidden="1" x14ac:dyDescent="0.25">
      <c r="A65" s="37">
        <f t="shared" si="6"/>
        <v>0</v>
      </c>
      <c r="G65" s="192">
        <f t="shared" si="7"/>
        <v>0</v>
      </c>
      <c r="H65" s="11" t="str">
        <f>+'WORKCELL CONFIGURATOR'!G46</f>
        <v>Unmounted 3</v>
      </c>
      <c r="I65" s="294">
        <f>+'WORKCELL CONFIGURATOR'!H46</f>
        <v>0</v>
      </c>
      <c r="J65" s="294"/>
      <c r="K65" s="131"/>
      <c r="L65" s="10" t="str">
        <f>+IFERROR(VLOOKUP($I65,MENU!$B95:$I101,$U$9,FALSE),"")</f>
        <v/>
      </c>
      <c r="M65" s="143"/>
      <c r="N65" s="143"/>
      <c r="O65" s="10"/>
      <c r="P65" s="10"/>
      <c r="Q65" s="192"/>
      <c r="R65" s="142" t="str">
        <f>+IFERROR(VLOOKUP($I65,MENU!$B95:$V101,22,FALSE),"")</f>
        <v/>
      </c>
      <c r="S65" s="21">
        <f t="shared" si="8"/>
        <v>0</v>
      </c>
      <c r="T65" s="192"/>
    </row>
    <row r="66" spans="1:20" hidden="1" x14ac:dyDescent="0.25">
      <c r="A66" s="37">
        <f t="shared" si="6"/>
        <v>0</v>
      </c>
      <c r="G66" s="192">
        <f t="shared" si="7"/>
        <v>0</v>
      </c>
      <c r="H66" s="11" t="str">
        <f>+'WORKCELL CONFIGURATOR'!G47</f>
        <v>Unmounted 4</v>
      </c>
      <c r="I66" s="294">
        <f>+'WORKCELL CONFIGURATOR'!H47</f>
        <v>0</v>
      </c>
      <c r="J66" s="294"/>
      <c r="K66" s="131"/>
      <c r="L66" s="10" t="str">
        <f>+IFERROR(VLOOKUP($I66,MENU!$B96:$I101,$U$9,FALSE),"")</f>
        <v/>
      </c>
      <c r="M66" s="143"/>
      <c r="N66" s="143"/>
      <c r="O66" s="10"/>
      <c r="P66" s="10"/>
      <c r="Q66" s="192"/>
      <c r="R66" s="142" t="str">
        <f>+IFERROR(VLOOKUP($I66,MENU!$B96:$V101,22,FALSE),"")</f>
        <v/>
      </c>
      <c r="S66" s="21">
        <f t="shared" si="8"/>
        <v>0</v>
      </c>
      <c r="T66" s="192"/>
    </row>
    <row r="67" spans="1:20" x14ac:dyDescent="0.25">
      <c r="A67" s="38">
        <v>1</v>
      </c>
      <c r="G67" s="136"/>
      <c r="H67" s="11"/>
      <c r="I67" s="294"/>
      <c r="J67" s="294"/>
      <c r="K67" s="131"/>
      <c r="L67" s="10"/>
      <c r="N67" s="143"/>
      <c r="O67" s="10"/>
      <c r="P67" s="10"/>
      <c r="Q67" s="136"/>
      <c r="R67" s="142"/>
      <c r="S67" s="21"/>
    </row>
    <row r="68" spans="1:20" x14ac:dyDescent="0.25">
      <c r="G68" s="299" t="s">
        <v>333</v>
      </c>
      <c r="H68" s="299"/>
      <c r="I68" s="299"/>
      <c r="J68" s="299"/>
      <c r="K68" s="299" t="s">
        <v>218</v>
      </c>
      <c r="L68" s="299"/>
      <c r="M68" s="231">
        <f>SUM(M9:M49)</f>
        <v>297</v>
      </c>
      <c r="N68" s="231">
        <f t="shared" ref="N68:P68" si="9">SUM(N9:N49)</f>
        <v>341</v>
      </c>
      <c r="O68" s="231">
        <f t="shared" si="9"/>
        <v>172</v>
      </c>
      <c r="P68" s="231">
        <f t="shared" si="9"/>
        <v>4</v>
      </c>
      <c r="Q68" s="231">
        <f>+SUM(Q9:Q49)</f>
        <v>4</v>
      </c>
      <c r="R68" s="21"/>
      <c r="S68" s="22">
        <f>SUM(S9:S67)</f>
        <v>92660</v>
      </c>
    </row>
    <row r="69" spans="1:20" x14ac:dyDescent="0.25">
      <c r="G69" s="299"/>
      <c r="H69" s="299"/>
      <c r="I69" s="299"/>
      <c r="J69" s="299"/>
      <c r="K69" s="299"/>
      <c r="L69" s="299"/>
      <c r="R69" s="21"/>
      <c r="S69" s="21"/>
    </row>
    <row r="70" spans="1:20" x14ac:dyDescent="0.25">
      <c r="G70" s="299" t="s">
        <v>334</v>
      </c>
      <c r="H70" s="299"/>
      <c r="I70" s="299"/>
      <c r="J70" s="299"/>
      <c r="K70" s="299" t="s">
        <v>218</v>
      </c>
      <c r="L70" s="299"/>
      <c r="O70" s="232" t="s">
        <v>612</v>
      </c>
      <c r="P70" s="233">
        <f>IF(P68&gt;4,8,4)</f>
        <v>4</v>
      </c>
      <c r="R70" s="21"/>
      <c r="S70" s="21"/>
    </row>
    <row r="71" spans="1:20" x14ac:dyDescent="0.25">
      <c r="G71" s="299"/>
      <c r="H71" s="299"/>
      <c r="I71" s="299"/>
      <c r="J71" s="299"/>
      <c r="K71" s="299"/>
      <c r="L71" s="299"/>
      <c r="R71" s="21"/>
      <c r="S71" s="21"/>
    </row>
    <row r="72" spans="1:20" x14ac:dyDescent="0.25">
      <c r="G72" s="299" t="s">
        <v>332</v>
      </c>
      <c r="H72" s="299"/>
      <c r="I72" s="299"/>
      <c r="J72" s="299"/>
      <c r="K72" s="299" t="s">
        <v>218</v>
      </c>
      <c r="L72" s="299"/>
      <c r="R72" s="21"/>
      <c r="S72" s="21"/>
    </row>
    <row r="73" spans="1:20" x14ac:dyDescent="0.25">
      <c r="G73" s="299"/>
      <c r="H73" s="299"/>
      <c r="I73" s="299"/>
      <c r="J73" s="299"/>
      <c r="K73" s="299"/>
      <c r="L73" s="299"/>
      <c r="R73" s="21"/>
      <c r="S73" s="21"/>
    </row>
    <row r="74" spans="1:20" x14ac:dyDescent="0.25">
      <c r="G74" s="20"/>
      <c r="H74" s="11"/>
      <c r="I74" s="10"/>
      <c r="R74" s="21"/>
      <c r="S74" s="21"/>
    </row>
    <row r="75" spans="1:20" x14ac:dyDescent="0.25">
      <c r="G75" s="20"/>
      <c r="H75" s="11"/>
      <c r="I75" s="10"/>
      <c r="R75" s="21"/>
      <c r="S75" s="21"/>
    </row>
    <row r="76" spans="1:20" x14ac:dyDescent="0.25">
      <c r="G76" s="20"/>
      <c r="H76" s="11"/>
      <c r="I76" s="10"/>
      <c r="R76" s="21"/>
      <c r="S76" s="21"/>
    </row>
    <row r="77" spans="1:20" x14ac:dyDescent="0.25">
      <c r="G77" s="20"/>
      <c r="H77" s="11"/>
      <c r="I77" s="10"/>
      <c r="R77" s="21"/>
      <c r="S77" s="21"/>
    </row>
    <row r="78" spans="1:20" x14ac:dyDescent="0.25">
      <c r="G78" s="20"/>
      <c r="H78" s="11"/>
      <c r="I78" s="10"/>
      <c r="R78" s="21"/>
      <c r="S78" s="21"/>
    </row>
    <row r="79" spans="1:20" x14ac:dyDescent="0.25">
      <c r="G79" s="20"/>
      <c r="H79" s="11"/>
      <c r="I79" s="10"/>
      <c r="R79" s="21"/>
      <c r="S79" s="21"/>
    </row>
    <row r="80" spans="1:20" x14ac:dyDescent="0.25">
      <c r="G80" s="20"/>
      <c r="H80" s="11"/>
      <c r="I80" s="10"/>
      <c r="R80" s="21"/>
      <c r="S80" s="21"/>
    </row>
    <row r="81" spans="7:19" x14ac:dyDescent="0.25">
      <c r="G81" s="20"/>
      <c r="H81" s="11"/>
      <c r="I81" s="10"/>
      <c r="R81" s="21"/>
      <c r="S81" s="21"/>
    </row>
    <row r="82" spans="7:19" x14ac:dyDescent="0.25">
      <c r="G82" s="20"/>
      <c r="H82" s="11"/>
      <c r="I82" s="10"/>
      <c r="R82" s="21"/>
      <c r="S82" s="21"/>
    </row>
    <row r="83" spans="7:19" x14ac:dyDescent="0.25">
      <c r="G83" s="20"/>
      <c r="H83" s="11"/>
      <c r="I83" s="10"/>
      <c r="R83" s="21"/>
      <c r="S83" s="21"/>
    </row>
    <row r="84" spans="7:19" x14ac:dyDescent="0.25">
      <c r="G84" s="20"/>
      <c r="H84" s="11"/>
      <c r="I84" s="10"/>
      <c r="R84" s="21"/>
      <c r="S84" s="21"/>
    </row>
    <row r="85" spans="7:19" x14ac:dyDescent="0.25">
      <c r="G85" s="20"/>
      <c r="H85" s="11"/>
      <c r="I85" s="10"/>
      <c r="R85" s="21"/>
      <c r="S85" s="21"/>
    </row>
    <row r="86" spans="7:19" x14ac:dyDescent="0.25">
      <c r="G86" s="20"/>
      <c r="H86" s="11"/>
      <c r="I86" s="10"/>
      <c r="R86" s="21"/>
      <c r="S86" s="21"/>
    </row>
    <row r="87" spans="7:19" x14ac:dyDescent="0.25">
      <c r="G87" s="20"/>
      <c r="H87" s="11"/>
      <c r="I87" s="10"/>
      <c r="R87" s="21"/>
      <c r="S87" s="21"/>
    </row>
    <row r="88" spans="7:19" x14ac:dyDescent="0.25">
      <c r="H88" s="11"/>
      <c r="I88" s="10"/>
      <c r="R88" s="21"/>
      <c r="S88" s="21"/>
    </row>
    <row r="89" spans="7:19" x14ac:dyDescent="0.25">
      <c r="H89" s="11"/>
      <c r="I89" s="10"/>
      <c r="R89" s="21"/>
      <c r="S89" s="21"/>
    </row>
    <row r="90" spans="7:19" x14ac:dyDescent="0.25">
      <c r="H90" s="11"/>
      <c r="I90" s="10"/>
      <c r="R90" s="21"/>
      <c r="S90" s="21"/>
    </row>
    <row r="91" spans="7:19" x14ac:dyDescent="0.25">
      <c r="I91" s="10"/>
      <c r="R91" s="21"/>
      <c r="S91" s="21"/>
    </row>
    <row r="92" spans="7:19" x14ac:dyDescent="0.25">
      <c r="I92" s="10"/>
      <c r="R92" s="21"/>
      <c r="S92" s="21"/>
    </row>
    <row r="93" spans="7:19" x14ac:dyDescent="0.25">
      <c r="I93" s="10"/>
      <c r="R93" s="21"/>
      <c r="S93" s="21"/>
    </row>
    <row r="94" spans="7:19" x14ac:dyDescent="0.25">
      <c r="I94" s="10"/>
      <c r="R94" s="21"/>
      <c r="S94" s="21"/>
    </row>
    <row r="95" spans="7:19" x14ac:dyDescent="0.25">
      <c r="I95" s="10"/>
      <c r="R95" s="21"/>
      <c r="S95" s="21"/>
    </row>
    <row r="96" spans="7:19" x14ac:dyDescent="0.25">
      <c r="I96" s="10"/>
      <c r="R96" s="21"/>
      <c r="S96" s="21"/>
    </row>
    <row r="97" spans="9:19" x14ac:dyDescent="0.25">
      <c r="I97" s="10"/>
      <c r="R97" s="21"/>
      <c r="S97" s="21"/>
    </row>
    <row r="98" spans="9:19" x14ac:dyDescent="0.25">
      <c r="I98" s="10"/>
      <c r="R98" s="21"/>
      <c r="S98" s="21"/>
    </row>
    <row r="99" spans="9:19" x14ac:dyDescent="0.25">
      <c r="I99" s="10"/>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71" t="s">
        <v>210</v>
      </c>
      <c r="B1" s="372"/>
      <c r="C1" s="372"/>
      <c r="D1" s="372"/>
      <c r="E1" s="372"/>
      <c r="F1" s="372"/>
      <c r="G1" s="372"/>
      <c r="H1" s="372"/>
      <c r="I1" s="372"/>
      <c r="J1" s="372"/>
      <c r="K1" s="373"/>
      <c r="L1" s="367" t="s">
        <v>298</v>
      </c>
      <c r="M1" s="367"/>
      <c r="N1" s="367"/>
      <c r="O1" s="367"/>
      <c r="P1" s="367"/>
      <c r="Q1" s="367"/>
      <c r="R1" s="367"/>
      <c r="S1" s="367"/>
      <c r="T1" s="367"/>
      <c r="U1" s="367"/>
      <c r="V1" s="367"/>
    </row>
    <row r="2" spans="1:22" ht="15" customHeight="1" x14ac:dyDescent="0.25">
      <c r="A2" s="374"/>
      <c r="B2" s="375"/>
      <c r="C2" s="375"/>
      <c r="D2" s="375"/>
      <c r="E2" s="375"/>
      <c r="F2" s="375"/>
      <c r="G2" s="375"/>
      <c r="H2" s="375"/>
      <c r="I2" s="375"/>
      <c r="J2" s="375"/>
      <c r="K2" s="376"/>
      <c r="L2" s="367"/>
      <c r="M2" s="367"/>
      <c r="N2" s="367"/>
      <c r="O2" s="367"/>
      <c r="P2" s="367"/>
      <c r="Q2" s="367"/>
      <c r="R2" s="367"/>
      <c r="S2" s="367"/>
      <c r="T2" s="367"/>
      <c r="U2" s="367"/>
      <c r="V2" s="367"/>
    </row>
    <row r="3" spans="1:22" x14ac:dyDescent="0.25">
      <c r="A3" s="49" t="s">
        <v>212</v>
      </c>
      <c r="B3" s="360" t="str">
        <f>+'WORKCELL CONFIGURATOR'!$H$4</f>
        <v>Delta 6</v>
      </c>
      <c r="C3" s="360"/>
      <c r="D3" s="360"/>
      <c r="E3" s="360"/>
      <c r="F3" s="50" t="s">
        <v>214</v>
      </c>
      <c r="G3" s="360" t="str">
        <f>+'WORKCELL CONFIGURATOR'!$H$57</f>
        <v>Sunburst EMS</v>
      </c>
      <c r="H3" s="360"/>
      <c r="I3" s="360"/>
      <c r="J3" s="360"/>
      <c r="K3" s="360"/>
      <c r="L3" s="49" t="s">
        <v>212</v>
      </c>
      <c r="M3" s="360" t="str">
        <f>+'WORKCELL CONFIGURATOR'!$H$4</f>
        <v>Delta 6</v>
      </c>
      <c r="N3" s="360"/>
      <c r="O3" s="360"/>
      <c r="P3" s="360"/>
      <c r="Q3" s="50" t="s">
        <v>214</v>
      </c>
      <c r="R3" s="360" t="str">
        <f>+'WORKCELL CONFIGURATOR'!$H$57</f>
        <v>Sunburst EMS</v>
      </c>
      <c r="S3" s="360"/>
      <c r="T3" s="360"/>
      <c r="U3" s="360"/>
      <c r="V3" s="360"/>
    </row>
    <row r="4" spans="1:22" x14ac:dyDescent="0.25">
      <c r="A4" s="49" t="s">
        <v>213</v>
      </c>
      <c r="B4" s="360" t="str">
        <f>+'WORKCELL BOM'!$L$2</f>
        <v>SUNB4723</v>
      </c>
      <c r="C4" s="360"/>
      <c r="D4" s="360"/>
      <c r="E4" s="360"/>
      <c r="F4" s="50" t="s">
        <v>215</v>
      </c>
      <c r="G4" s="360" t="str">
        <f>+'WORKCELL BOM'!$L$3</f>
        <v>S1088</v>
      </c>
      <c r="H4" s="360"/>
      <c r="I4" s="360"/>
      <c r="J4" s="360"/>
      <c r="K4" s="360"/>
      <c r="L4" s="49" t="s">
        <v>213</v>
      </c>
      <c r="M4" s="360" t="s">
        <v>661</v>
      </c>
      <c r="N4" s="360"/>
      <c r="O4" s="360"/>
      <c r="P4" s="360"/>
      <c r="Q4" s="50" t="s">
        <v>215</v>
      </c>
      <c r="R4" s="360" t="str">
        <f>+'WORKCELL BOM'!$L$3</f>
        <v>S1088</v>
      </c>
      <c r="S4" s="360"/>
      <c r="T4" s="360"/>
      <c r="U4" s="360"/>
      <c r="V4" s="360"/>
    </row>
    <row r="6" spans="1:22" x14ac:dyDescent="0.25">
      <c r="A6" s="57" t="s">
        <v>564</v>
      </c>
      <c r="B6" s="58"/>
      <c r="C6" s="58"/>
      <c r="D6" s="58"/>
      <c r="E6" s="58"/>
      <c r="F6" s="58"/>
      <c r="G6" s="58"/>
      <c r="H6" s="58"/>
      <c r="I6" s="58"/>
      <c r="J6" s="58"/>
      <c r="K6" s="59"/>
      <c r="L6" s="367" t="s">
        <v>220</v>
      </c>
      <c r="M6" s="367"/>
      <c r="N6" s="367"/>
      <c r="O6" s="367"/>
      <c r="P6" s="367"/>
      <c r="Q6" s="367"/>
      <c r="R6" s="367"/>
      <c r="S6" s="367"/>
      <c r="T6" s="367"/>
      <c r="U6" s="367"/>
      <c r="V6" s="367"/>
    </row>
    <row r="7" spans="1:22" x14ac:dyDescent="0.25">
      <c r="A7" s="54" t="s">
        <v>222</v>
      </c>
      <c r="B7" s="361" t="s">
        <v>223</v>
      </c>
      <c r="C7" s="361"/>
      <c r="D7" s="361"/>
      <c r="E7" s="361"/>
      <c r="F7" s="56" t="s">
        <v>222</v>
      </c>
      <c r="G7" s="361" t="s">
        <v>227</v>
      </c>
      <c r="H7" s="361"/>
      <c r="I7" s="361"/>
      <c r="J7" s="361"/>
      <c r="K7" s="28"/>
      <c r="L7" s="367"/>
      <c r="M7" s="367"/>
      <c r="N7" s="367"/>
      <c r="O7" s="367"/>
      <c r="P7" s="367"/>
      <c r="Q7" s="367"/>
      <c r="R7" s="367"/>
      <c r="S7" s="367"/>
      <c r="T7" s="367"/>
      <c r="U7" s="367"/>
      <c r="V7" s="367"/>
    </row>
    <row r="8" spans="1:22" x14ac:dyDescent="0.25">
      <c r="A8" s="54" t="s">
        <v>222</v>
      </c>
      <c r="B8" s="361" t="s">
        <v>224</v>
      </c>
      <c r="C8" s="361"/>
      <c r="D8" s="361"/>
      <c r="E8" s="361"/>
      <c r="F8" s="56" t="s">
        <v>222</v>
      </c>
      <c r="G8" s="361" t="s">
        <v>228</v>
      </c>
      <c r="H8" s="361"/>
      <c r="I8" s="361"/>
      <c r="J8" s="361"/>
      <c r="K8" s="28"/>
      <c r="L8" s="48" t="s">
        <v>217</v>
      </c>
      <c r="M8" s="48" t="s">
        <v>218</v>
      </c>
      <c r="N8" s="48" t="s">
        <v>549</v>
      </c>
      <c r="O8" s="368" t="s">
        <v>106</v>
      </c>
      <c r="P8" s="369"/>
      <c r="Q8" s="369"/>
      <c r="R8" s="369"/>
      <c r="S8" s="369"/>
      <c r="T8" s="370"/>
      <c r="U8" s="48" t="s">
        <v>219</v>
      </c>
      <c r="V8" s="48" t="s">
        <v>218</v>
      </c>
    </row>
    <row r="9" spans="1:22" x14ac:dyDescent="0.25">
      <c r="A9" s="54" t="s">
        <v>222</v>
      </c>
      <c r="B9" s="361" t="s">
        <v>225</v>
      </c>
      <c r="C9" s="361"/>
      <c r="D9" s="361"/>
      <c r="E9" s="361"/>
      <c r="F9" s="56" t="s">
        <v>222</v>
      </c>
      <c r="G9" s="361" t="s">
        <v>229</v>
      </c>
      <c r="H9" s="361"/>
      <c r="I9" s="361"/>
      <c r="J9" s="361"/>
      <c r="K9" s="28"/>
      <c r="L9" s="47"/>
      <c r="M9" s="47"/>
      <c r="N9" s="194"/>
      <c r="O9" s="268"/>
      <c r="P9" s="269"/>
      <c r="Q9" s="269"/>
      <c r="R9" s="269"/>
      <c r="S9" s="269"/>
      <c r="T9" s="270"/>
      <c r="U9" s="47"/>
      <c r="V9" s="47"/>
    </row>
    <row r="10" spans="1:22" x14ac:dyDescent="0.25">
      <c r="A10" s="54" t="s">
        <v>222</v>
      </c>
      <c r="B10" s="361" t="s">
        <v>226</v>
      </c>
      <c r="C10" s="361"/>
      <c r="D10" s="361"/>
      <c r="E10" s="361"/>
      <c r="F10" s="56" t="s">
        <v>222</v>
      </c>
      <c r="G10" s="361" t="s">
        <v>230</v>
      </c>
      <c r="H10" s="361"/>
      <c r="I10" s="361"/>
      <c r="J10" s="361"/>
      <c r="K10" s="28"/>
      <c r="L10" s="47"/>
      <c r="M10" s="47"/>
      <c r="N10" s="194"/>
      <c r="O10" s="268"/>
      <c r="P10" s="269"/>
      <c r="Q10" s="269"/>
      <c r="R10" s="269"/>
      <c r="S10" s="269"/>
      <c r="T10" s="270"/>
      <c r="U10" s="47"/>
      <c r="V10" s="47"/>
    </row>
    <row r="11" spans="1:22" x14ac:dyDescent="0.25">
      <c r="A11" s="60" t="s">
        <v>306</v>
      </c>
      <c r="B11" s="61"/>
      <c r="C11" s="61"/>
      <c r="D11" s="61"/>
      <c r="E11" s="61"/>
      <c r="F11" s="58"/>
      <c r="G11" s="58"/>
      <c r="H11" s="58"/>
      <c r="I11" s="58"/>
      <c r="J11" s="58"/>
      <c r="K11" s="59"/>
      <c r="L11" s="47"/>
      <c r="M11" s="47"/>
      <c r="N11" s="194"/>
      <c r="O11" s="268"/>
      <c r="P11" s="269"/>
      <c r="Q11" s="269"/>
      <c r="R11" s="269"/>
      <c r="S11" s="269"/>
      <c r="T11" s="270"/>
      <c r="U11" s="47"/>
      <c r="V11" s="47"/>
    </row>
    <row r="12" spans="1:22" x14ac:dyDescent="0.25">
      <c r="A12" s="377" t="s">
        <v>232</v>
      </c>
      <c r="B12" s="378" t="s">
        <v>234</v>
      </c>
      <c r="C12" s="378"/>
      <c r="D12" s="378"/>
      <c r="E12" s="378"/>
      <c r="G12" s="377" t="s">
        <v>235</v>
      </c>
      <c r="H12" s="378" t="s">
        <v>234</v>
      </c>
      <c r="I12" s="378"/>
      <c r="J12" s="378"/>
      <c r="K12" s="378"/>
      <c r="L12" s="47"/>
      <c r="M12" s="47"/>
      <c r="N12" s="194"/>
      <c r="O12" s="268"/>
      <c r="P12" s="269"/>
      <c r="Q12" s="269"/>
      <c r="R12" s="269"/>
      <c r="S12" s="269"/>
      <c r="T12" s="270"/>
      <c r="U12" s="47"/>
      <c r="V12" s="47"/>
    </row>
    <row r="13" spans="1:22" x14ac:dyDescent="0.25">
      <c r="A13" s="377"/>
      <c r="B13" s="378"/>
      <c r="C13" s="378"/>
      <c r="D13" s="378"/>
      <c r="E13" s="378"/>
      <c r="G13" s="377"/>
      <c r="H13" s="378"/>
      <c r="I13" s="378"/>
      <c r="J13" s="378"/>
      <c r="K13" s="378"/>
      <c r="L13" s="47"/>
      <c r="M13" s="47"/>
      <c r="N13" s="194"/>
      <c r="O13" s="268"/>
      <c r="P13" s="269"/>
      <c r="Q13" s="269"/>
      <c r="R13" s="269"/>
      <c r="S13" s="269"/>
      <c r="T13" s="270"/>
      <c r="U13" s="47"/>
      <c r="V13" s="47"/>
    </row>
    <row r="14" spans="1:22" x14ac:dyDescent="0.25">
      <c r="A14" s="377" t="s">
        <v>233</v>
      </c>
      <c r="B14" s="378" t="s">
        <v>234</v>
      </c>
      <c r="C14" s="378"/>
      <c r="D14" s="378"/>
      <c r="E14" s="378"/>
      <c r="G14" s="377" t="s">
        <v>236</v>
      </c>
      <c r="H14" s="378" t="s">
        <v>234</v>
      </c>
      <c r="I14" s="378"/>
      <c r="J14" s="378"/>
      <c r="K14" s="378"/>
      <c r="L14" s="47"/>
      <c r="M14" s="47"/>
      <c r="N14" s="194"/>
      <c r="O14" s="268"/>
      <c r="P14" s="269"/>
      <c r="Q14" s="269"/>
      <c r="R14" s="269"/>
      <c r="S14" s="269"/>
      <c r="T14" s="270"/>
      <c r="U14" s="47"/>
      <c r="V14" s="47"/>
    </row>
    <row r="15" spans="1:22" x14ac:dyDescent="0.25">
      <c r="A15" s="377"/>
      <c r="B15" s="378"/>
      <c r="C15" s="378"/>
      <c r="D15" s="378"/>
      <c r="E15" s="378"/>
      <c r="G15" s="377"/>
      <c r="H15" s="378"/>
      <c r="I15" s="378"/>
      <c r="J15" s="378"/>
      <c r="K15" s="378"/>
      <c r="L15" s="47"/>
      <c r="M15" s="47"/>
      <c r="N15" s="194"/>
      <c r="O15" s="268"/>
      <c r="P15" s="269"/>
      <c r="Q15" s="269"/>
      <c r="R15" s="269"/>
      <c r="S15" s="269"/>
      <c r="T15" s="270"/>
      <c r="U15" s="47"/>
      <c r="V15" s="47"/>
    </row>
    <row r="16" spans="1:22" x14ac:dyDescent="0.25">
      <c r="A16" s="312" t="s">
        <v>231</v>
      </c>
      <c r="B16" s="313"/>
      <c r="C16" s="313"/>
      <c r="D16" s="313"/>
      <c r="E16" s="313"/>
      <c r="F16" s="313"/>
      <c r="G16" s="313"/>
      <c r="H16" s="314"/>
      <c r="I16" s="312" t="s">
        <v>168</v>
      </c>
      <c r="J16" s="313"/>
      <c r="K16" s="314"/>
      <c r="L16" s="47"/>
      <c r="M16" s="47"/>
      <c r="N16" s="194"/>
      <c r="O16" s="268"/>
      <c r="P16" s="269"/>
      <c r="Q16" s="269"/>
      <c r="R16" s="269"/>
      <c r="S16" s="269"/>
      <c r="T16" s="270"/>
      <c r="U16" s="47"/>
      <c r="V16" s="47"/>
    </row>
    <row r="17" spans="1:22" x14ac:dyDescent="0.25">
      <c r="A17" s="315"/>
      <c r="B17" s="316"/>
      <c r="C17" s="316"/>
      <c r="D17" s="316"/>
      <c r="E17" s="316"/>
      <c r="F17" s="316"/>
      <c r="G17" s="316"/>
      <c r="H17" s="317"/>
      <c r="I17" s="315"/>
      <c r="J17" s="316"/>
      <c r="K17" s="317"/>
      <c r="L17" s="47"/>
      <c r="M17" s="47"/>
      <c r="N17" s="194"/>
      <c r="O17" s="268"/>
      <c r="P17" s="269"/>
      <c r="Q17" s="269"/>
      <c r="R17" s="269"/>
      <c r="S17" s="269"/>
      <c r="T17" s="270"/>
      <c r="U17" s="47"/>
      <c r="V17" s="47"/>
    </row>
    <row r="18" spans="1:22" x14ac:dyDescent="0.25">
      <c r="L18" s="47"/>
      <c r="M18" s="47"/>
      <c r="N18" s="194"/>
      <c r="O18" s="268"/>
      <c r="P18" s="269"/>
      <c r="Q18" s="269"/>
      <c r="R18" s="269"/>
      <c r="S18" s="269"/>
      <c r="T18" s="270"/>
      <c r="U18" s="47"/>
      <c r="V18" s="47"/>
    </row>
    <row r="19" spans="1:22" x14ac:dyDescent="0.25">
      <c r="A19" s="66" t="s">
        <v>243</v>
      </c>
      <c r="B19" s="67"/>
      <c r="C19" s="67"/>
      <c r="D19" s="67"/>
      <c r="E19" s="67"/>
      <c r="F19" s="67"/>
      <c r="G19" s="67"/>
      <c r="H19" s="67"/>
      <c r="I19" s="67"/>
      <c r="J19" s="67"/>
      <c r="K19" s="68"/>
      <c r="L19" s="47"/>
      <c r="M19" s="47"/>
      <c r="N19" s="194"/>
      <c r="O19" s="268"/>
      <c r="P19" s="269"/>
      <c r="Q19" s="269"/>
      <c r="R19" s="269"/>
      <c r="S19" s="269"/>
      <c r="T19" s="270"/>
      <c r="U19" s="47"/>
      <c r="V19" s="47"/>
    </row>
    <row r="20" spans="1:22" x14ac:dyDescent="0.25">
      <c r="A20" s="54" t="s">
        <v>222</v>
      </c>
      <c r="B20" s="379" t="s">
        <v>253</v>
      </c>
      <c r="C20" s="379"/>
      <c r="D20" s="379"/>
      <c r="E20" s="379"/>
      <c r="F20" s="56" t="s">
        <v>222</v>
      </c>
      <c r="G20" s="55" t="s">
        <v>248</v>
      </c>
      <c r="H20" s="55"/>
      <c r="I20" s="55"/>
      <c r="J20" s="55"/>
      <c r="K20" s="28"/>
      <c r="L20" s="47"/>
      <c r="M20" s="47"/>
      <c r="N20" s="194"/>
      <c r="O20" s="268"/>
      <c r="P20" s="269"/>
      <c r="Q20" s="269"/>
      <c r="R20" s="269"/>
      <c r="S20" s="269"/>
      <c r="T20" s="270"/>
      <c r="U20" s="47"/>
      <c r="V20" s="47"/>
    </row>
    <row r="21" spans="1:22" x14ac:dyDescent="0.25">
      <c r="A21" s="54" t="s">
        <v>222</v>
      </c>
      <c r="B21" s="361" t="s">
        <v>245</v>
      </c>
      <c r="C21" s="361"/>
      <c r="D21" s="361"/>
      <c r="E21" s="361"/>
      <c r="F21" s="56" t="s">
        <v>222</v>
      </c>
      <c r="G21" s="361" t="s">
        <v>249</v>
      </c>
      <c r="H21" s="361"/>
      <c r="I21" s="361"/>
      <c r="J21" s="361"/>
      <c r="K21" s="28"/>
      <c r="L21" s="47"/>
      <c r="M21" s="47"/>
      <c r="N21" s="194"/>
      <c r="O21" s="268"/>
      <c r="P21" s="269"/>
      <c r="Q21" s="269"/>
      <c r="R21" s="269"/>
      <c r="S21" s="269"/>
      <c r="T21" s="270"/>
      <c r="U21" s="47"/>
      <c r="V21" s="47"/>
    </row>
    <row r="22" spans="1:22" x14ac:dyDescent="0.25">
      <c r="A22" s="54" t="s">
        <v>222</v>
      </c>
      <c r="B22" s="361" t="s">
        <v>246</v>
      </c>
      <c r="C22" s="361"/>
      <c r="D22" s="361"/>
      <c r="E22" s="361"/>
      <c r="F22" s="56" t="s">
        <v>222</v>
      </c>
      <c r="G22" s="55" t="s">
        <v>250</v>
      </c>
      <c r="H22" s="55"/>
      <c r="I22" s="55"/>
      <c r="J22" s="55"/>
      <c r="K22" s="28"/>
      <c r="L22" s="47"/>
      <c r="M22" s="47"/>
      <c r="N22" s="194"/>
      <c r="O22" s="268"/>
      <c r="P22" s="269"/>
      <c r="Q22" s="269"/>
      <c r="R22" s="269"/>
      <c r="S22" s="269"/>
      <c r="T22" s="270"/>
      <c r="U22" s="47"/>
      <c r="V22" s="47"/>
    </row>
    <row r="23" spans="1:22" x14ac:dyDescent="0.25">
      <c r="A23" s="54" t="s">
        <v>222</v>
      </c>
      <c r="B23" s="361" t="s">
        <v>247</v>
      </c>
      <c r="C23" s="361"/>
      <c r="D23" s="361"/>
      <c r="E23" s="361"/>
      <c r="F23" s="56" t="s">
        <v>222</v>
      </c>
      <c r="G23" s="55" t="s">
        <v>275</v>
      </c>
      <c r="H23" s="55"/>
      <c r="I23" s="55"/>
      <c r="J23" s="55"/>
      <c r="K23" s="28"/>
      <c r="L23" s="47"/>
      <c r="M23" s="47"/>
      <c r="N23" s="194"/>
      <c r="O23" s="268"/>
      <c r="P23" s="269"/>
      <c r="Q23" s="269"/>
      <c r="R23" s="269"/>
      <c r="S23" s="269"/>
      <c r="T23" s="270"/>
      <c r="U23" s="47"/>
      <c r="V23" s="47"/>
    </row>
    <row r="24" spans="1:22" x14ac:dyDescent="0.25">
      <c r="A24" s="54" t="s">
        <v>222</v>
      </c>
      <c r="B24" s="361" t="s">
        <v>251</v>
      </c>
      <c r="C24" s="361"/>
      <c r="D24" s="361"/>
      <c r="E24" s="361"/>
      <c r="F24" s="56" t="s">
        <v>222</v>
      </c>
      <c r="G24" s="55" t="s">
        <v>252</v>
      </c>
      <c r="H24" s="55"/>
      <c r="I24" s="55"/>
      <c r="J24" s="55"/>
      <c r="K24" s="28"/>
      <c r="L24" s="47"/>
      <c r="M24" s="47"/>
      <c r="N24" s="194"/>
      <c r="O24" s="268"/>
      <c r="P24" s="269"/>
      <c r="Q24" s="269"/>
      <c r="R24" s="269"/>
      <c r="S24" s="269"/>
      <c r="T24" s="270"/>
      <c r="U24" s="47"/>
      <c r="V24" s="47"/>
    </row>
    <row r="25" spans="1:22" x14ac:dyDescent="0.25">
      <c r="A25" s="66" t="s">
        <v>244</v>
      </c>
      <c r="B25" s="67"/>
      <c r="C25" s="67"/>
      <c r="D25" s="67"/>
      <c r="E25" s="67"/>
      <c r="F25" s="67"/>
      <c r="G25" s="67"/>
      <c r="H25" s="67"/>
      <c r="I25" s="67"/>
      <c r="J25" s="67"/>
      <c r="K25" s="68"/>
      <c r="L25" s="47"/>
      <c r="M25" s="47"/>
      <c r="N25" s="194"/>
      <c r="O25" s="268"/>
      <c r="P25" s="269"/>
      <c r="Q25" s="269"/>
      <c r="R25" s="269"/>
      <c r="S25" s="269"/>
      <c r="T25" s="270"/>
      <c r="U25" s="47"/>
      <c r="V25" s="47"/>
    </row>
    <row r="26" spans="1:22" x14ac:dyDescent="0.25">
      <c r="A26" s="54" t="s">
        <v>222</v>
      </c>
      <c r="B26" s="55" t="s">
        <v>254</v>
      </c>
      <c r="C26" s="55"/>
      <c r="D26" s="55"/>
      <c r="E26" s="55"/>
      <c r="F26" s="56" t="s">
        <v>222</v>
      </c>
      <c r="G26" s="55" t="s">
        <v>277</v>
      </c>
      <c r="H26" s="55"/>
      <c r="I26" s="55"/>
      <c r="J26" s="55"/>
      <c r="K26" s="28"/>
      <c r="L26" s="47"/>
      <c r="M26" s="47"/>
      <c r="N26" s="194"/>
      <c r="O26" s="268"/>
      <c r="P26" s="269"/>
      <c r="Q26" s="269"/>
      <c r="R26" s="269"/>
      <c r="S26" s="269"/>
      <c r="T26" s="270"/>
      <c r="U26" s="47"/>
      <c r="V26" s="47"/>
    </row>
    <row r="27" spans="1:22" x14ac:dyDescent="0.25">
      <c r="A27" s="54" t="s">
        <v>222</v>
      </c>
      <c r="B27" s="69" t="s">
        <v>255</v>
      </c>
      <c r="C27" s="55"/>
      <c r="D27" s="55"/>
      <c r="E27" s="55"/>
      <c r="F27" s="56" t="s">
        <v>222</v>
      </c>
      <c r="G27" s="55" t="s">
        <v>257</v>
      </c>
      <c r="H27" s="55"/>
      <c r="I27" s="55"/>
      <c r="J27" s="55"/>
      <c r="K27" s="28"/>
      <c r="L27" s="47"/>
      <c r="M27" s="47"/>
      <c r="N27" s="194"/>
      <c r="O27" s="268"/>
      <c r="P27" s="269"/>
      <c r="Q27" s="269"/>
      <c r="R27" s="269"/>
      <c r="S27" s="269"/>
      <c r="T27" s="270"/>
      <c r="U27" s="47"/>
      <c r="V27" s="47"/>
    </row>
    <row r="28" spans="1:22" x14ac:dyDescent="0.25">
      <c r="A28" s="54" t="s">
        <v>222</v>
      </c>
      <c r="B28" s="69" t="s">
        <v>278</v>
      </c>
      <c r="C28" s="55"/>
      <c r="D28" s="55"/>
      <c r="E28" s="55"/>
      <c r="F28" s="56" t="s">
        <v>222</v>
      </c>
      <c r="G28" s="69" t="s">
        <v>258</v>
      </c>
      <c r="H28" s="55"/>
      <c r="I28" s="55"/>
      <c r="J28" s="55"/>
      <c r="K28" s="28"/>
      <c r="L28" s="47"/>
      <c r="M28" s="47"/>
      <c r="N28" s="194"/>
      <c r="O28" s="268"/>
      <c r="P28" s="269"/>
      <c r="Q28" s="269"/>
      <c r="R28" s="269"/>
      <c r="S28" s="269"/>
      <c r="T28" s="270"/>
      <c r="U28" s="47"/>
      <c r="V28" s="47"/>
    </row>
    <row r="29" spans="1:22" x14ac:dyDescent="0.25">
      <c r="A29" s="56" t="s">
        <v>222</v>
      </c>
      <c r="B29" s="55" t="s">
        <v>256</v>
      </c>
      <c r="C29" s="55"/>
      <c r="D29" s="55"/>
      <c r="E29" s="55"/>
      <c r="F29" s="56" t="s">
        <v>222</v>
      </c>
      <c r="G29" s="69" t="s">
        <v>259</v>
      </c>
      <c r="H29" s="55"/>
      <c r="I29" s="55"/>
      <c r="J29" s="55"/>
      <c r="K29" s="28"/>
      <c r="L29" s="47"/>
      <c r="M29" s="47"/>
      <c r="N29" s="194"/>
      <c r="O29" s="268"/>
      <c r="P29" s="269"/>
      <c r="Q29" s="269"/>
      <c r="R29" s="269"/>
      <c r="S29" s="269"/>
      <c r="T29" s="270"/>
      <c r="U29" s="47"/>
      <c r="V29" s="47"/>
    </row>
    <row r="30" spans="1:22" x14ac:dyDescent="0.25">
      <c r="A30" s="56" t="s">
        <v>222</v>
      </c>
      <c r="B30" s="55" t="s">
        <v>276</v>
      </c>
      <c r="C30" s="7"/>
      <c r="D30" s="7"/>
      <c r="E30" s="7"/>
      <c r="H30" s="7"/>
      <c r="I30" s="7"/>
      <c r="J30" s="7"/>
      <c r="K30" s="28"/>
      <c r="L30" s="318" t="s">
        <v>280</v>
      </c>
      <c r="M30" s="318"/>
      <c r="N30" s="318"/>
      <c r="O30" s="318"/>
      <c r="P30" s="318"/>
      <c r="Q30" s="318"/>
      <c r="R30" s="318"/>
      <c r="S30" s="318"/>
      <c r="T30" s="318" t="s">
        <v>218</v>
      </c>
      <c r="U30" s="318"/>
      <c r="V30" s="318"/>
    </row>
    <row r="31" spans="1:22" x14ac:dyDescent="0.25">
      <c r="C31" s="7"/>
      <c r="D31" s="7"/>
      <c r="E31" s="7"/>
      <c r="H31" s="7"/>
      <c r="I31" s="7"/>
      <c r="J31" s="7"/>
      <c r="K31" s="28"/>
      <c r="L31" s="318"/>
      <c r="M31" s="318"/>
      <c r="N31" s="318"/>
      <c r="O31" s="318"/>
      <c r="P31" s="318"/>
      <c r="Q31" s="318"/>
      <c r="R31" s="318"/>
      <c r="S31" s="318"/>
      <c r="T31" s="318"/>
      <c r="U31" s="318"/>
      <c r="V31" s="318"/>
    </row>
    <row r="32" spans="1:22" x14ac:dyDescent="0.25">
      <c r="A32" s="351" t="s">
        <v>260</v>
      </c>
      <c r="B32" s="352"/>
      <c r="C32" s="358" t="s">
        <v>261</v>
      </c>
      <c r="D32" s="358"/>
      <c r="E32" s="358"/>
      <c r="F32" s="358"/>
      <c r="G32" s="358"/>
      <c r="H32" s="358"/>
      <c r="I32" s="312" t="s">
        <v>168</v>
      </c>
      <c r="J32" s="313"/>
      <c r="K32" s="314"/>
      <c r="L32" s="318" t="s">
        <v>281</v>
      </c>
      <c r="M32" s="318"/>
      <c r="N32" s="318"/>
      <c r="O32" s="318"/>
      <c r="P32" s="318"/>
      <c r="Q32" s="318"/>
      <c r="R32" s="318"/>
      <c r="S32" s="318"/>
      <c r="T32" s="318" t="s">
        <v>218</v>
      </c>
      <c r="U32" s="318"/>
      <c r="V32" s="318"/>
    </row>
    <row r="33" spans="1:22" x14ac:dyDescent="0.25">
      <c r="A33" s="351"/>
      <c r="B33" s="352"/>
      <c r="C33" s="358"/>
      <c r="D33" s="358"/>
      <c r="E33" s="358"/>
      <c r="F33" s="358"/>
      <c r="G33" s="358"/>
      <c r="H33" s="358"/>
      <c r="I33" s="315"/>
      <c r="J33" s="316"/>
      <c r="K33" s="317"/>
      <c r="L33" s="318"/>
      <c r="M33" s="318"/>
      <c r="N33" s="318"/>
      <c r="O33" s="318"/>
      <c r="P33" s="318"/>
      <c r="Q33" s="318"/>
      <c r="R33" s="318"/>
      <c r="S33" s="318"/>
      <c r="T33" s="318"/>
      <c r="U33" s="318"/>
      <c r="V33" s="318"/>
    </row>
    <row r="34" spans="1:22" x14ac:dyDescent="0.25">
      <c r="A34" s="312" t="s">
        <v>262</v>
      </c>
      <c r="B34" s="313"/>
      <c r="C34" s="313"/>
      <c r="D34" s="313"/>
      <c r="E34" s="313"/>
      <c r="F34" s="313"/>
      <c r="G34" s="313"/>
      <c r="H34" s="314"/>
      <c r="I34" s="312" t="s">
        <v>168</v>
      </c>
      <c r="J34" s="313"/>
      <c r="K34" s="314"/>
      <c r="L34" s="318" t="s">
        <v>303</v>
      </c>
      <c r="M34" s="318"/>
      <c r="N34" s="318"/>
      <c r="O34" s="318"/>
      <c r="P34" s="318"/>
      <c r="Q34" s="318"/>
      <c r="R34" s="318"/>
      <c r="S34" s="318"/>
      <c r="T34" s="318" t="s">
        <v>218</v>
      </c>
      <c r="U34" s="318"/>
      <c r="V34" s="318"/>
    </row>
    <row r="35" spans="1:22" x14ac:dyDescent="0.25">
      <c r="A35" s="315"/>
      <c r="B35" s="316"/>
      <c r="C35" s="316"/>
      <c r="D35" s="316"/>
      <c r="E35" s="316"/>
      <c r="F35" s="316"/>
      <c r="G35" s="316"/>
      <c r="H35" s="317"/>
      <c r="I35" s="315"/>
      <c r="J35" s="316"/>
      <c r="K35" s="317"/>
      <c r="L35" s="318"/>
      <c r="M35" s="318"/>
      <c r="N35" s="318"/>
      <c r="O35" s="318"/>
      <c r="P35" s="318"/>
      <c r="Q35" s="318"/>
      <c r="R35" s="318"/>
      <c r="S35" s="318"/>
      <c r="T35" s="318"/>
      <c r="U35" s="318"/>
      <c r="V35" s="318"/>
    </row>
    <row r="36" spans="1:22" x14ac:dyDescent="0.25">
      <c r="L36" s="71" t="s">
        <v>299</v>
      </c>
      <c r="M36" s="72"/>
      <c r="N36" s="72"/>
      <c r="O36" s="80"/>
      <c r="P36" s="80"/>
      <c r="Q36" s="80"/>
      <c r="R36" s="80"/>
      <c r="S36" s="80"/>
      <c r="T36" s="80"/>
      <c r="U36" s="72"/>
      <c r="V36" s="73"/>
    </row>
    <row r="37" spans="1:22" ht="15" customHeight="1" x14ac:dyDescent="0.25">
      <c r="A37" s="62" t="s">
        <v>221</v>
      </c>
      <c r="B37" s="63"/>
      <c r="C37" s="63"/>
      <c r="D37" s="63"/>
      <c r="E37" s="63"/>
      <c r="F37" s="63"/>
      <c r="G37" s="63"/>
      <c r="H37" s="63"/>
      <c r="I37" s="63"/>
      <c r="J37" s="63"/>
      <c r="K37" s="64"/>
      <c r="L37" s="319" t="s">
        <v>305</v>
      </c>
      <c r="M37" s="320"/>
      <c r="N37" s="320"/>
      <c r="O37" s="320"/>
      <c r="P37" s="320"/>
      <c r="Q37" s="320"/>
      <c r="R37" s="320"/>
      <c r="S37" s="320"/>
      <c r="T37" s="320"/>
      <c r="U37" s="320"/>
      <c r="V37" s="321"/>
    </row>
    <row r="38" spans="1:22" ht="15" customHeight="1" x14ac:dyDescent="0.25">
      <c r="A38" s="54" t="s">
        <v>222</v>
      </c>
      <c r="B38" s="361" t="s">
        <v>237</v>
      </c>
      <c r="C38" s="361"/>
      <c r="D38" s="361"/>
      <c r="E38" s="361"/>
      <c r="F38" s="56" t="s">
        <v>222</v>
      </c>
      <c r="G38" s="361" t="s">
        <v>240</v>
      </c>
      <c r="H38" s="361"/>
      <c r="I38" s="361"/>
      <c r="J38" s="361"/>
      <c r="K38" s="28"/>
      <c r="L38" s="322"/>
      <c r="M38" s="323"/>
      <c r="N38" s="323"/>
      <c r="O38" s="323"/>
      <c r="P38" s="323"/>
      <c r="Q38" s="323"/>
      <c r="R38" s="323"/>
      <c r="S38" s="323"/>
      <c r="T38" s="323"/>
      <c r="U38" s="323"/>
      <c r="V38" s="324"/>
    </row>
    <row r="39" spans="1:22" ht="15" customHeight="1" x14ac:dyDescent="0.25">
      <c r="A39" s="54" t="s">
        <v>222</v>
      </c>
      <c r="B39" s="361" t="s">
        <v>238</v>
      </c>
      <c r="C39" s="361"/>
      <c r="D39" s="361"/>
      <c r="E39" s="361"/>
      <c r="F39" s="56" t="s">
        <v>222</v>
      </c>
      <c r="G39" s="361" t="s">
        <v>242</v>
      </c>
      <c r="H39" s="361"/>
      <c r="I39" s="361"/>
      <c r="J39" s="361"/>
      <c r="K39" s="28"/>
      <c r="L39" s="322"/>
      <c r="M39" s="323"/>
      <c r="N39" s="323"/>
      <c r="O39" s="323"/>
      <c r="P39" s="323"/>
      <c r="Q39" s="323"/>
      <c r="R39" s="323"/>
      <c r="S39" s="323"/>
      <c r="T39" s="323"/>
      <c r="U39" s="323"/>
      <c r="V39" s="324"/>
    </row>
    <row r="40" spans="1:22" x14ac:dyDescent="0.25">
      <c r="A40" s="76" t="s">
        <v>222</v>
      </c>
      <c r="B40" s="362" t="s">
        <v>239</v>
      </c>
      <c r="C40" s="362"/>
      <c r="D40" s="362"/>
      <c r="E40" s="362"/>
      <c r="F40" s="77" t="s">
        <v>222</v>
      </c>
      <c r="G40" s="362" t="s">
        <v>241</v>
      </c>
      <c r="H40" s="362"/>
      <c r="I40" s="362"/>
      <c r="J40" s="362"/>
      <c r="K40" s="31"/>
      <c r="L40" s="325"/>
      <c r="M40" s="326"/>
      <c r="N40" s="326"/>
      <c r="O40" s="326"/>
      <c r="P40" s="326"/>
      <c r="Q40" s="326"/>
      <c r="R40" s="326"/>
      <c r="S40" s="326"/>
      <c r="T40" s="326"/>
      <c r="U40" s="326"/>
      <c r="V40" s="327"/>
    </row>
    <row r="41" spans="1:22" x14ac:dyDescent="0.25">
      <c r="A41" s="312" t="s">
        <v>231</v>
      </c>
      <c r="B41" s="313"/>
      <c r="C41" s="313"/>
      <c r="D41" s="313"/>
      <c r="E41" s="313"/>
      <c r="F41" s="313"/>
      <c r="G41" s="313"/>
      <c r="H41" s="314"/>
      <c r="I41" s="312" t="s">
        <v>168</v>
      </c>
      <c r="J41" s="313"/>
      <c r="K41" s="314"/>
      <c r="L41" s="328" t="s">
        <v>214</v>
      </c>
      <c r="M41" s="330" t="str">
        <f>+'WORKCELL CONFIGURATOR'!$H$57</f>
        <v>Sunburst EMS</v>
      </c>
      <c r="N41" s="330"/>
      <c r="O41" s="330"/>
      <c r="P41" s="330"/>
      <c r="Q41" s="330"/>
      <c r="R41" s="337" t="s">
        <v>300</v>
      </c>
      <c r="S41" s="337"/>
      <c r="T41" s="337"/>
      <c r="U41" s="337"/>
      <c r="V41" s="337"/>
    </row>
    <row r="42" spans="1:22" x14ac:dyDescent="0.25">
      <c r="A42" s="315"/>
      <c r="B42" s="316"/>
      <c r="C42" s="316"/>
      <c r="D42" s="316"/>
      <c r="E42" s="316"/>
      <c r="F42" s="316"/>
      <c r="G42" s="316"/>
      <c r="H42" s="317"/>
      <c r="I42" s="315"/>
      <c r="J42" s="316"/>
      <c r="K42" s="317"/>
      <c r="L42" s="329"/>
      <c r="M42" s="330"/>
      <c r="N42" s="330"/>
      <c r="O42" s="330"/>
      <c r="P42" s="330"/>
      <c r="Q42" s="330"/>
      <c r="R42" s="337"/>
      <c r="S42" s="337"/>
      <c r="T42" s="337"/>
      <c r="U42" s="337"/>
      <c r="V42" s="337"/>
    </row>
    <row r="43" spans="1:22" x14ac:dyDescent="0.25">
      <c r="L43" s="331" t="s">
        <v>484</v>
      </c>
      <c r="M43" s="332"/>
      <c r="N43" s="332"/>
      <c r="O43" s="332"/>
      <c r="P43" s="332"/>
      <c r="Q43" s="333"/>
      <c r="R43" s="337" t="s">
        <v>301</v>
      </c>
      <c r="S43" s="337"/>
      <c r="T43" s="337"/>
      <c r="U43" s="337"/>
      <c r="V43" s="337"/>
    </row>
    <row r="44" spans="1:22" x14ac:dyDescent="0.25">
      <c r="L44" s="334"/>
      <c r="M44" s="335"/>
      <c r="N44" s="335"/>
      <c r="O44" s="335"/>
      <c r="P44" s="335"/>
      <c r="Q44" s="336"/>
      <c r="R44" s="337"/>
      <c r="S44" s="337"/>
      <c r="T44" s="337"/>
      <c r="U44" s="337"/>
      <c r="V44" s="337"/>
    </row>
    <row r="45" spans="1:22" x14ac:dyDescent="0.25">
      <c r="L45" s="331" t="s">
        <v>218</v>
      </c>
      <c r="M45" s="332"/>
      <c r="N45" s="332"/>
      <c r="O45" s="332"/>
      <c r="P45" s="332"/>
      <c r="Q45" s="333"/>
      <c r="R45" s="337" t="s">
        <v>302</v>
      </c>
      <c r="S45" s="337"/>
      <c r="T45" s="337"/>
      <c r="U45" s="337"/>
      <c r="V45" s="337"/>
    </row>
    <row r="46" spans="1:22" x14ac:dyDescent="0.25">
      <c r="A46" s="65"/>
      <c r="B46" s="65"/>
      <c r="C46" s="65"/>
      <c r="D46" s="65"/>
      <c r="E46" s="65"/>
      <c r="F46" s="65"/>
      <c r="G46" s="65"/>
      <c r="H46" s="65"/>
      <c r="I46" s="65"/>
      <c r="J46" s="65"/>
      <c r="K46" s="65"/>
      <c r="L46" s="334"/>
      <c r="M46" s="335"/>
      <c r="N46" s="335"/>
      <c r="O46" s="335"/>
      <c r="P46" s="335"/>
      <c r="Q46" s="336"/>
      <c r="R46" s="337"/>
      <c r="S46" s="337"/>
      <c r="T46" s="337"/>
      <c r="U46" s="337"/>
      <c r="V46" s="337"/>
    </row>
    <row r="47" spans="1:22" x14ac:dyDescent="0.25">
      <c r="A47" s="53" t="s">
        <v>486</v>
      </c>
      <c r="B47" s="51"/>
      <c r="C47" s="51"/>
      <c r="D47" s="51"/>
      <c r="E47" s="51"/>
      <c r="F47" s="51"/>
      <c r="G47" s="51"/>
      <c r="H47" s="51"/>
      <c r="I47" s="51"/>
      <c r="J47" s="51"/>
      <c r="K47" s="52" t="s">
        <v>216</v>
      </c>
      <c r="L47" s="53" t="s">
        <v>486</v>
      </c>
      <c r="M47" s="51"/>
      <c r="N47" s="51"/>
      <c r="O47" s="51"/>
      <c r="P47" s="51"/>
      <c r="Q47" s="51"/>
      <c r="R47" s="51"/>
      <c r="S47" s="51"/>
      <c r="T47" s="51"/>
      <c r="U47" s="51"/>
      <c r="V47" s="52" t="s">
        <v>216</v>
      </c>
    </row>
    <row r="48" spans="1:22" ht="15" customHeight="1" x14ac:dyDescent="0.25">
      <c r="A48" s="365" t="s">
        <v>211</v>
      </c>
      <c r="B48" s="365"/>
      <c r="C48" s="365"/>
      <c r="D48" s="365"/>
      <c r="E48" s="365"/>
      <c r="F48" s="365"/>
      <c r="G48" s="365"/>
      <c r="H48" s="365"/>
      <c r="I48" s="365"/>
      <c r="J48" s="365"/>
      <c r="K48" s="365"/>
      <c r="L48" s="366" t="s">
        <v>309</v>
      </c>
      <c r="M48" s="366"/>
      <c r="N48" s="366"/>
      <c r="O48" s="366"/>
      <c r="P48" s="366"/>
      <c r="Q48" s="366"/>
      <c r="R48" s="366"/>
      <c r="S48" s="366"/>
      <c r="T48" s="366"/>
      <c r="U48" s="366"/>
      <c r="V48" s="366"/>
    </row>
    <row r="49" spans="1:22" ht="15" customHeight="1" x14ac:dyDescent="0.25">
      <c r="A49" s="365"/>
      <c r="B49" s="365"/>
      <c r="C49" s="365"/>
      <c r="D49" s="365"/>
      <c r="E49" s="365"/>
      <c r="F49" s="365"/>
      <c r="G49" s="365"/>
      <c r="H49" s="365"/>
      <c r="I49" s="365"/>
      <c r="J49" s="365"/>
      <c r="K49" s="365"/>
      <c r="L49" s="366"/>
      <c r="M49" s="366"/>
      <c r="N49" s="366"/>
      <c r="O49" s="366"/>
      <c r="P49" s="366"/>
      <c r="Q49" s="366"/>
      <c r="R49" s="366"/>
      <c r="S49" s="366"/>
      <c r="T49" s="366"/>
      <c r="U49" s="366"/>
      <c r="V49" s="366"/>
    </row>
    <row r="50" spans="1:22" x14ac:dyDescent="0.25">
      <c r="A50" s="49" t="s">
        <v>212</v>
      </c>
      <c r="B50" s="360" t="str">
        <f>+'WORKCELL CONFIGURATOR'!$H$4</f>
        <v>Delta 6</v>
      </c>
      <c r="C50" s="360"/>
      <c r="D50" s="360"/>
      <c r="E50" s="360"/>
      <c r="F50" s="50" t="s">
        <v>214</v>
      </c>
      <c r="G50" s="360" t="str">
        <f>+'WORKCELL CONFIGURATOR'!$H$57</f>
        <v>Sunburst EMS</v>
      </c>
      <c r="H50" s="360"/>
      <c r="I50" s="360"/>
      <c r="J50" s="360"/>
      <c r="K50" s="360"/>
      <c r="L50" s="49" t="s">
        <v>212</v>
      </c>
      <c r="M50" s="360" t="str">
        <f>+'WORKCELL CONFIGURATOR'!$H$4</f>
        <v>Delta 6</v>
      </c>
      <c r="N50" s="360"/>
      <c r="O50" s="360"/>
      <c r="P50" s="360"/>
      <c r="Q50" s="50" t="s">
        <v>214</v>
      </c>
      <c r="R50" s="360" t="str">
        <f>+'WORKCELL CONFIGURATOR'!$H$57</f>
        <v>Sunburst EMS</v>
      </c>
      <c r="S50" s="360"/>
      <c r="T50" s="360"/>
      <c r="U50" s="360"/>
      <c r="V50" s="360"/>
    </row>
    <row r="51" spans="1:22" x14ac:dyDescent="0.25">
      <c r="A51" s="49" t="s">
        <v>213</v>
      </c>
      <c r="B51" s="360" t="str">
        <f>+'WORKCELL BOM'!$L$2</f>
        <v>SUNB4723</v>
      </c>
      <c r="C51" s="360"/>
      <c r="D51" s="360"/>
      <c r="E51" s="360"/>
      <c r="F51" s="50" t="s">
        <v>215</v>
      </c>
      <c r="G51" s="360" t="str">
        <f>+'WORKCELL BOM'!$L$3</f>
        <v>S1088</v>
      </c>
      <c r="H51" s="360"/>
      <c r="I51" s="360"/>
      <c r="J51" s="360"/>
      <c r="K51" s="360"/>
      <c r="L51" s="49" t="s">
        <v>213</v>
      </c>
      <c r="M51" s="360" t="str">
        <f>+'WORKCELL BOM'!$L$2</f>
        <v>SUNB4723</v>
      </c>
      <c r="N51" s="360"/>
      <c r="O51" s="360"/>
      <c r="P51" s="360"/>
      <c r="Q51" s="50" t="s">
        <v>215</v>
      </c>
      <c r="R51" s="360" t="str">
        <f>+'WORKCELL BOM'!$L$3</f>
        <v>S1088</v>
      </c>
      <c r="S51" s="360"/>
      <c r="T51" s="360"/>
      <c r="U51" s="360"/>
      <c r="V51" s="360"/>
    </row>
    <row r="53" spans="1:22" x14ac:dyDescent="0.25">
      <c r="A53" s="57" t="s">
        <v>307</v>
      </c>
      <c r="B53" s="61"/>
      <c r="C53" s="61"/>
      <c r="D53" s="61"/>
      <c r="E53" s="61"/>
      <c r="F53" s="58"/>
      <c r="G53" s="58"/>
      <c r="H53" s="58"/>
      <c r="I53" s="58"/>
      <c r="J53" s="58"/>
      <c r="K53" s="59"/>
    </row>
    <row r="54" spans="1:22" x14ac:dyDescent="0.25">
      <c r="A54" s="27"/>
      <c r="B54" s="7"/>
      <c r="C54" s="7"/>
      <c r="D54" s="7"/>
      <c r="E54" s="7"/>
      <c r="F54" s="7"/>
      <c r="G54" s="7"/>
      <c r="H54" s="7"/>
      <c r="I54" s="7"/>
      <c r="J54" s="7"/>
      <c r="K54" s="28"/>
      <c r="L54" s="84" t="s">
        <v>311</v>
      </c>
      <c r="M54" s="85"/>
      <c r="N54" s="85"/>
      <c r="O54" s="85"/>
      <c r="P54" s="85"/>
      <c r="Q54" s="86"/>
      <c r="R54" s="86"/>
      <c r="S54" s="86"/>
      <c r="T54" s="86"/>
      <c r="U54" s="86"/>
      <c r="V54" s="87"/>
    </row>
    <row r="55" spans="1:22" x14ac:dyDescent="0.25">
      <c r="A55" s="54" t="s">
        <v>222</v>
      </c>
      <c r="B55" s="361" t="s">
        <v>282</v>
      </c>
      <c r="C55" s="361"/>
      <c r="D55" s="361"/>
      <c r="E55" s="361"/>
      <c r="F55" s="56" t="s">
        <v>222</v>
      </c>
      <c r="G55" s="361" t="s">
        <v>289</v>
      </c>
      <c r="H55" s="361"/>
      <c r="I55" s="361"/>
      <c r="J55" s="361"/>
      <c r="K55" s="28"/>
      <c r="L55" s="338" t="s">
        <v>314</v>
      </c>
      <c r="M55" s="339"/>
      <c r="N55" s="339"/>
      <c r="O55" s="339"/>
      <c r="P55" s="339"/>
      <c r="Q55" s="339"/>
      <c r="R55" s="339"/>
      <c r="S55" s="340"/>
      <c r="T55" s="338" t="s">
        <v>218</v>
      </c>
      <c r="U55" s="339"/>
      <c r="V55" s="340"/>
    </row>
    <row r="56" spans="1:22" x14ac:dyDescent="0.25">
      <c r="A56" s="54" t="s">
        <v>222</v>
      </c>
      <c r="B56" s="55" t="s">
        <v>283</v>
      </c>
      <c r="C56" s="55"/>
      <c r="D56" s="55"/>
      <c r="E56" s="55"/>
      <c r="F56" s="56" t="s">
        <v>222</v>
      </c>
      <c r="G56" s="55" t="s">
        <v>284</v>
      </c>
      <c r="H56" s="55"/>
      <c r="I56" s="55"/>
      <c r="J56" s="55"/>
      <c r="K56" s="28"/>
      <c r="L56" s="341"/>
      <c r="M56" s="342"/>
      <c r="N56" s="342"/>
      <c r="O56" s="342"/>
      <c r="P56" s="342"/>
      <c r="Q56" s="342"/>
      <c r="R56" s="342"/>
      <c r="S56" s="343"/>
      <c r="T56" s="341"/>
      <c r="U56" s="342"/>
      <c r="V56" s="343"/>
    </row>
    <row r="57" spans="1:22" x14ac:dyDescent="0.25">
      <c r="A57" s="54" t="s">
        <v>222</v>
      </c>
      <c r="B57" s="55" t="s">
        <v>288</v>
      </c>
      <c r="C57" s="55"/>
      <c r="D57" s="55"/>
      <c r="E57" s="55"/>
      <c r="F57" s="56" t="s">
        <v>222</v>
      </c>
      <c r="G57" s="55" t="s">
        <v>285</v>
      </c>
      <c r="H57" s="7"/>
      <c r="I57" s="7"/>
      <c r="J57" s="7"/>
      <c r="K57" s="28"/>
      <c r="L57" s="338" t="s">
        <v>315</v>
      </c>
      <c r="M57" s="339"/>
      <c r="N57" s="339"/>
      <c r="O57" s="339"/>
      <c r="P57" s="339"/>
      <c r="Q57" s="339"/>
      <c r="R57" s="339"/>
      <c r="S57" s="340"/>
      <c r="T57" s="338" t="s">
        <v>218</v>
      </c>
      <c r="U57" s="339"/>
      <c r="V57" s="340"/>
    </row>
    <row r="58" spans="1:22" x14ac:dyDescent="0.25">
      <c r="A58" s="54" t="s">
        <v>222</v>
      </c>
      <c r="B58" s="55" t="s">
        <v>297</v>
      </c>
      <c r="C58" s="55"/>
      <c r="D58" s="55"/>
      <c r="E58" s="55"/>
      <c r="F58" s="7"/>
      <c r="G58" s="7"/>
      <c r="H58" s="7"/>
      <c r="I58" s="7"/>
      <c r="J58" s="7"/>
      <c r="K58" s="28"/>
      <c r="L58" s="341"/>
      <c r="M58" s="342"/>
      <c r="N58" s="342"/>
      <c r="O58" s="342"/>
      <c r="P58" s="342"/>
      <c r="Q58" s="342"/>
      <c r="R58" s="342"/>
      <c r="S58" s="343"/>
      <c r="T58" s="341"/>
      <c r="U58" s="342"/>
      <c r="V58" s="343"/>
    </row>
    <row r="59" spans="1:22" x14ac:dyDescent="0.25">
      <c r="A59" s="27"/>
      <c r="B59" s="7"/>
      <c r="C59" s="7"/>
      <c r="D59" s="7"/>
      <c r="E59" s="7"/>
      <c r="F59" s="7"/>
      <c r="G59" s="7"/>
      <c r="H59" s="7"/>
      <c r="I59" s="7"/>
      <c r="J59" s="7"/>
      <c r="K59" s="28"/>
    </row>
    <row r="60" spans="1:22" x14ac:dyDescent="0.25">
      <c r="A60" s="312" t="s">
        <v>231</v>
      </c>
      <c r="B60" s="313"/>
      <c r="C60" s="313"/>
      <c r="D60" s="313"/>
      <c r="E60" s="313"/>
      <c r="F60" s="313"/>
      <c r="G60" s="313"/>
      <c r="H60" s="314"/>
      <c r="I60" s="312" t="s">
        <v>168</v>
      </c>
      <c r="J60" s="313"/>
      <c r="K60" s="314"/>
    </row>
    <row r="61" spans="1:22" x14ac:dyDescent="0.25">
      <c r="A61" s="315"/>
      <c r="B61" s="316"/>
      <c r="C61" s="316"/>
      <c r="D61" s="316"/>
      <c r="E61" s="316"/>
      <c r="F61" s="316"/>
      <c r="G61" s="316"/>
      <c r="H61" s="317"/>
      <c r="I61" s="315"/>
      <c r="J61" s="316"/>
      <c r="K61" s="317"/>
      <c r="L61" s="84" t="s">
        <v>310</v>
      </c>
      <c r="M61" s="85"/>
      <c r="N61" s="85"/>
      <c r="O61" s="85"/>
      <c r="P61" s="85"/>
      <c r="Q61" s="86"/>
      <c r="R61" s="86"/>
      <c r="S61" s="86"/>
      <c r="T61" s="86"/>
      <c r="U61" s="86"/>
      <c r="V61" s="87"/>
    </row>
    <row r="62" spans="1:22" x14ac:dyDescent="0.25">
      <c r="L62" s="83" t="s">
        <v>265</v>
      </c>
      <c r="M62" s="72"/>
      <c r="N62" s="72"/>
      <c r="O62" s="72"/>
      <c r="P62" s="73"/>
      <c r="Q62" s="7"/>
      <c r="R62" s="83" t="s">
        <v>268</v>
      </c>
      <c r="S62" s="72"/>
      <c r="T62" s="72"/>
      <c r="U62" s="72"/>
      <c r="V62" s="73"/>
    </row>
    <row r="63" spans="1:22" x14ac:dyDescent="0.25">
      <c r="A63" s="66" t="s">
        <v>308</v>
      </c>
      <c r="B63" s="67"/>
      <c r="C63" s="67"/>
      <c r="D63" s="67"/>
      <c r="E63" s="67"/>
      <c r="F63" s="67"/>
      <c r="G63" s="67"/>
      <c r="H63" s="67"/>
      <c r="I63" s="67"/>
      <c r="J63" s="67"/>
      <c r="K63" s="68"/>
      <c r="L63" s="82" t="s">
        <v>263</v>
      </c>
      <c r="M63" s="354" t="s">
        <v>264</v>
      </c>
      <c r="N63" s="354"/>
      <c r="O63" s="354" t="s">
        <v>215</v>
      </c>
      <c r="P63" s="354"/>
      <c r="Q63" s="7"/>
      <c r="R63" s="354" t="s">
        <v>269</v>
      </c>
      <c r="S63" s="354" t="s">
        <v>274</v>
      </c>
      <c r="T63" s="354"/>
      <c r="U63" s="357" t="s">
        <v>279</v>
      </c>
      <c r="V63" s="357"/>
    </row>
    <row r="64" spans="1:22" x14ac:dyDescent="0.25">
      <c r="A64" s="351" t="s">
        <v>290</v>
      </c>
      <c r="B64" s="352"/>
      <c r="C64" s="353"/>
      <c r="D64" s="353"/>
      <c r="E64" s="353"/>
      <c r="F64" s="7"/>
      <c r="G64" s="363" t="s">
        <v>292</v>
      </c>
      <c r="H64" s="364"/>
      <c r="I64" s="353"/>
      <c r="J64" s="353"/>
      <c r="K64" s="353"/>
      <c r="L64" s="81">
        <v>1</v>
      </c>
      <c r="M64" s="330"/>
      <c r="N64" s="330"/>
      <c r="O64" s="330" t="str">
        <f>+IF(M64="N/A","N/A","")</f>
        <v/>
      </c>
      <c r="P64" s="330"/>
      <c r="Q64" s="7"/>
      <c r="R64" s="352"/>
      <c r="S64" s="352"/>
      <c r="T64" s="352"/>
      <c r="U64" s="351"/>
      <c r="V64" s="351"/>
    </row>
    <row r="65" spans="1:22" x14ac:dyDescent="0.25">
      <c r="A65" s="352"/>
      <c r="B65" s="352"/>
      <c r="C65" s="353"/>
      <c r="D65" s="353"/>
      <c r="E65" s="353"/>
      <c r="F65" s="7"/>
      <c r="G65" s="364"/>
      <c r="H65" s="364"/>
      <c r="I65" s="353"/>
      <c r="J65" s="353"/>
      <c r="K65" s="353"/>
      <c r="L65" s="81">
        <v>2</v>
      </c>
      <c r="M65" s="330"/>
      <c r="N65" s="330"/>
      <c r="O65" s="330"/>
      <c r="P65" s="330"/>
      <c r="Q65" s="7"/>
      <c r="R65" s="81" t="s">
        <v>270</v>
      </c>
      <c r="S65" s="358"/>
      <c r="T65" s="358"/>
      <c r="U65" s="355" t="str">
        <f>+IF('WORKCELL CONFIGURATOR'!H9="Y","","N/A")</f>
        <v/>
      </c>
      <c r="V65" s="356"/>
    </row>
    <row r="66" spans="1:22" x14ac:dyDescent="0.25">
      <c r="A66" s="351" t="s">
        <v>291</v>
      </c>
      <c r="B66" s="352"/>
      <c r="C66" s="353"/>
      <c r="D66" s="353"/>
      <c r="E66" s="353"/>
      <c r="F66" s="7"/>
      <c r="G66" s="7"/>
      <c r="H66" s="7"/>
      <c r="I66" s="7"/>
      <c r="J66" s="7"/>
      <c r="K66" s="28"/>
      <c r="L66" s="81">
        <v>3</v>
      </c>
      <c r="M66" s="330"/>
      <c r="N66" s="330"/>
      <c r="O66" s="330"/>
      <c r="P66" s="330"/>
      <c r="Q66" s="7"/>
      <c r="R66" s="81" t="s">
        <v>271</v>
      </c>
      <c r="S66" s="352"/>
      <c r="T66" s="352"/>
      <c r="U66" s="355" t="str">
        <f>+IF('WORKCELL CONFIGURATOR'!H14="Y","","N/A")</f>
        <v/>
      </c>
      <c r="V66" s="356"/>
    </row>
    <row r="67" spans="1:22" x14ac:dyDescent="0.25">
      <c r="A67" s="352"/>
      <c r="B67" s="352"/>
      <c r="C67" s="353"/>
      <c r="D67" s="353"/>
      <c r="E67" s="353"/>
      <c r="F67" s="7"/>
      <c r="G67" s="7"/>
      <c r="H67" s="7"/>
      <c r="I67" s="7"/>
      <c r="J67" s="7"/>
      <c r="K67" s="28"/>
      <c r="L67" s="152">
        <v>4</v>
      </c>
      <c r="M67" s="330"/>
      <c r="N67" s="330"/>
      <c r="O67" s="330"/>
      <c r="P67" s="330"/>
      <c r="Q67" s="7"/>
      <c r="R67" s="81" t="s">
        <v>272</v>
      </c>
      <c r="S67" s="352"/>
      <c r="T67" s="352"/>
      <c r="U67" s="70"/>
      <c r="V67" s="79"/>
    </row>
    <row r="68" spans="1:22" x14ac:dyDescent="0.25">
      <c r="A68" s="27"/>
      <c r="B68" s="7"/>
      <c r="C68" s="7"/>
      <c r="D68" s="7"/>
      <c r="E68" s="7"/>
      <c r="F68" s="7"/>
      <c r="G68" s="7"/>
      <c r="H68" s="7"/>
      <c r="I68" s="7"/>
      <c r="J68" s="7"/>
      <c r="K68" s="28"/>
      <c r="L68" s="27"/>
      <c r="M68" s="7"/>
      <c r="N68" s="7"/>
      <c r="O68" s="7"/>
      <c r="P68" s="7"/>
      <c r="Q68" s="7"/>
      <c r="R68" s="81" t="s">
        <v>273</v>
      </c>
      <c r="S68" s="353" t="str">
        <f>+IF('WORKCELL CONFIGURATOR'!H4=3,"N/A","")</f>
        <v/>
      </c>
      <c r="T68" s="353"/>
      <c r="U68" s="12"/>
      <c r="V68" s="88"/>
    </row>
    <row r="69" spans="1:22" x14ac:dyDescent="0.25">
      <c r="A69" s="54" t="s">
        <v>222</v>
      </c>
      <c r="B69" s="55" t="s">
        <v>293</v>
      </c>
      <c r="C69" s="55"/>
      <c r="D69" s="55"/>
      <c r="E69" s="7"/>
      <c r="F69" s="56" t="s">
        <v>222</v>
      </c>
      <c r="G69" s="55" t="s">
        <v>296</v>
      </c>
      <c r="H69" s="7"/>
      <c r="I69" s="55"/>
      <c r="J69" s="55"/>
      <c r="K69" s="28"/>
      <c r="L69" s="83" t="s">
        <v>266</v>
      </c>
      <c r="M69" s="72"/>
      <c r="N69" s="72"/>
      <c r="O69" s="72"/>
      <c r="P69" s="73"/>
      <c r="Q69" s="7"/>
      <c r="R69" s="218" t="s">
        <v>584</v>
      </c>
      <c r="S69" s="353" t="str">
        <f>+IF('WORKCELL CONFIGURATOR'!H5=3,"N/A","")</f>
        <v/>
      </c>
      <c r="T69" s="353"/>
      <c r="U69" s="12"/>
      <c r="V69" s="88"/>
    </row>
    <row r="70" spans="1:22" x14ac:dyDescent="0.25">
      <c r="A70" s="54"/>
      <c r="B70" s="55"/>
      <c r="C70" s="55"/>
      <c r="D70" s="55"/>
      <c r="E70" s="7"/>
      <c r="F70" s="7"/>
      <c r="G70" s="7"/>
      <c r="H70" s="7"/>
      <c r="I70" s="7"/>
      <c r="J70" s="7"/>
      <c r="K70" s="28"/>
      <c r="L70" s="82" t="s">
        <v>263</v>
      </c>
      <c r="M70" s="354" t="s">
        <v>264</v>
      </c>
      <c r="N70" s="354"/>
      <c r="O70" s="354" t="s">
        <v>215</v>
      </c>
      <c r="P70" s="354"/>
      <c r="Q70" s="7"/>
      <c r="R70" s="218" t="s">
        <v>585</v>
      </c>
      <c r="S70" s="353" t="str">
        <f>+IF('WORKCELL CONFIGURATOR'!H6=3,"N/A","")</f>
        <v/>
      </c>
      <c r="T70" s="353"/>
      <c r="U70" s="12"/>
      <c r="V70" s="88"/>
    </row>
    <row r="71" spans="1:22" x14ac:dyDescent="0.25">
      <c r="A71" s="312" t="s">
        <v>231</v>
      </c>
      <c r="B71" s="313"/>
      <c r="C71" s="313"/>
      <c r="D71" s="313"/>
      <c r="E71" s="313"/>
      <c r="F71" s="313"/>
      <c r="G71" s="313"/>
      <c r="H71" s="314"/>
      <c r="I71" s="312" t="s">
        <v>168</v>
      </c>
      <c r="J71" s="313"/>
      <c r="K71" s="314"/>
      <c r="L71" s="81">
        <v>1</v>
      </c>
      <c r="M71" s="330"/>
      <c r="N71" s="330"/>
      <c r="O71" s="330"/>
      <c r="P71" s="330"/>
      <c r="Q71" s="7"/>
      <c r="R71" s="12"/>
      <c r="S71" s="12"/>
      <c r="T71" s="12"/>
      <c r="U71" s="12"/>
      <c r="V71" s="88"/>
    </row>
    <row r="72" spans="1:22" x14ac:dyDescent="0.25">
      <c r="A72" s="315"/>
      <c r="B72" s="316"/>
      <c r="C72" s="316"/>
      <c r="D72" s="316"/>
      <c r="E72" s="316"/>
      <c r="F72" s="316"/>
      <c r="G72" s="316"/>
      <c r="H72" s="317"/>
      <c r="I72" s="315"/>
      <c r="J72" s="316"/>
      <c r="K72" s="317"/>
      <c r="L72" s="81">
        <v>2</v>
      </c>
      <c r="M72" s="330"/>
      <c r="N72" s="330"/>
      <c r="O72" s="330"/>
      <c r="P72" s="330"/>
      <c r="Q72" s="7"/>
      <c r="R72" s="7"/>
      <c r="S72" s="7"/>
      <c r="T72" s="7"/>
      <c r="U72" s="7"/>
      <c r="V72" s="28"/>
    </row>
    <row r="73" spans="1:22" x14ac:dyDescent="0.25">
      <c r="L73" s="81">
        <v>3</v>
      </c>
      <c r="M73" s="330"/>
      <c r="N73" s="330"/>
      <c r="O73" s="330"/>
      <c r="P73" s="330"/>
      <c r="Q73" s="7"/>
      <c r="R73" s="7"/>
      <c r="S73" s="7"/>
      <c r="T73" s="7"/>
      <c r="U73" s="7"/>
      <c r="V73" s="28"/>
    </row>
    <row r="74" spans="1:22" x14ac:dyDescent="0.25">
      <c r="A74" s="74" t="s">
        <v>355</v>
      </c>
      <c r="B74" s="75"/>
      <c r="C74" s="75"/>
      <c r="D74" s="75"/>
      <c r="E74" s="75"/>
      <c r="F74" s="75"/>
      <c r="G74" s="75"/>
      <c r="H74" s="75"/>
      <c r="I74" s="75"/>
      <c r="J74" s="75"/>
      <c r="K74" s="78"/>
      <c r="L74" s="152">
        <v>4</v>
      </c>
      <c r="M74" s="330"/>
      <c r="N74" s="330"/>
      <c r="O74" s="330"/>
      <c r="P74" s="330"/>
      <c r="Q74" s="7"/>
      <c r="R74" s="83" t="s">
        <v>10</v>
      </c>
      <c r="S74" s="72"/>
      <c r="T74" s="72"/>
      <c r="U74" s="72"/>
      <c r="V74" s="73"/>
    </row>
    <row r="75" spans="1:22" x14ac:dyDescent="0.25">
      <c r="A75" s="27"/>
      <c r="B75" s="7"/>
      <c r="C75" s="7"/>
      <c r="D75" s="7"/>
      <c r="E75" s="7"/>
      <c r="F75" s="7"/>
      <c r="G75" s="7"/>
      <c r="H75" s="7"/>
      <c r="I75" s="7"/>
      <c r="J75" s="7"/>
      <c r="K75" s="28"/>
      <c r="L75" s="27"/>
      <c r="M75" s="7"/>
      <c r="N75" s="7"/>
      <c r="O75" s="7"/>
      <c r="P75" s="7"/>
      <c r="Q75" s="7"/>
      <c r="R75" s="344" t="s">
        <v>294</v>
      </c>
      <c r="S75" s="344"/>
      <c r="T75" s="345" t="str">
        <f>+IF('WORKCELL CONFIGURATOR'!H35="N","N/A","")</f>
        <v/>
      </c>
      <c r="U75" s="346"/>
      <c r="V75" s="347"/>
    </row>
    <row r="76" spans="1:22" x14ac:dyDescent="0.25">
      <c r="A76" s="54" t="s">
        <v>222</v>
      </c>
      <c r="B76" s="55" t="s">
        <v>287</v>
      </c>
      <c r="C76" s="55"/>
      <c r="D76" s="55"/>
      <c r="E76" s="55"/>
      <c r="F76" s="56" t="s">
        <v>222</v>
      </c>
      <c r="G76" s="70" t="s">
        <v>286</v>
      </c>
      <c r="H76" s="7"/>
      <c r="I76" s="70"/>
      <c r="J76" s="7"/>
      <c r="K76" s="28"/>
      <c r="L76" s="83" t="s">
        <v>267</v>
      </c>
      <c r="M76" s="72"/>
      <c r="N76" s="72"/>
      <c r="O76" s="72"/>
      <c r="P76" s="73"/>
      <c r="Q76" s="7"/>
      <c r="R76" s="344"/>
      <c r="S76" s="344"/>
      <c r="T76" s="348"/>
      <c r="U76" s="349"/>
      <c r="V76" s="350"/>
    </row>
    <row r="77" spans="1:22" x14ac:dyDescent="0.25">
      <c r="A77" s="54" t="s">
        <v>222</v>
      </c>
      <c r="B77" s="55" t="s">
        <v>304</v>
      </c>
      <c r="C77" s="55"/>
      <c r="D77" s="55"/>
      <c r="E77" s="55"/>
      <c r="F77" s="54"/>
      <c r="G77" s="55"/>
      <c r="H77" s="55"/>
      <c r="I77" s="55"/>
      <c r="J77" s="7"/>
      <c r="K77" s="79"/>
      <c r="L77" s="82" t="s">
        <v>187</v>
      </c>
      <c r="M77" s="359" t="s">
        <v>215</v>
      </c>
      <c r="N77" s="359"/>
      <c r="O77" s="359"/>
      <c r="P77" s="359"/>
      <c r="Q77" s="7"/>
      <c r="R77" s="344" t="s">
        <v>295</v>
      </c>
      <c r="S77" s="344"/>
      <c r="T77" s="345" t="str">
        <f>+IF('WORKCELL CONFIGURATOR'!H35="N","N/A","")</f>
        <v/>
      </c>
      <c r="U77" s="346"/>
      <c r="V77" s="347"/>
    </row>
    <row r="78" spans="1:22" x14ac:dyDescent="0.25">
      <c r="A78" s="27"/>
      <c r="B78" s="7"/>
      <c r="C78" s="7"/>
      <c r="D78" s="7"/>
      <c r="E78" s="7"/>
      <c r="F78" s="7"/>
      <c r="G78" s="7"/>
      <c r="H78" s="7"/>
      <c r="I78" s="7"/>
      <c r="J78" s="70"/>
      <c r="K78" s="28"/>
      <c r="L78" s="81"/>
      <c r="M78" s="352"/>
      <c r="N78" s="352"/>
      <c r="O78" s="352"/>
      <c r="P78" s="352"/>
      <c r="Q78" s="33"/>
      <c r="R78" s="344"/>
      <c r="S78" s="344"/>
      <c r="T78" s="348"/>
      <c r="U78" s="349"/>
      <c r="V78" s="350"/>
    </row>
    <row r="79" spans="1:22" x14ac:dyDescent="0.25">
      <c r="A79" s="312" t="s">
        <v>231</v>
      </c>
      <c r="B79" s="313"/>
      <c r="C79" s="313"/>
      <c r="D79" s="313"/>
      <c r="E79" s="313"/>
      <c r="F79" s="313"/>
      <c r="G79" s="313"/>
      <c r="H79" s="314"/>
      <c r="I79" s="312" t="s">
        <v>168</v>
      </c>
      <c r="J79" s="313"/>
      <c r="K79" s="314"/>
    </row>
    <row r="80" spans="1:22" x14ac:dyDescent="0.25">
      <c r="A80" s="315"/>
      <c r="B80" s="316"/>
      <c r="C80" s="316"/>
      <c r="D80" s="316"/>
      <c r="E80" s="316"/>
      <c r="F80" s="316"/>
      <c r="G80" s="316"/>
      <c r="H80" s="317"/>
      <c r="I80" s="315"/>
      <c r="J80" s="316"/>
      <c r="K80" s="317"/>
    </row>
    <row r="94" spans="1:22" x14ac:dyDescent="0.25">
      <c r="A94" s="53" t="s">
        <v>486</v>
      </c>
      <c r="B94" s="51"/>
      <c r="C94" s="51"/>
      <c r="D94" s="51"/>
      <c r="E94" s="51"/>
      <c r="F94" s="51"/>
      <c r="G94" s="51"/>
      <c r="H94" s="51"/>
      <c r="I94" s="51"/>
      <c r="J94" s="51"/>
      <c r="K94" s="52" t="s">
        <v>216</v>
      </c>
      <c r="L94" s="53" t="s">
        <v>586</v>
      </c>
      <c r="M94" s="51"/>
      <c r="N94" s="51"/>
      <c r="O94" s="51"/>
      <c r="P94" s="51"/>
      <c r="Q94" s="51"/>
      <c r="R94" s="51"/>
      <c r="S94" s="51"/>
      <c r="T94" s="51"/>
      <c r="U94" s="51"/>
      <c r="V94" s="52"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27"/>
  <sheetViews>
    <sheetView tabSelected="1" workbookViewId="0">
      <selection activeCell="H29" sqref="H29"/>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0" t="s">
        <v>317</v>
      </c>
      <c r="B1" s="90"/>
      <c r="C1" s="90"/>
      <c r="D1" s="90"/>
      <c r="E1" s="90"/>
      <c r="F1" s="90"/>
      <c r="G1" s="90"/>
      <c r="H1" s="90"/>
      <c r="I1" s="91"/>
      <c r="J1" s="90"/>
      <c r="K1" s="90"/>
    </row>
    <row r="2" spans="1:11" ht="15.75" thickTop="1" x14ac:dyDescent="0.25"/>
    <row r="3" spans="1:11" ht="30" x14ac:dyDescent="0.25">
      <c r="A3" s="3" t="s">
        <v>331</v>
      </c>
      <c r="B3" s="3" t="s">
        <v>215</v>
      </c>
      <c r="C3" s="3" t="s">
        <v>212</v>
      </c>
      <c r="D3" s="3" t="s">
        <v>590</v>
      </c>
      <c r="E3" s="3" t="s">
        <v>218</v>
      </c>
      <c r="F3" s="3" t="s">
        <v>12</v>
      </c>
      <c r="G3" s="3" t="s">
        <v>318</v>
      </c>
      <c r="H3" s="8"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2">
        <f ca="1">+TODAY()</f>
        <v>42787</v>
      </c>
      <c r="F4" s="3" t="str">
        <f>+IF('WORKCELL CONFIGURATOR'!H5=Data!C5,"200-240V","100-120V")</f>
        <v>100-120V</v>
      </c>
      <c r="G4" s="3" t="s">
        <v>324</v>
      </c>
      <c r="H4" s="3" t="s">
        <v>325</v>
      </c>
      <c r="I4" s="3" t="s">
        <v>326</v>
      </c>
      <c r="J4" s="3" t="s">
        <v>327</v>
      </c>
      <c r="K4" s="3" t="s">
        <v>328</v>
      </c>
    </row>
    <row r="16" spans="1:11" ht="20.25" thickBot="1" x14ac:dyDescent="0.35">
      <c r="A16" s="90" t="s">
        <v>511</v>
      </c>
      <c r="B16" s="90"/>
      <c r="C16" s="90"/>
      <c r="D16" s="90"/>
      <c r="E16" s="90"/>
      <c r="F16" s="90"/>
      <c r="G16" s="90"/>
      <c r="H16" s="90"/>
      <c r="I16" s="91"/>
      <c r="J16" s="90"/>
      <c r="K16" s="90"/>
    </row>
    <row r="17" spans="1:11" ht="15.75" thickTop="1" x14ac:dyDescent="0.25"/>
    <row r="26" spans="1:11" ht="20.25" thickBot="1" x14ac:dyDescent="0.35">
      <c r="A26" s="90" t="s">
        <v>669</v>
      </c>
      <c r="B26" s="90"/>
      <c r="C26" s="90"/>
      <c r="D26" s="90"/>
      <c r="E26" s="90"/>
      <c r="F26" s="90"/>
      <c r="G26" s="90"/>
      <c r="H26" s="90"/>
      <c r="I26" s="91"/>
      <c r="J26" s="90"/>
      <c r="K26" s="90"/>
    </row>
    <row r="27" spans="1:11"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mc:AlternateContent xmlns:mc="http://schemas.openxmlformats.org/markup-compatibility/2006">
      <mc:Choice Requires="x14">
        <control shapeId="3075" r:id="rId7" name="Button 3">
          <controlPr defaultSize="0" print="0" autoFill="0" autoPict="0" macro="[0]!Sheet10.Create_Dated_Folder">
            <anchor moveWithCells="1" sizeWithCells="1">
              <from>
                <xdr:col>3</xdr:col>
                <xdr:colOff>0</xdr:colOff>
                <xdr:row>28</xdr:row>
                <xdr:rowOff>85725</xdr:rowOff>
              </from>
              <to>
                <xdr:col>6</xdr:col>
                <xdr:colOff>57150</xdr:colOff>
                <xdr:row>30</xdr:row>
                <xdr:rowOff>28575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7" t="s">
        <v>99</v>
      </c>
      <c r="B1" s="18" t="s">
        <v>105</v>
      </c>
      <c r="C1" s="17" t="s">
        <v>18</v>
      </c>
      <c r="D1" s="19" t="s">
        <v>19</v>
      </c>
      <c r="E1" s="17" t="s">
        <v>98</v>
      </c>
      <c r="F1" s="17" t="s">
        <v>577</v>
      </c>
      <c r="G1" s="17" t="s">
        <v>20</v>
      </c>
    </row>
    <row r="2" spans="1:7" ht="15.75" thickTop="1" x14ac:dyDescent="0.25">
      <c r="A2" s="6" t="s">
        <v>21</v>
      </c>
      <c r="B2" s="6" t="s">
        <v>21</v>
      </c>
      <c r="C2" s="6" t="s">
        <v>21</v>
      </c>
      <c r="D2" s="13" t="s">
        <v>22</v>
      </c>
      <c r="E2" t="s">
        <v>23</v>
      </c>
      <c r="G2" s="6"/>
    </row>
    <row r="3" spans="1:7" x14ac:dyDescent="0.25">
      <c r="A3" s="6" t="s">
        <v>25</v>
      </c>
      <c r="B3" s="6" t="s">
        <v>102</v>
      </c>
      <c r="C3" s="6" t="s">
        <v>21</v>
      </c>
      <c r="D3" s="13" t="s">
        <v>24</v>
      </c>
      <c r="E3" t="s">
        <v>23</v>
      </c>
      <c r="G3" s="6"/>
    </row>
    <row r="4" spans="1:7" x14ac:dyDescent="0.25">
      <c r="A4" s="6" t="s">
        <v>37</v>
      </c>
      <c r="B4" s="6" t="s">
        <v>37</v>
      </c>
      <c r="C4" s="6" t="s">
        <v>21</v>
      </c>
      <c r="D4" s="13" t="s">
        <v>100</v>
      </c>
      <c r="G4" s="6"/>
    </row>
    <row r="5" spans="1:7" x14ac:dyDescent="0.25">
      <c r="A5" s="6" t="s">
        <v>101</v>
      </c>
      <c r="B5" s="6" t="s">
        <v>103</v>
      </c>
      <c r="C5" s="6" t="s">
        <v>25</v>
      </c>
      <c r="D5" s="13" t="s">
        <v>26</v>
      </c>
      <c r="E5" t="s">
        <v>27</v>
      </c>
      <c r="G5" s="6"/>
    </row>
    <row r="6" spans="1:7" x14ac:dyDescent="0.25">
      <c r="A6" s="6" t="s">
        <v>50</v>
      </c>
      <c r="B6" s="6" t="s">
        <v>50</v>
      </c>
      <c r="C6" s="6" t="s">
        <v>25</v>
      </c>
      <c r="D6" s="13" t="s">
        <v>28</v>
      </c>
      <c r="E6" t="s">
        <v>27</v>
      </c>
      <c r="G6" s="6"/>
    </row>
    <row r="7" spans="1:7" x14ac:dyDescent="0.25">
      <c r="A7" s="6" t="s">
        <v>57</v>
      </c>
      <c r="B7" s="6" t="s">
        <v>104</v>
      </c>
      <c r="C7" s="6" t="s">
        <v>25</v>
      </c>
      <c r="D7" s="13" t="s">
        <v>29</v>
      </c>
      <c r="E7" t="s">
        <v>27</v>
      </c>
      <c r="G7" s="6"/>
    </row>
    <row r="8" spans="1:7" x14ac:dyDescent="0.25">
      <c r="A8" t="s">
        <v>60</v>
      </c>
      <c r="B8" t="s">
        <v>60</v>
      </c>
      <c r="C8" s="6" t="s">
        <v>25</v>
      </c>
      <c r="D8" s="13" t="s">
        <v>30</v>
      </c>
      <c r="E8" t="s">
        <v>27</v>
      </c>
      <c r="G8" s="6"/>
    </row>
    <row r="9" spans="1:7" x14ac:dyDescent="0.25">
      <c r="A9" t="s">
        <v>88</v>
      </c>
      <c r="B9" t="s">
        <v>88</v>
      </c>
      <c r="C9" s="6" t="s">
        <v>25</v>
      </c>
      <c r="D9" s="13" t="s">
        <v>31</v>
      </c>
      <c r="E9" t="s">
        <v>32</v>
      </c>
      <c r="G9" s="6" t="s">
        <v>33</v>
      </c>
    </row>
    <row r="10" spans="1:7" x14ac:dyDescent="0.25">
      <c r="A10" t="s">
        <v>100</v>
      </c>
      <c r="B10" t="s">
        <v>100</v>
      </c>
      <c r="C10" s="6" t="s">
        <v>25</v>
      </c>
      <c r="D10" s="13" t="s">
        <v>34</v>
      </c>
      <c r="E10" t="s">
        <v>27</v>
      </c>
      <c r="G10" s="6" t="s">
        <v>35</v>
      </c>
    </row>
    <row r="11" spans="1:7" x14ac:dyDescent="0.25">
      <c r="A11" s="6"/>
      <c r="B11" s="6"/>
      <c r="C11" s="6" t="s">
        <v>25</v>
      </c>
      <c r="D11" s="13" t="s">
        <v>36</v>
      </c>
      <c r="E11" t="s">
        <v>27</v>
      </c>
      <c r="G11" s="6" t="s">
        <v>35</v>
      </c>
    </row>
    <row r="12" spans="1:7" x14ac:dyDescent="0.25">
      <c r="B12" s="6"/>
      <c r="C12" s="6" t="s">
        <v>25</v>
      </c>
      <c r="D12" s="13" t="s">
        <v>100</v>
      </c>
      <c r="G12" s="6"/>
    </row>
    <row r="13" spans="1:7" x14ac:dyDescent="0.25">
      <c r="C13" s="6" t="s">
        <v>37</v>
      </c>
      <c r="D13" s="13" t="s">
        <v>38</v>
      </c>
      <c r="E13" t="s">
        <v>27</v>
      </c>
      <c r="G13" s="6"/>
    </row>
    <row r="14" spans="1:7" x14ac:dyDescent="0.25">
      <c r="B14" s="6"/>
      <c r="C14" s="6" t="s">
        <v>37</v>
      </c>
      <c r="D14" s="13" t="s">
        <v>39</v>
      </c>
      <c r="E14" t="s">
        <v>27</v>
      </c>
      <c r="G14" s="6"/>
    </row>
    <row r="15" spans="1:7" x14ac:dyDescent="0.25">
      <c r="B15" s="6"/>
      <c r="C15" s="6" t="s">
        <v>37</v>
      </c>
      <c r="D15" s="13" t="s">
        <v>40</v>
      </c>
      <c r="E15" t="s">
        <v>27</v>
      </c>
      <c r="G15" s="6"/>
    </row>
    <row r="16" spans="1:7" x14ac:dyDescent="0.25">
      <c r="B16" s="6"/>
      <c r="C16" s="6" t="s">
        <v>37</v>
      </c>
      <c r="D16" s="13" t="s">
        <v>41</v>
      </c>
      <c r="E16" t="s">
        <v>27</v>
      </c>
      <c r="G16" s="6"/>
    </row>
    <row r="17" spans="1:7" x14ac:dyDescent="0.25">
      <c r="B17" s="6"/>
      <c r="C17" s="6" t="s">
        <v>37</v>
      </c>
      <c r="D17" s="13" t="s">
        <v>42</v>
      </c>
      <c r="E17" t="s">
        <v>27</v>
      </c>
      <c r="G17" s="6"/>
    </row>
    <row r="18" spans="1:7" x14ac:dyDescent="0.25">
      <c r="A18" s="6"/>
      <c r="B18" s="6"/>
      <c r="C18" s="6" t="s">
        <v>37</v>
      </c>
      <c r="D18" s="13" t="s">
        <v>43</v>
      </c>
      <c r="E18" t="s">
        <v>27</v>
      </c>
      <c r="G18" s="6"/>
    </row>
    <row r="19" spans="1:7" x14ac:dyDescent="0.25">
      <c r="B19" s="6"/>
      <c r="C19" s="6" t="s">
        <v>37</v>
      </c>
      <c r="D19" s="13" t="s">
        <v>44</v>
      </c>
      <c r="E19" t="s">
        <v>27</v>
      </c>
      <c r="G19" s="6"/>
    </row>
    <row r="20" spans="1:7" x14ac:dyDescent="0.25">
      <c r="B20" s="6"/>
      <c r="C20" s="6" t="s">
        <v>37</v>
      </c>
      <c r="D20" s="13" t="s">
        <v>100</v>
      </c>
      <c r="G20" s="6"/>
    </row>
    <row r="21" spans="1:7" x14ac:dyDescent="0.25">
      <c r="C21" s="6" t="s">
        <v>101</v>
      </c>
      <c r="D21" s="13" t="s">
        <v>45</v>
      </c>
      <c r="E21" t="s">
        <v>23</v>
      </c>
      <c r="G21" s="6"/>
    </row>
    <row r="22" spans="1:7" x14ac:dyDescent="0.25">
      <c r="B22" s="6"/>
      <c r="C22" s="6" t="s">
        <v>101</v>
      </c>
      <c r="D22" s="13" t="s">
        <v>46</v>
      </c>
      <c r="E22" t="s">
        <v>23</v>
      </c>
      <c r="G22" s="6"/>
    </row>
    <row r="23" spans="1:7" x14ac:dyDescent="0.25">
      <c r="A23" s="6"/>
      <c r="B23" s="6"/>
      <c r="C23" s="6" t="s">
        <v>101</v>
      </c>
      <c r="D23" s="13" t="s">
        <v>47</v>
      </c>
      <c r="E23" t="s">
        <v>23</v>
      </c>
      <c r="G23" s="6"/>
    </row>
    <row r="24" spans="1:7" x14ac:dyDescent="0.25">
      <c r="B24" s="6"/>
      <c r="C24" s="6" t="s">
        <v>101</v>
      </c>
      <c r="D24" s="13" t="s">
        <v>48</v>
      </c>
      <c r="E24" t="s">
        <v>23</v>
      </c>
      <c r="G24" s="6"/>
    </row>
    <row r="25" spans="1:7" x14ac:dyDescent="0.25">
      <c r="B25" s="6"/>
      <c r="C25" s="6" t="s">
        <v>101</v>
      </c>
      <c r="D25" s="13" t="s">
        <v>49</v>
      </c>
      <c r="E25" t="s">
        <v>23</v>
      </c>
      <c r="G25" s="6"/>
    </row>
    <row r="26" spans="1:7" x14ac:dyDescent="0.25">
      <c r="B26" s="6"/>
      <c r="C26" s="6" t="s">
        <v>101</v>
      </c>
      <c r="D26" s="13" t="s">
        <v>100</v>
      </c>
      <c r="G26" s="6"/>
    </row>
    <row r="27" spans="1:7" x14ac:dyDescent="0.25">
      <c r="C27" s="6" t="s">
        <v>50</v>
      </c>
      <c r="D27" s="13" t="s">
        <v>51</v>
      </c>
      <c r="E27" t="s">
        <v>23</v>
      </c>
      <c r="G27" s="6"/>
    </row>
    <row r="28" spans="1:7" x14ac:dyDescent="0.25">
      <c r="B28" s="6"/>
      <c r="C28" s="6" t="s">
        <v>50</v>
      </c>
      <c r="D28" s="13" t="s">
        <v>52</v>
      </c>
      <c r="E28" t="s">
        <v>23</v>
      </c>
      <c r="G28" s="6"/>
    </row>
    <row r="29" spans="1:7" x14ac:dyDescent="0.25">
      <c r="A29" s="6"/>
      <c r="B29" s="6"/>
      <c r="C29" s="6" t="s">
        <v>50</v>
      </c>
      <c r="D29" s="13" t="s">
        <v>53</v>
      </c>
      <c r="E29" t="s">
        <v>27</v>
      </c>
      <c r="G29" s="6"/>
    </row>
    <row r="30" spans="1:7" x14ac:dyDescent="0.25">
      <c r="B30" s="6"/>
      <c r="C30" s="6" t="s">
        <v>50</v>
      </c>
      <c r="D30" s="13" t="s">
        <v>54</v>
      </c>
      <c r="E30" t="s">
        <v>23</v>
      </c>
      <c r="G30" s="6"/>
    </row>
    <row r="31" spans="1:7" x14ac:dyDescent="0.25">
      <c r="B31" s="6"/>
      <c r="C31" s="6" t="s">
        <v>50</v>
      </c>
      <c r="D31" s="13" t="s">
        <v>55</v>
      </c>
      <c r="E31" t="s">
        <v>27</v>
      </c>
      <c r="G31" s="6"/>
    </row>
    <row r="32" spans="1:7" x14ac:dyDescent="0.25">
      <c r="B32" s="6"/>
      <c r="C32" s="6" t="s">
        <v>50</v>
      </c>
      <c r="D32" s="13" t="s">
        <v>56</v>
      </c>
      <c r="E32" t="s">
        <v>27</v>
      </c>
      <c r="G32" s="6"/>
    </row>
    <row r="33" spans="2:7" x14ac:dyDescent="0.25">
      <c r="B33" s="6"/>
      <c r="C33" s="6" t="s">
        <v>50</v>
      </c>
      <c r="D33" s="13" t="s">
        <v>206</v>
      </c>
      <c r="E33" t="s">
        <v>27</v>
      </c>
      <c r="G33" s="6"/>
    </row>
    <row r="34" spans="2:7" x14ac:dyDescent="0.25">
      <c r="B34" s="6"/>
      <c r="C34" s="6" t="s">
        <v>50</v>
      </c>
      <c r="D34" s="13" t="s">
        <v>100</v>
      </c>
      <c r="G34" s="6"/>
    </row>
    <row r="35" spans="2:7" x14ac:dyDescent="0.25">
      <c r="C35" s="6" t="s">
        <v>57</v>
      </c>
      <c r="D35" s="14">
        <v>5293</v>
      </c>
      <c r="E35" t="s">
        <v>27</v>
      </c>
      <c r="G35" s="6"/>
    </row>
    <row r="36" spans="2:7" x14ac:dyDescent="0.25">
      <c r="B36" s="6"/>
      <c r="C36" s="6" t="s">
        <v>57</v>
      </c>
      <c r="D36" s="13" t="s">
        <v>58</v>
      </c>
      <c r="E36" t="s">
        <v>27</v>
      </c>
      <c r="G36" s="6"/>
    </row>
    <row r="37" spans="2:7" x14ac:dyDescent="0.25">
      <c r="B37" s="6"/>
      <c r="C37" s="6" t="s">
        <v>57</v>
      </c>
      <c r="D37" s="13" t="s">
        <v>59</v>
      </c>
      <c r="E37" t="s">
        <v>27</v>
      </c>
      <c r="G37" s="6"/>
    </row>
    <row r="38" spans="2:7" x14ac:dyDescent="0.25">
      <c r="B38" s="6"/>
      <c r="C38" s="6" t="s">
        <v>57</v>
      </c>
      <c r="D38" s="13" t="s">
        <v>100</v>
      </c>
      <c r="G38" s="6"/>
    </row>
    <row r="39" spans="2:7" x14ac:dyDescent="0.25">
      <c r="C39" t="s">
        <v>60</v>
      </c>
      <c r="D39" s="15" t="s">
        <v>61</v>
      </c>
      <c r="E39" t="s">
        <v>23</v>
      </c>
    </row>
    <row r="40" spans="2:7" x14ac:dyDescent="0.25">
      <c r="C40" t="s">
        <v>60</v>
      </c>
      <c r="D40" s="15" t="s">
        <v>62</v>
      </c>
      <c r="E40" t="s">
        <v>23</v>
      </c>
    </row>
    <row r="41" spans="2:7" x14ac:dyDescent="0.25">
      <c r="C41" t="s">
        <v>60</v>
      </c>
      <c r="D41" s="15" t="s">
        <v>63</v>
      </c>
      <c r="E41" t="s">
        <v>23</v>
      </c>
    </row>
    <row r="42" spans="2:7" x14ac:dyDescent="0.25">
      <c r="C42" t="s">
        <v>60</v>
      </c>
      <c r="D42" s="15" t="s">
        <v>64</v>
      </c>
      <c r="E42" t="s">
        <v>32</v>
      </c>
      <c r="G42" t="s">
        <v>65</v>
      </c>
    </row>
    <row r="43" spans="2:7" x14ac:dyDescent="0.25">
      <c r="C43" t="s">
        <v>60</v>
      </c>
      <c r="D43" s="16" t="s">
        <v>66</v>
      </c>
      <c r="E43" t="s">
        <v>67</v>
      </c>
    </row>
    <row r="44" spans="2:7" x14ac:dyDescent="0.25">
      <c r="C44" t="s">
        <v>60</v>
      </c>
      <c r="D44" s="16" t="s">
        <v>68</v>
      </c>
      <c r="E44" t="s">
        <v>32</v>
      </c>
      <c r="G44" t="s">
        <v>69</v>
      </c>
    </row>
    <row r="45" spans="2:7" x14ac:dyDescent="0.25">
      <c r="C45" t="s">
        <v>60</v>
      </c>
      <c r="D45" s="16" t="s">
        <v>70</v>
      </c>
      <c r="E45" t="s">
        <v>67</v>
      </c>
    </row>
    <row r="46" spans="2:7" x14ac:dyDescent="0.25">
      <c r="C46" t="s">
        <v>60</v>
      </c>
      <c r="D46" s="16" t="s">
        <v>71</v>
      </c>
      <c r="E46" t="s">
        <v>67</v>
      </c>
    </row>
    <row r="47" spans="2:7" x14ac:dyDescent="0.25">
      <c r="C47" t="s">
        <v>60</v>
      </c>
      <c r="D47" s="16" t="s">
        <v>72</v>
      </c>
      <c r="E47" t="s">
        <v>67</v>
      </c>
    </row>
    <row r="48" spans="2:7" x14ac:dyDescent="0.25">
      <c r="C48" t="s">
        <v>60</v>
      </c>
      <c r="D48" s="16" t="s">
        <v>73</v>
      </c>
      <c r="E48" t="s">
        <v>67</v>
      </c>
    </row>
    <row r="49" spans="3:7" x14ac:dyDescent="0.25">
      <c r="C49" t="s">
        <v>60</v>
      </c>
      <c r="D49" s="16" t="s">
        <v>74</v>
      </c>
      <c r="E49" t="s">
        <v>67</v>
      </c>
    </row>
    <row r="50" spans="3:7" x14ac:dyDescent="0.25">
      <c r="C50" t="s">
        <v>60</v>
      </c>
      <c r="D50" s="16" t="s">
        <v>75</v>
      </c>
      <c r="E50" t="s">
        <v>76</v>
      </c>
      <c r="G50" t="s">
        <v>69</v>
      </c>
    </row>
    <row r="51" spans="3:7" x14ac:dyDescent="0.25">
      <c r="C51" t="s">
        <v>60</v>
      </c>
      <c r="D51" s="15" t="s">
        <v>77</v>
      </c>
      <c r="E51" t="s">
        <v>23</v>
      </c>
    </row>
    <row r="52" spans="3:7" x14ac:dyDescent="0.25">
      <c r="C52" t="s">
        <v>60</v>
      </c>
      <c r="D52" s="15" t="s">
        <v>78</v>
      </c>
      <c r="E52" t="s">
        <v>23</v>
      </c>
    </row>
    <row r="53" spans="3:7" x14ac:dyDescent="0.25">
      <c r="C53" t="s">
        <v>60</v>
      </c>
      <c r="D53" s="15" t="s">
        <v>79</v>
      </c>
      <c r="E53" t="s">
        <v>27</v>
      </c>
    </row>
    <row r="54" spans="3:7" x14ac:dyDescent="0.25">
      <c r="C54" t="s">
        <v>60</v>
      </c>
      <c r="D54" s="15" t="s">
        <v>80</v>
      </c>
      <c r="E54" t="s">
        <v>27</v>
      </c>
      <c r="G54" t="s">
        <v>81</v>
      </c>
    </row>
    <row r="55" spans="3:7" x14ac:dyDescent="0.25">
      <c r="C55" t="s">
        <v>60</v>
      </c>
      <c r="D55" s="15" t="s">
        <v>82</v>
      </c>
      <c r="E55" t="s">
        <v>27</v>
      </c>
      <c r="G55" t="s">
        <v>83</v>
      </c>
    </row>
    <row r="56" spans="3:7" x14ac:dyDescent="0.25">
      <c r="C56" t="s">
        <v>60</v>
      </c>
      <c r="D56" s="15" t="s">
        <v>84</v>
      </c>
      <c r="E56" t="s">
        <v>27</v>
      </c>
    </row>
    <row r="57" spans="3:7" x14ac:dyDescent="0.25">
      <c r="C57" t="s">
        <v>60</v>
      </c>
      <c r="D57" s="15" t="s">
        <v>85</v>
      </c>
      <c r="E57" t="s">
        <v>32</v>
      </c>
      <c r="G57" t="s">
        <v>69</v>
      </c>
    </row>
    <row r="58" spans="3:7" x14ac:dyDescent="0.25">
      <c r="C58" t="s">
        <v>60</v>
      </c>
      <c r="D58" s="15" t="s">
        <v>86</v>
      </c>
      <c r="E58" t="s">
        <v>27</v>
      </c>
    </row>
    <row r="59" spans="3:7" x14ac:dyDescent="0.25">
      <c r="C59" t="s">
        <v>60</v>
      </c>
      <c r="D59" s="15" t="s">
        <v>87</v>
      </c>
      <c r="E59" t="s">
        <v>27</v>
      </c>
    </row>
    <row r="60" spans="3:7" x14ac:dyDescent="0.25">
      <c r="C60" t="s">
        <v>60</v>
      </c>
      <c r="D60" s="15" t="s">
        <v>100</v>
      </c>
    </row>
    <row r="61" spans="3:7" x14ac:dyDescent="0.25">
      <c r="C61" t="s">
        <v>88</v>
      </c>
      <c r="D61" s="16" t="s">
        <v>89</v>
      </c>
      <c r="E61" t="s">
        <v>23</v>
      </c>
    </row>
    <row r="62" spans="3:7" x14ac:dyDescent="0.25">
      <c r="C62" t="s">
        <v>88</v>
      </c>
      <c r="D62" s="16" t="s">
        <v>90</v>
      </c>
      <c r="E62" t="s">
        <v>23</v>
      </c>
    </row>
    <row r="63" spans="3:7" x14ac:dyDescent="0.25">
      <c r="C63" t="s">
        <v>88</v>
      </c>
      <c r="D63" s="16" t="s">
        <v>91</v>
      </c>
      <c r="E63" t="s">
        <v>27</v>
      </c>
    </row>
    <row r="64" spans="3:7" x14ac:dyDescent="0.25">
      <c r="C64" t="s">
        <v>88</v>
      </c>
      <c r="D64" s="16" t="s">
        <v>92</v>
      </c>
      <c r="E64" t="s">
        <v>23</v>
      </c>
    </row>
    <row r="65" spans="3:7" x14ac:dyDescent="0.25">
      <c r="C65" t="s">
        <v>88</v>
      </c>
      <c r="D65" s="16" t="s">
        <v>93</v>
      </c>
      <c r="E65" t="s">
        <v>76</v>
      </c>
      <c r="G65" t="s">
        <v>69</v>
      </c>
    </row>
    <row r="66" spans="3:7" x14ac:dyDescent="0.25">
      <c r="C66" t="s">
        <v>88</v>
      </c>
      <c r="D66" s="16" t="s">
        <v>94</v>
      </c>
      <c r="E66" t="s">
        <v>23</v>
      </c>
    </row>
    <row r="67" spans="3:7" x14ac:dyDescent="0.25">
      <c r="C67" t="s">
        <v>88</v>
      </c>
      <c r="D67" s="16" t="s">
        <v>95</v>
      </c>
      <c r="E67" t="s">
        <v>27</v>
      </c>
    </row>
    <row r="68" spans="3:7" x14ac:dyDescent="0.25">
      <c r="C68" t="s">
        <v>88</v>
      </c>
      <c r="D68" s="16" t="s">
        <v>96</v>
      </c>
      <c r="E68" t="s">
        <v>27</v>
      </c>
    </row>
    <row r="69" spans="3:7" x14ac:dyDescent="0.25">
      <c r="C69" t="s">
        <v>88</v>
      </c>
      <c r="D69" s="16" t="s">
        <v>97</v>
      </c>
      <c r="E69" t="s">
        <v>27</v>
      </c>
    </row>
    <row r="70" spans="3:7" x14ac:dyDescent="0.25">
      <c r="C70" t="s">
        <v>88</v>
      </c>
      <c r="D70" s="16" t="s">
        <v>100</v>
      </c>
    </row>
    <row r="71" spans="3:7" x14ac:dyDescent="0.25">
      <c r="C71" t="s">
        <v>100</v>
      </c>
      <c r="D71" s="16"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03" t="s">
        <v>492</v>
      </c>
      <c r="B1" s="203"/>
      <c r="C1" s="203"/>
      <c r="D1" s="203"/>
      <c r="E1" s="203"/>
      <c r="F1" s="203"/>
      <c r="G1" s="203"/>
      <c r="H1" s="203"/>
      <c r="I1" s="203"/>
      <c r="J1" s="203"/>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0" t="s">
        <v>497</v>
      </c>
      <c r="J4" s="3" t="s">
        <v>544</v>
      </c>
    </row>
    <row r="5" spans="1:10" x14ac:dyDescent="0.25">
      <c r="A5" s="3" t="s">
        <v>407</v>
      </c>
      <c r="B5" s="3" t="s">
        <v>17</v>
      </c>
      <c r="C5" s="3" t="s">
        <v>643</v>
      </c>
      <c r="D5" s="20" t="str">
        <f>+MENU!B82</f>
        <v>12oz Cartridge Retainer - Solvent</v>
      </c>
      <c r="E5" s="3" t="s">
        <v>357</v>
      </c>
      <c r="I5" s="170" t="s">
        <v>499</v>
      </c>
      <c r="J5" s="3" t="s">
        <v>543</v>
      </c>
    </row>
    <row r="6" spans="1:10" x14ac:dyDescent="0.25">
      <c r="D6" s="3" t="str">
        <f>+MENU!B83</f>
        <v>2 Gallon Flip Top Pressure Tank - Solvent</v>
      </c>
      <c r="E6" s="3" t="s">
        <v>358</v>
      </c>
      <c r="I6" s="170" t="s">
        <v>496</v>
      </c>
      <c r="J6" s="3" t="s">
        <v>545</v>
      </c>
    </row>
    <row r="7" spans="1:10" x14ac:dyDescent="0.25">
      <c r="A7" s="3" t="s">
        <v>565</v>
      </c>
      <c r="I7" s="170" t="s">
        <v>500</v>
      </c>
      <c r="J7" s="4" t="s">
        <v>548</v>
      </c>
    </row>
    <row r="8" spans="1:10" x14ac:dyDescent="0.25">
      <c r="A8" s="3" t="s">
        <v>407</v>
      </c>
      <c r="I8" s="170" t="s">
        <v>498</v>
      </c>
      <c r="J8" s="4" t="s">
        <v>547</v>
      </c>
    </row>
    <row r="9" spans="1:10" x14ac:dyDescent="0.25">
      <c r="I9" s="9" t="s">
        <v>502</v>
      </c>
      <c r="J9" s="3" t="s">
        <v>546</v>
      </c>
    </row>
    <row r="10" spans="1:10" x14ac:dyDescent="0.25">
      <c r="I10" s="170" t="s">
        <v>538</v>
      </c>
      <c r="J10" s="3" t="s">
        <v>6</v>
      </c>
    </row>
    <row r="11" spans="1:10" x14ac:dyDescent="0.25">
      <c r="B11" s="267" t="s">
        <v>464</v>
      </c>
      <c r="C11" s="267"/>
      <c r="E11" s="267" t="s">
        <v>465</v>
      </c>
      <c r="F11" s="267"/>
      <c r="I11" s="170" t="s">
        <v>501</v>
      </c>
    </row>
    <row r="12" spans="1:10" x14ac:dyDescent="0.25">
      <c r="E12" s="135"/>
      <c r="F12" s="135"/>
      <c r="I12" s="9" t="s">
        <v>503</v>
      </c>
    </row>
    <row r="13" spans="1:10" x14ac:dyDescent="0.25">
      <c r="B13" s="131" t="str">
        <f>+MENU!B4</f>
        <v>Delta 6</v>
      </c>
      <c r="C13" s="3">
        <v>6</v>
      </c>
      <c r="E13" s="135" t="str">
        <f>+MENU!B4</f>
        <v>Delta 6</v>
      </c>
      <c r="F13" s="135">
        <v>3</v>
      </c>
    </row>
    <row r="14" spans="1:10" x14ac:dyDescent="0.25">
      <c r="B14" s="131" t="str">
        <f>+MENU!B5</f>
        <v>Delta 8</v>
      </c>
      <c r="C14" s="3">
        <v>8</v>
      </c>
      <c r="E14" s="135" t="str">
        <f>+MENU!B5</f>
        <v>Delta 8</v>
      </c>
      <c r="F14" s="135">
        <v>4</v>
      </c>
    </row>
    <row r="16" spans="1:10" x14ac:dyDescent="0.25">
      <c r="B16" s="349" t="s">
        <v>475</v>
      </c>
      <c r="C16" s="349"/>
      <c r="D16" s="349"/>
      <c r="E16" s="349"/>
    </row>
    <row r="17" spans="2:5" x14ac:dyDescent="0.25">
      <c r="B17" s="3" t="s">
        <v>457</v>
      </c>
      <c r="D17" s="135" t="s">
        <v>322</v>
      </c>
      <c r="E17" s="135" t="s">
        <v>411</v>
      </c>
    </row>
    <row r="18" spans="2:5" x14ac:dyDescent="0.25">
      <c r="B18" s="3">
        <v>4</v>
      </c>
      <c r="D18" s="3" t="s">
        <v>476</v>
      </c>
      <c r="E18" s="167" t="s">
        <v>478</v>
      </c>
    </row>
    <row r="19" spans="2:5" x14ac:dyDescent="0.25">
      <c r="B19" s="3">
        <v>8</v>
      </c>
      <c r="C19" s="167"/>
      <c r="D19" s="167" t="s">
        <v>477</v>
      </c>
      <c r="E19" s="167" t="s">
        <v>479</v>
      </c>
    </row>
    <row r="21" spans="2:5" x14ac:dyDescent="0.25">
      <c r="C21" s="169"/>
      <c r="D21" s="163" t="s">
        <v>462</v>
      </c>
      <c r="E21" s="163" t="s">
        <v>462</v>
      </c>
    </row>
    <row r="22" spans="2:5" x14ac:dyDescent="0.25">
      <c r="C22" s="169"/>
      <c r="D22" s="163" t="s">
        <v>463</v>
      </c>
      <c r="E22" s="163"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0" customWidth="1"/>
    <col min="3" max="3" width="11.42578125" customWidth="1"/>
  </cols>
  <sheetData>
    <row r="1" spans="1:3" ht="19.5" hidden="1" thickBot="1" x14ac:dyDescent="0.35">
      <c r="A1" s="104" t="s">
        <v>482</v>
      </c>
      <c r="B1" s="100"/>
      <c r="C1" s="166">
        <v>42242</v>
      </c>
    </row>
    <row r="2" spans="1:3" ht="15.75" hidden="1" thickBot="1" x14ac:dyDescent="0.3">
      <c r="A2" s="102" t="s">
        <v>378</v>
      </c>
      <c r="B2" s="103" t="s">
        <v>106</v>
      </c>
      <c r="C2" s="102" t="s">
        <v>379</v>
      </c>
    </row>
    <row r="3" spans="1:3" hidden="1" x14ac:dyDescent="0.25">
      <c r="A3" s="98">
        <v>1</v>
      </c>
      <c r="B3" s="10" t="s">
        <v>421</v>
      </c>
      <c r="C3" s="89" t="s">
        <v>313</v>
      </c>
    </row>
    <row r="4" spans="1:3" hidden="1" x14ac:dyDescent="0.25">
      <c r="A4" s="171"/>
      <c r="C4" s="89"/>
    </row>
    <row r="5" spans="1:3" ht="19.5" hidden="1" thickBot="1" x14ac:dyDescent="0.35">
      <c r="A5" s="104" t="s">
        <v>515</v>
      </c>
      <c r="B5" s="100"/>
      <c r="C5" s="166">
        <v>42279</v>
      </c>
    </row>
    <row r="6" spans="1:3" ht="15.75" hidden="1" thickBot="1" x14ac:dyDescent="0.3">
      <c r="A6" s="102" t="s">
        <v>378</v>
      </c>
      <c r="B6" s="103" t="s">
        <v>106</v>
      </c>
      <c r="C6" s="102" t="s">
        <v>379</v>
      </c>
    </row>
    <row r="7" spans="1:3" hidden="1" x14ac:dyDescent="0.25">
      <c r="A7" s="180">
        <v>1</v>
      </c>
      <c r="B7" s="10" t="s">
        <v>514</v>
      </c>
      <c r="C7" s="89" t="s">
        <v>313</v>
      </c>
    </row>
    <row r="8" spans="1:3" hidden="1" x14ac:dyDescent="0.25">
      <c r="A8" s="180">
        <v>2</v>
      </c>
      <c r="B8" s="10" t="s">
        <v>516</v>
      </c>
      <c r="C8" s="89" t="s">
        <v>313</v>
      </c>
    </row>
    <row r="9" spans="1:3" hidden="1" x14ac:dyDescent="0.25">
      <c r="A9" s="180">
        <v>3</v>
      </c>
      <c r="B9" s="10" t="s">
        <v>517</v>
      </c>
      <c r="C9" s="89" t="s">
        <v>313</v>
      </c>
    </row>
    <row r="10" spans="1:3" hidden="1" x14ac:dyDescent="0.25">
      <c r="A10" s="188"/>
      <c r="C10" s="89"/>
    </row>
    <row r="11" spans="1:3" ht="19.5" hidden="1" thickBot="1" x14ac:dyDescent="0.35">
      <c r="A11" s="104" t="s">
        <v>528</v>
      </c>
      <c r="B11" s="100"/>
      <c r="C11" s="166">
        <v>42311</v>
      </c>
    </row>
    <row r="12" spans="1:3" ht="15.75" hidden="1" thickBot="1" x14ac:dyDescent="0.3">
      <c r="A12" s="102" t="s">
        <v>378</v>
      </c>
      <c r="B12" s="103" t="s">
        <v>106</v>
      </c>
      <c r="C12" s="102" t="s">
        <v>379</v>
      </c>
    </row>
    <row r="13" spans="1:3" hidden="1" x14ac:dyDescent="0.25">
      <c r="A13" s="188">
        <v>1</v>
      </c>
      <c r="B13" s="10" t="s">
        <v>529</v>
      </c>
      <c r="C13" s="89" t="s">
        <v>313</v>
      </c>
    </row>
    <row r="14" spans="1:3" hidden="1" x14ac:dyDescent="0.25">
      <c r="A14" s="188">
        <v>2</v>
      </c>
      <c r="B14" s="10" t="s">
        <v>530</v>
      </c>
      <c r="C14" s="89" t="s">
        <v>313</v>
      </c>
    </row>
    <row r="15" spans="1:3" hidden="1" x14ac:dyDescent="0.25">
      <c r="A15" s="188"/>
      <c r="C15" s="89"/>
    </row>
    <row r="16" spans="1:3" ht="19.5" hidden="1" thickBot="1" x14ac:dyDescent="0.35">
      <c r="A16" s="104" t="s">
        <v>537</v>
      </c>
      <c r="B16" s="100"/>
      <c r="C16" s="172">
        <v>42377</v>
      </c>
    </row>
    <row r="17" spans="1:3" ht="15.75" hidden="1" thickBot="1" x14ac:dyDescent="0.3">
      <c r="A17" s="102" t="s">
        <v>378</v>
      </c>
      <c r="B17" s="103" t="s">
        <v>106</v>
      </c>
      <c r="C17" s="102" t="s">
        <v>379</v>
      </c>
    </row>
    <row r="18" spans="1:3" hidden="1" x14ac:dyDescent="0.25">
      <c r="A18" s="136">
        <v>1</v>
      </c>
      <c r="B18" s="10" t="s">
        <v>558</v>
      </c>
      <c r="C18" s="89" t="s">
        <v>313</v>
      </c>
    </row>
    <row r="19" spans="1:3" hidden="1" x14ac:dyDescent="0.25">
      <c r="A19" s="136">
        <v>2</v>
      </c>
      <c r="B19" s="10" t="s">
        <v>559</v>
      </c>
      <c r="C19" s="89" t="s">
        <v>313</v>
      </c>
    </row>
    <row r="20" spans="1:3" hidden="1" x14ac:dyDescent="0.25">
      <c r="A20" s="136">
        <v>3</v>
      </c>
      <c r="B20" s="10" t="s">
        <v>560</v>
      </c>
      <c r="C20" s="89" t="s">
        <v>313</v>
      </c>
    </row>
    <row r="21" spans="1:3" hidden="1" x14ac:dyDescent="0.25">
      <c r="A21" s="179">
        <v>4</v>
      </c>
      <c r="B21" s="10" t="s">
        <v>561</v>
      </c>
      <c r="C21" s="89" t="s">
        <v>313</v>
      </c>
    </row>
    <row r="22" spans="1:3" hidden="1" x14ac:dyDescent="0.25">
      <c r="A22" s="179">
        <v>5</v>
      </c>
      <c r="B22" s="10" t="s">
        <v>535</v>
      </c>
      <c r="C22" s="89" t="s">
        <v>313</v>
      </c>
    </row>
    <row r="23" spans="1:3" hidden="1" x14ac:dyDescent="0.25">
      <c r="A23" s="180">
        <v>6</v>
      </c>
      <c r="B23" s="10" t="s">
        <v>536</v>
      </c>
      <c r="C23" s="89" t="s">
        <v>313</v>
      </c>
    </row>
    <row r="24" spans="1:3" hidden="1" x14ac:dyDescent="0.25">
      <c r="A24" s="193">
        <v>7</v>
      </c>
      <c r="B24" s="10" t="s">
        <v>562</v>
      </c>
      <c r="C24" s="89" t="s">
        <v>313</v>
      </c>
    </row>
    <row r="25" spans="1:3" hidden="1" x14ac:dyDescent="0.25">
      <c r="A25" s="193">
        <v>8</v>
      </c>
      <c r="B25" s="10" t="s">
        <v>556</v>
      </c>
      <c r="C25" s="89" t="s">
        <v>313</v>
      </c>
    </row>
    <row r="26" spans="1:3" hidden="1" x14ac:dyDescent="0.25">
      <c r="A26" s="193">
        <v>9</v>
      </c>
      <c r="B26" s="10" t="s">
        <v>557</v>
      </c>
      <c r="C26" s="89" t="s">
        <v>313</v>
      </c>
    </row>
    <row r="27" spans="1:3" hidden="1" x14ac:dyDescent="0.25">
      <c r="A27" s="198"/>
      <c r="C27" s="89"/>
    </row>
    <row r="28" spans="1:3" ht="19.5" hidden="1" thickBot="1" x14ac:dyDescent="0.35">
      <c r="A28" s="104" t="s">
        <v>570</v>
      </c>
      <c r="B28" s="100"/>
      <c r="C28" s="172">
        <v>42384</v>
      </c>
    </row>
    <row r="29" spans="1:3" ht="15.75" hidden="1" thickBot="1" x14ac:dyDescent="0.3">
      <c r="A29" s="102" t="s">
        <v>378</v>
      </c>
      <c r="B29" s="103" t="s">
        <v>106</v>
      </c>
      <c r="C29" s="102" t="s">
        <v>379</v>
      </c>
    </row>
    <row r="30" spans="1:3" hidden="1" x14ac:dyDescent="0.25">
      <c r="A30" s="205">
        <v>1</v>
      </c>
      <c r="B30" s="10" t="s">
        <v>566</v>
      </c>
      <c r="C30" s="89" t="s">
        <v>313</v>
      </c>
    </row>
    <row r="31" spans="1:3" hidden="1" x14ac:dyDescent="0.25">
      <c r="A31" s="210"/>
      <c r="C31" s="89"/>
    </row>
    <row r="32" spans="1:3" ht="19.5" hidden="1" thickBot="1" x14ac:dyDescent="0.35">
      <c r="A32" s="104" t="s">
        <v>567</v>
      </c>
      <c r="B32" s="100"/>
      <c r="C32" s="172"/>
    </row>
    <row r="33" spans="1:3" ht="15.75" hidden="1" thickBot="1" x14ac:dyDescent="0.3">
      <c r="A33" s="102" t="s">
        <v>378</v>
      </c>
      <c r="B33" s="103" t="s">
        <v>106</v>
      </c>
      <c r="C33" s="102" t="s">
        <v>379</v>
      </c>
    </row>
    <row r="34" spans="1:3" hidden="1" x14ac:dyDescent="0.25">
      <c r="A34" s="210">
        <v>1</v>
      </c>
      <c r="B34" s="10" t="s">
        <v>568</v>
      </c>
      <c r="C34" s="89" t="s">
        <v>313</v>
      </c>
    </row>
    <row r="35" spans="1:3" hidden="1" x14ac:dyDescent="0.25">
      <c r="A35" s="210">
        <v>2</v>
      </c>
      <c r="B35" s="10" t="s">
        <v>572</v>
      </c>
      <c r="C35" s="89" t="s">
        <v>313</v>
      </c>
    </row>
    <row r="36" spans="1:3" hidden="1" x14ac:dyDescent="0.25">
      <c r="A36" s="212"/>
      <c r="C36" s="89"/>
    </row>
    <row r="37" spans="1:3" ht="19.5" hidden="1" thickBot="1" x14ac:dyDescent="0.35">
      <c r="A37" s="104" t="s">
        <v>573</v>
      </c>
      <c r="B37" s="100"/>
      <c r="C37" s="172">
        <v>42416</v>
      </c>
    </row>
    <row r="38" spans="1:3" ht="15.75" hidden="1" thickBot="1" x14ac:dyDescent="0.3">
      <c r="A38" s="102" t="s">
        <v>378</v>
      </c>
      <c r="B38" s="103" t="s">
        <v>106</v>
      </c>
      <c r="C38" s="102" t="s">
        <v>379</v>
      </c>
    </row>
    <row r="39" spans="1:3" hidden="1" x14ac:dyDescent="0.25">
      <c r="A39" s="213">
        <v>1</v>
      </c>
      <c r="B39" s="10" t="s">
        <v>574</v>
      </c>
      <c r="C39" s="89" t="s">
        <v>313</v>
      </c>
    </row>
    <row r="40" spans="1:3" hidden="1" x14ac:dyDescent="0.25">
      <c r="A40" s="213"/>
      <c r="C40" s="89"/>
    </row>
    <row r="41" spans="1:3" ht="19.5" hidden="1" thickBot="1" x14ac:dyDescent="0.35">
      <c r="A41" s="104" t="s">
        <v>575</v>
      </c>
      <c r="B41" s="100"/>
      <c r="C41" s="172">
        <v>42417</v>
      </c>
    </row>
    <row r="42" spans="1:3" ht="15.75" hidden="1" thickBot="1" x14ac:dyDescent="0.3">
      <c r="A42" s="102" t="s">
        <v>378</v>
      </c>
      <c r="B42" s="103" t="s">
        <v>106</v>
      </c>
      <c r="C42" s="102" t="s">
        <v>379</v>
      </c>
    </row>
    <row r="43" spans="1:3" hidden="1" x14ac:dyDescent="0.25">
      <c r="A43" s="214">
        <v>1</v>
      </c>
      <c r="B43" s="10" t="s">
        <v>576</v>
      </c>
      <c r="C43" s="89" t="s">
        <v>313</v>
      </c>
    </row>
    <row r="44" spans="1:3" hidden="1" x14ac:dyDescent="0.25">
      <c r="A44" s="215"/>
      <c r="C44" s="89"/>
    </row>
    <row r="45" spans="1:3" ht="19.5" thickBot="1" x14ac:dyDescent="0.35">
      <c r="A45" s="104" t="s">
        <v>644</v>
      </c>
      <c r="B45" s="100"/>
      <c r="C45" s="172"/>
    </row>
    <row r="46" spans="1:3" ht="15.75" thickBot="1" x14ac:dyDescent="0.3">
      <c r="A46" s="102" t="s">
        <v>378</v>
      </c>
      <c r="B46" s="103" t="s">
        <v>106</v>
      </c>
      <c r="C46" s="102" t="s">
        <v>379</v>
      </c>
    </row>
    <row r="47" spans="1:3" x14ac:dyDescent="0.25">
      <c r="A47" s="215">
        <v>1</v>
      </c>
      <c r="B47" s="10" t="s">
        <v>578</v>
      </c>
      <c r="C47" s="89" t="s">
        <v>313</v>
      </c>
    </row>
    <row r="48" spans="1:3" x14ac:dyDescent="0.25">
      <c r="A48" s="215">
        <v>2</v>
      </c>
      <c r="B48" s="10" t="s">
        <v>649</v>
      </c>
      <c r="C48" s="89" t="s">
        <v>313</v>
      </c>
    </row>
    <row r="49" spans="1:3" x14ac:dyDescent="0.25">
      <c r="A49" s="215">
        <v>3</v>
      </c>
      <c r="B49" s="10" t="s">
        <v>579</v>
      </c>
      <c r="C49" s="89" t="s">
        <v>313</v>
      </c>
    </row>
    <row r="50" spans="1:3" x14ac:dyDescent="0.25">
      <c r="A50" s="215">
        <v>4</v>
      </c>
      <c r="B50" s="10" t="s">
        <v>583</v>
      </c>
      <c r="C50" s="89" t="s">
        <v>313</v>
      </c>
    </row>
    <row r="51" spans="1:3" x14ac:dyDescent="0.25">
      <c r="A51" s="215">
        <v>5</v>
      </c>
      <c r="B51" s="10" t="s">
        <v>587</v>
      </c>
      <c r="C51" s="89" t="s">
        <v>313</v>
      </c>
    </row>
    <row r="52" spans="1:3" x14ac:dyDescent="0.25">
      <c r="A52" s="215">
        <v>6</v>
      </c>
      <c r="B52" s="10" t="s">
        <v>650</v>
      </c>
      <c r="C52" s="89" t="s">
        <v>313</v>
      </c>
    </row>
    <row r="53" spans="1:3" x14ac:dyDescent="0.25">
      <c r="A53" s="215">
        <v>7</v>
      </c>
      <c r="B53" s="10" t="s">
        <v>591</v>
      </c>
      <c r="C53" s="89" t="s">
        <v>313</v>
      </c>
    </row>
    <row r="54" spans="1:3" x14ac:dyDescent="0.25">
      <c r="A54" s="215">
        <v>8</v>
      </c>
      <c r="B54" s="10" t="s">
        <v>614</v>
      </c>
      <c r="C54" s="89" t="s">
        <v>313</v>
      </c>
    </row>
    <row r="55" spans="1:3" x14ac:dyDescent="0.25">
      <c r="A55" s="215">
        <v>9</v>
      </c>
      <c r="B55" s="10" t="s">
        <v>615</v>
      </c>
      <c r="C55" s="89" t="s">
        <v>313</v>
      </c>
    </row>
    <row r="56" spans="1:3" x14ac:dyDescent="0.25">
      <c r="A56" s="215">
        <v>10</v>
      </c>
      <c r="B56" s="10" t="s">
        <v>616</v>
      </c>
      <c r="C56" s="89" t="s">
        <v>313</v>
      </c>
    </row>
    <row r="57" spans="1:3" x14ac:dyDescent="0.25">
      <c r="A57" s="215">
        <v>11</v>
      </c>
      <c r="B57" s="10" t="s">
        <v>651</v>
      </c>
      <c r="C57" s="89" t="s">
        <v>313</v>
      </c>
    </row>
    <row r="58" spans="1:3" x14ac:dyDescent="0.25">
      <c r="A58" s="215">
        <v>12</v>
      </c>
      <c r="B58" s="10" t="s">
        <v>620</v>
      </c>
      <c r="C58" s="89" t="s">
        <v>313</v>
      </c>
    </row>
    <row r="59" spans="1:3" x14ac:dyDescent="0.25">
      <c r="A59" s="215">
        <v>13</v>
      </c>
      <c r="B59" s="10" t="s">
        <v>628</v>
      </c>
      <c r="C59" s="89" t="s">
        <v>313</v>
      </c>
    </row>
    <row r="60" spans="1:3" x14ac:dyDescent="0.25">
      <c r="A60" s="215">
        <v>14</v>
      </c>
      <c r="B60" s="10" t="s">
        <v>629</v>
      </c>
      <c r="C60" s="89" t="s">
        <v>313</v>
      </c>
    </row>
    <row r="61" spans="1:3" x14ac:dyDescent="0.25">
      <c r="A61" s="215">
        <v>15</v>
      </c>
      <c r="B61" s="10" t="s">
        <v>635</v>
      </c>
      <c r="C61" s="89" t="s">
        <v>313</v>
      </c>
    </row>
    <row r="62" spans="1:3" x14ac:dyDescent="0.25">
      <c r="A62" s="215">
        <v>16</v>
      </c>
      <c r="B62" s="10" t="s">
        <v>654</v>
      </c>
      <c r="C62" s="89" t="s">
        <v>313</v>
      </c>
    </row>
    <row r="63" spans="1:3" x14ac:dyDescent="0.25">
      <c r="A63" s="215">
        <v>17</v>
      </c>
      <c r="B63" s="10" t="s">
        <v>655</v>
      </c>
      <c r="C63" s="89" t="s">
        <v>313</v>
      </c>
    </row>
    <row r="64" spans="1:3" x14ac:dyDescent="0.25">
      <c r="A64" s="214"/>
      <c r="C64" s="89"/>
    </row>
    <row r="65" spans="1:3" ht="19.5" thickBot="1" x14ac:dyDescent="0.35">
      <c r="A65" s="104" t="s">
        <v>569</v>
      </c>
      <c r="B65" s="100"/>
      <c r="C65" s="99"/>
    </row>
    <row r="66" spans="1:3" ht="15.75" thickBot="1" x14ac:dyDescent="0.3">
      <c r="A66" s="102" t="s">
        <v>378</v>
      </c>
      <c r="B66" s="103" t="s">
        <v>106</v>
      </c>
      <c r="C66" s="102" t="s">
        <v>408</v>
      </c>
    </row>
    <row r="67" spans="1:3" x14ac:dyDescent="0.25">
      <c r="A67" s="101">
        <v>1</v>
      </c>
      <c r="B67" s="10" t="s">
        <v>656</v>
      </c>
      <c r="C67" s="215">
        <v>1</v>
      </c>
    </row>
    <row r="68" spans="1:3" x14ac:dyDescent="0.25">
      <c r="A68" s="101">
        <v>2</v>
      </c>
      <c r="B68" s="10" t="s">
        <v>385</v>
      </c>
      <c r="C68" s="215">
        <v>2</v>
      </c>
    </row>
    <row r="69" spans="1:3" x14ac:dyDescent="0.25">
      <c r="A69" s="101">
        <v>3</v>
      </c>
      <c r="B69" s="10" t="s">
        <v>384</v>
      </c>
      <c r="C69" s="215">
        <v>3</v>
      </c>
    </row>
    <row r="70" spans="1:3" x14ac:dyDescent="0.25">
      <c r="A70" s="101">
        <v>4</v>
      </c>
      <c r="B70" s="10" t="s">
        <v>394</v>
      </c>
      <c r="C70" s="215">
        <v>4</v>
      </c>
    </row>
    <row r="71" spans="1:3" x14ac:dyDescent="0.25">
      <c r="A71" s="101">
        <v>5</v>
      </c>
      <c r="B71" s="10" t="s">
        <v>647</v>
      </c>
      <c r="C71" s="204">
        <v>5</v>
      </c>
    </row>
    <row r="72" spans="1:3" x14ac:dyDescent="0.25">
      <c r="A72" s="101">
        <v>6</v>
      </c>
    </row>
    <row r="73" spans="1:3" x14ac:dyDescent="0.25">
      <c r="A73" s="105">
        <v>7</v>
      </c>
    </row>
    <row r="74" spans="1:3" x14ac:dyDescent="0.25">
      <c r="A74" s="105">
        <v>8</v>
      </c>
      <c r="C74" s="204"/>
    </row>
    <row r="75" spans="1:3" x14ac:dyDescent="0.25">
      <c r="A75" s="105">
        <v>9</v>
      </c>
    </row>
    <row r="76" spans="1:3" x14ac:dyDescent="0.25">
      <c r="A76" s="106">
        <v>10</v>
      </c>
    </row>
    <row r="78" spans="1:3" ht="19.5" thickBot="1" x14ac:dyDescent="0.35">
      <c r="A78" s="104" t="s">
        <v>383</v>
      </c>
      <c r="B78" s="100"/>
      <c r="C78" s="99"/>
    </row>
    <row r="79" spans="1:3" ht="15.75" thickBot="1" x14ac:dyDescent="0.3">
      <c r="A79" s="102" t="s">
        <v>378</v>
      </c>
      <c r="B79" s="103" t="s">
        <v>106</v>
      </c>
      <c r="C79" s="102"/>
    </row>
    <row r="80" spans="1:3" x14ac:dyDescent="0.25">
      <c r="A80" s="211">
        <v>1</v>
      </c>
      <c r="B80" s="10" t="s">
        <v>520</v>
      </c>
    </row>
    <row r="81" spans="1:2" x14ac:dyDescent="0.25">
      <c r="A81" s="211">
        <v>2</v>
      </c>
      <c r="B81" s="10" t="s">
        <v>519</v>
      </c>
    </row>
    <row r="82" spans="1:2" x14ac:dyDescent="0.25">
      <c r="A82" s="211">
        <v>3</v>
      </c>
      <c r="B82" s="10" t="s">
        <v>389</v>
      </c>
    </row>
    <row r="83" spans="1:2" x14ac:dyDescent="0.25">
      <c r="A83" s="211">
        <v>4</v>
      </c>
      <c r="B83" s="10" t="s">
        <v>657</v>
      </c>
    </row>
    <row r="84" spans="1:2" x14ac:dyDescent="0.25">
      <c r="A84" s="211">
        <v>5</v>
      </c>
      <c r="B84" s="10" t="s">
        <v>658</v>
      </c>
    </row>
    <row r="85" spans="1:2" x14ac:dyDescent="0.25">
      <c r="A85" s="211">
        <v>6</v>
      </c>
      <c r="B85" s="10" t="s">
        <v>659</v>
      </c>
    </row>
    <row r="86" spans="1:2" x14ac:dyDescent="0.25">
      <c r="A86" s="211">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38" customWidth="1"/>
    <col min="2" max="2" width="51.7109375" customWidth="1"/>
    <col min="3" max="3" width="37.5703125" customWidth="1"/>
  </cols>
  <sheetData>
    <row r="1" spans="1:3" x14ac:dyDescent="0.25">
      <c r="A1" s="238" t="s">
        <v>630</v>
      </c>
      <c r="B1" t="s">
        <v>631</v>
      </c>
      <c r="C1" s="237" t="s">
        <v>633</v>
      </c>
    </row>
    <row r="2" spans="1:3" ht="240" customHeight="1" x14ac:dyDescent="0.25">
      <c r="A2" s="240" t="s">
        <v>632</v>
      </c>
      <c r="C2" s="237" t="s">
        <v>634</v>
      </c>
    </row>
    <row r="3" spans="1:3" ht="240" customHeight="1" x14ac:dyDescent="0.25">
      <c r="A3" s="240" t="s">
        <v>407</v>
      </c>
    </row>
    <row r="4" spans="1:3" ht="240" customHeight="1" x14ac:dyDescent="0.25">
      <c r="A4" s="239" t="str">
        <f>+MENU!G33</f>
        <v>612-1879-1</v>
      </c>
    </row>
    <row r="5" spans="1:3" ht="240" customHeight="1" x14ac:dyDescent="0.25">
      <c r="A5" s="241" t="str">
        <f>+MENU!G34</f>
        <v>612-1879-2</v>
      </c>
    </row>
    <row r="6" spans="1:3" ht="240" customHeight="1" x14ac:dyDescent="0.25">
      <c r="A6" s="241" t="str">
        <f>+MENU!G35</f>
        <v>612-1879-3</v>
      </c>
    </row>
    <row r="7" spans="1:3" ht="240" customHeight="1" x14ac:dyDescent="0.25">
      <c r="A7" s="241" t="str">
        <f>+MENU!G36</f>
        <v>612-1879-4</v>
      </c>
    </row>
    <row r="8" spans="1:3" ht="240" customHeight="1" x14ac:dyDescent="0.25">
      <c r="A8" s="241" t="str">
        <f>+MENU!G37</f>
        <v>612-1879-5</v>
      </c>
    </row>
    <row r="9" spans="1:3" ht="240" customHeight="1" x14ac:dyDescent="0.25">
      <c r="A9" s="241" t="s">
        <v>636</v>
      </c>
    </row>
    <row r="10" spans="1:3" ht="240" customHeight="1" x14ac:dyDescent="0.25">
      <c r="A10" s="241" t="str">
        <f>+MENU!G41</f>
        <v>612-1867-1</v>
      </c>
    </row>
    <row r="11" spans="1:3" ht="240" customHeight="1" x14ac:dyDescent="0.25">
      <c r="A11" s="238" t="s">
        <v>637</v>
      </c>
    </row>
    <row r="12" spans="1:3" ht="240" customHeight="1" x14ac:dyDescent="0.25">
      <c r="A12" s="238" t="s">
        <v>639</v>
      </c>
    </row>
    <row r="13" spans="1:3" ht="240" customHeight="1" x14ac:dyDescent="0.25">
      <c r="A13" s="238" t="s">
        <v>640</v>
      </c>
    </row>
    <row r="14" spans="1:3" ht="240" customHeight="1" x14ac:dyDescent="0.25">
      <c r="A14" s="238"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13"/>
  <sheetViews>
    <sheetView showGridLines="0" zoomScaleNormal="100" workbookViewId="0">
      <selection activeCell="D16" sqref="D16"/>
    </sheetView>
  </sheetViews>
  <sheetFormatPr defaultColWidth="11.7109375" defaultRowHeight="15" x14ac:dyDescent="0.25"/>
  <cols>
    <col min="1" max="3" width="11.7109375" style="6"/>
    <col min="4" max="4" width="18" style="6" bestFit="1" customWidth="1"/>
    <col min="5" max="16384" width="11.7109375" style="6"/>
  </cols>
  <sheetData>
    <row r="1" spans="1:5" ht="60.75" customHeight="1" x14ac:dyDescent="0.25">
      <c r="A1" s="254"/>
      <c r="B1" s="255"/>
      <c r="C1" s="256"/>
    </row>
    <row r="2" spans="1:5" ht="28.5" customHeight="1" x14ac:dyDescent="0.25">
      <c r="A2" s="254"/>
      <c r="B2" s="380" t="s">
        <v>663</v>
      </c>
      <c r="C2" s="381"/>
      <c r="D2" s="381"/>
      <c r="E2" s="382"/>
    </row>
    <row r="3" spans="1:5" x14ac:dyDescent="0.25">
      <c r="A3" s="254"/>
      <c r="B3" s="383"/>
      <c r="C3" s="384"/>
      <c r="D3" s="384"/>
      <c r="E3" s="385"/>
    </row>
    <row r="4" spans="1:5" x14ac:dyDescent="0.25">
      <c r="A4" s="254"/>
      <c r="B4" s="257"/>
      <c r="C4" s="251" t="s">
        <v>168</v>
      </c>
      <c r="D4" s="252">
        <f ca="1">TODAY()</f>
        <v>42787</v>
      </c>
      <c r="E4" s="258"/>
    </row>
    <row r="5" spans="1:5" x14ac:dyDescent="0.25">
      <c r="B5" s="257"/>
      <c r="C5" s="251" t="s">
        <v>204</v>
      </c>
      <c r="D5" s="252" t="str">
        <f>'WORKCELL BOM'!L2</f>
        <v>SUNB4723</v>
      </c>
      <c r="E5" s="258"/>
    </row>
    <row r="6" spans="1:5" ht="16.5" customHeight="1" x14ac:dyDescent="0.25">
      <c r="B6" s="257"/>
      <c r="C6" s="251" t="s">
        <v>215</v>
      </c>
      <c r="D6" s="251" t="str">
        <f>'WORKCELL BOM'!L3</f>
        <v>S1088</v>
      </c>
      <c r="E6" s="258"/>
    </row>
    <row r="7" spans="1:5" ht="16.5" customHeight="1" x14ac:dyDescent="0.25">
      <c r="B7" s="257"/>
      <c r="C7" s="251" t="s">
        <v>662</v>
      </c>
      <c r="D7" s="251" t="str">
        <f>'WORKCELL FORMS'!R3</f>
        <v>Sunburst EMS</v>
      </c>
      <c r="E7" s="258"/>
    </row>
    <row r="8" spans="1:5" ht="16.5" customHeight="1" x14ac:dyDescent="0.25">
      <c r="B8" s="257"/>
      <c r="C8" s="254"/>
      <c r="D8" s="254"/>
      <c r="E8" s="258"/>
    </row>
    <row r="9" spans="1:5" x14ac:dyDescent="0.25">
      <c r="B9" s="257"/>
      <c r="C9" s="251"/>
      <c r="D9" s="251"/>
      <c r="E9" s="258"/>
    </row>
    <row r="10" spans="1:5" x14ac:dyDescent="0.25">
      <c r="B10" s="257"/>
      <c r="C10" s="251"/>
      <c r="D10" s="251"/>
      <c r="E10" s="258"/>
    </row>
    <row r="11" spans="1:5" x14ac:dyDescent="0.25">
      <c r="B11" s="257"/>
      <c r="C11" s="251"/>
      <c r="D11" s="251"/>
      <c r="E11" s="258"/>
    </row>
    <row r="12" spans="1:5" x14ac:dyDescent="0.25">
      <c r="B12" s="257"/>
      <c r="C12" s="254"/>
      <c r="D12" s="254"/>
      <c r="E12" s="258"/>
    </row>
    <row r="13" spans="1:5" x14ac:dyDescent="0.25">
      <c r="B13" s="259"/>
      <c r="C13" s="253"/>
      <c r="D13" s="253"/>
      <c r="E13" s="260"/>
    </row>
  </sheetData>
  <mergeCells count="1">
    <mergeCell ref="B2:E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xdr:col>
                    <xdr:colOff>990600</xdr:colOff>
                    <xdr:row>9</xdr:row>
                    <xdr:rowOff>38100</xdr:rowOff>
                  </from>
                  <to>
                    <xdr:col>4</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2017-02-21T20:47:37Z</dcterms:modified>
</cp:coreProperties>
</file>