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768" yWindow="-72" windowWidth="9756" windowHeight="7248" tabRatio="751" activeTab="4"/>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 name="Calendar" sheetId="11" r:id="rId11"/>
  </sheets>
  <functionGroups builtInGroupCount="17"/>
  <externalReferences>
    <externalReference r:id="rId12"/>
    <externalReference r:id="rId13"/>
    <externalReference r:id="rId14"/>
    <externalReference r:id="rId15"/>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45621"/>
</workbook>
</file>

<file path=xl/calcChain.xml><?xml version="1.0" encoding="utf-8"?>
<calcChain xmlns="http://schemas.openxmlformats.org/spreadsheetml/2006/main">
  <c r="A69" i="2" l="1"/>
  <c r="A68" i="2"/>
  <c r="A67" i="2"/>
  <c r="A66" i="2"/>
  <c r="A65" i="2"/>
  <c r="A64" i="2"/>
  <c r="F54" i="2"/>
  <c r="T52" i="2"/>
  <c r="T51" i="2"/>
  <c r="T50" i="2"/>
  <c r="I50" i="2"/>
  <c r="I49" i="2"/>
  <c r="K47" i="2"/>
  <c r="C47" i="2"/>
  <c r="B47" i="2"/>
  <c r="A47" i="2" s="1"/>
  <c r="K46" i="2"/>
  <c r="C46" i="2"/>
  <c r="B46" i="2"/>
  <c r="K45" i="2"/>
  <c r="C45" i="2"/>
  <c r="B45" i="2"/>
  <c r="K44" i="2"/>
  <c r="G43" i="2"/>
  <c r="A43" i="2"/>
  <c r="G40" i="2"/>
  <c r="G39" i="2"/>
  <c r="C39" i="2"/>
  <c r="B39" i="2"/>
  <c r="L38" i="2"/>
  <c r="K38" i="2" s="1"/>
  <c r="G38" i="2"/>
  <c r="D38" i="2"/>
  <c r="C38" i="2"/>
  <c r="B38" i="2"/>
  <c r="L37" i="2"/>
  <c r="K37" i="2" s="1"/>
  <c r="G37" i="2"/>
  <c r="D37" i="2"/>
  <c r="C37" i="2"/>
  <c r="B37" i="2"/>
  <c r="K35" i="2"/>
  <c r="L33" i="2"/>
  <c r="K33" i="2" s="1"/>
  <c r="G33" i="2"/>
  <c r="C33" i="2"/>
  <c r="B33" i="2"/>
  <c r="C32" i="2"/>
  <c r="B32" i="2"/>
  <c r="K31" i="2"/>
  <c r="C31" i="2"/>
  <c r="B31" i="2"/>
  <c r="F50" i="2" s="1"/>
  <c r="K30" i="2"/>
  <c r="L27" i="2"/>
  <c r="L25" i="2"/>
  <c r="L23" i="2"/>
  <c r="D22" i="2"/>
  <c r="L21" i="2"/>
  <c r="C21" i="2"/>
  <c r="A20" i="2"/>
  <c r="L19" i="2"/>
  <c r="A27" i="2" s="1"/>
  <c r="K19" i="2"/>
  <c r="S18" i="2"/>
  <c r="K17" i="2"/>
  <c r="C17" i="2"/>
  <c r="B17" i="2"/>
  <c r="C16" i="2"/>
  <c r="B16" i="2"/>
  <c r="C15" i="2"/>
  <c r="C14" i="2"/>
  <c r="A13" i="2"/>
  <c r="K12" i="2"/>
  <c r="A12" i="2"/>
  <c r="A11" i="2"/>
  <c r="C10" i="2"/>
  <c r="P9" i="2"/>
  <c r="O9" i="2"/>
  <c r="M9" i="2"/>
  <c r="L9" i="2"/>
  <c r="B15" i="2" s="1"/>
  <c r="C9" i="2"/>
  <c r="P8" i="2"/>
  <c r="O8" i="2"/>
  <c r="M8" i="2"/>
  <c r="L8" i="2"/>
  <c r="B10" i="2" s="1"/>
  <c r="A10" i="2" s="1"/>
  <c r="A8" i="2"/>
  <c r="A7" i="2"/>
  <c r="G6" i="2"/>
  <c r="G5" i="2"/>
  <c r="G4" i="2"/>
  <c r="L1" i="2"/>
  <c r="F49" i="2" s="1"/>
  <c r="A45" i="2" l="1"/>
  <c r="A33" i="2"/>
  <c r="G30" i="2"/>
  <c r="A46" i="2"/>
  <c r="A32" i="2"/>
  <c r="A37" i="2"/>
  <c r="A39" i="2"/>
  <c r="A31" i="2"/>
  <c r="L28" i="2"/>
  <c r="K23" i="2" s="1"/>
  <c r="B24" i="2"/>
  <c r="A24" i="2" s="1"/>
  <c r="B14" i="2"/>
  <c r="A14" i="2" s="1"/>
  <c r="N9" i="2"/>
  <c r="Q9" i="2" s="1"/>
  <c r="R9" i="2" s="1"/>
  <c r="A17" i="2"/>
  <c r="A16" i="2"/>
  <c r="A38" i="2"/>
  <c r="A15" i="2"/>
  <c r="K25" i="2"/>
  <c r="G54" i="2"/>
  <c r="A25" i="2"/>
  <c r="B22" i="2"/>
  <c r="A22" i="2" s="1"/>
  <c r="B28" i="2"/>
  <c r="A28" i="2" s="1"/>
  <c r="A23" i="2"/>
  <c r="B9" i="2"/>
  <c r="A9" i="2" s="1"/>
  <c r="N8" i="2"/>
  <c r="Q8" i="2" s="1"/>
  <c r="R8" i="2" s="1"/>
  <c r="B21" i="2"/>
  <c r="A21" i="2" s="1"/>
  <c r="B26" i="2"/>
  <c r="A26" i="2" s="1"/>
  <c r="K21" i="2" l="1"/>
  <c r="K27" i="2"/>
  <c r="G53" i="2"/>
  <c r="G52" i="2"/>
  <c r="E4" i="7" l="1"/>
  <c r="H13" i="4" l="1"/>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text>
        <r>
          <rPr>
            <b/>
            <sz val="9"/>
            <color indexed="81"/>
            <rFont val="Tahoma"/>
            <family val="2"/>
          </rPr>
          <t>Jason Schoen:</t>
        </r>
        <r>
          <rPr>
            <sz val="9"/>
            <color indexed="81"/>
            <rFont val="Tahoma"/>
            <family val="2"/>
          </rPr>
          <t xml:space="preserve">
CHANGES BASED ON VOLTAGE</t>
        </r>
      </text>
    </comment>
    <comment ref="I28" author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text>
        <r>
          <rPr>
            <b/>
            <sz val="9"/>
            <color indexed="81"/>
            <rFont val="Tahoma"/>
            <family val="2"/>
          </rPr>
          <t>Jason Schoen:</t>
        </r>
        <r>
          <rPr>
            <sz val="9"/>
            <color indexed="81"/>
            <rFont val="Tahoma"/>
            <family val="2"/>
          </rPr>
          <t xml:space="preserve">
check to see if there is any fluid delievery</t>
        </r>
      </text>
    </comment>
    <comment ref="A8" authorId="0">
      <text>
        <r>
          <rPr>
            <b/>
            <sz val="9"/>
            <color indexed="81"/>
            <rFont val="Tahoma"/>
            <family val="2"/>
          </rPr>
          <t>Jason Schoen:</t>
        </r>
        <r>
          <rPr>
            <sz val="9"/>
            <color indexed="81"/>
            <rFont val="Tahoma"/>
            <family val="2"/>
          </rPr>
          <t xml:space="preserve">
if fluid 1 used</t>
        </r>
      </text>
    </comment>
    <comment ref="L8" authorId="0">
      <text>
        <r>
          <rPr>
            <b/>
            <sz val="9"/>
            <color indexed="81"/>
            <rFont val="Tahoma"/>
            <family val="2"/>
          </rPr>
          <t>IS 1 A SYRINGE</t>
        </r>
      </text>
    </comment>
    <comment ref="M8" authorId="0">
      <text>
        <r>
          <rPr>
            <b/>
            <sz val="9"/>
            <color indexed="81"/>
            <rFont val="Tahoma"/>
            <family val="2"/>
          </rPr>
          <t>IS 1 NOT USED</t>
        </r>
      </text>
    </comment>
    <comment ref="N8" authorId="0">
      <text>
        <r>
          <rPr>
            <b/>
            <sz val="9"/>
            <color indexed="81"/>
            <rFont val="Tahoma"/>
            <family val="2"/>
          </rPr>
          <t>IS IT A SYRINGE AND NOT USED</t>
        </r>
      </text>
    </comment>
    <comment ref="O8" authorId="0">
      <text>
        <r>
          <rPr>
            <b/>
            <sz val="9"/>
            <color indexed="81"/>
            <rFont val="Tahoma"/>
            <family val="2"/>
          </rPr>
          <t>NOT BLANK</t>
        </r>
      </text>
    </comment>
    <comment ref="P8" authorId="0">
      <text>
        <r>
          <rPr>
            <b/>
            <sz val="9"/>
            <color indexed="81"/>
            <rFont val="Tahoma"/>
            <family val="2"/>
          </rPr>
          <t>NOT "N"</t>
        </r>
      </text>
    </comment>
    <comment ref="Q8" authorId="0">
      <text>
        <r>
          <rPr>
            <b/>
            <sz val="9"/>
            <color indexed="81"/>
            <rFont val="Tahoma"/>
            <family val="2"/>
          </rPr>
          <t>AVAILABLE</t>
        </r>
      </text>
    </comment>
    <comment ref="B9" authorId="0">
      <text>
        <r>
          <rPr>
            <b/>
            <sz val="9"/>
            <color indexed="81"/>
            <rFont val="Tahoma"/>
            <family val="2"/>
          </rPr>
          <t>Jason Schoen:</t>
        </r>
        <r>
          <rPr>
            <sz val="9"/>
            <color indexed="81"/>
            <rFont val="Tahoma"/>
            <family val="2"/>
          </rPr>
          <t xml:space="preserve">
is fluid 1 used and a syringe</t>
        </r>
      </text>
    </comment>
    <comment ref="C9" authorId="0">
      <text>
        <r>
          <rPr>
            <b/>
            <sz val="9"/>
            <color indexed="81"/>
            <rFont val="Tahoma"/>
            <family val="2"/>
          </rPr>
          <t>Jason Schoen:</t>
        </r>
        <r>
          <rPr>
            <sz val="9"/>
            <color indexed="81"/>
            <rFont val="Tahoma"/>
            <family val="2"/>
          </rPr>
          <t xml:space="preserve">
Is it not a GPCC</t>
        </r>
      </text>
    </comment>
    <comment ref="L9" authorId="0">
      <text>
        <r>
          <rPr>
            <b/>
            <sz val="9"/>
            <color indexed="81"/>
            <rFont val="Tahoma"/>
            <family val="2"/>
          </rPr>
          <t>IS 2 A SYRINGE</t>
        </r>
      </text>
    </comment>
    <comment ref="M9" authorId="0">
      <text>
        <r>
          <rPr>
            <b/>
            <sz val="9"/>
            <color indexed="81"/>
            <rFont val="Tahoma"/>
            <family val="2"/>
          </rPr>
          <t>IS 2 USED</t>
        </r>
      </text>
    </comment>
    <comment ref="N9" authorId="0">
      <text>
        <r>
          <rPr>
            <b/>
            <sz val="9"/>
            <color indexed="81"/>
            <rFont val="Tahoma"/>
            <family val="2"/>
          </rPr>
          <t>IS IT A SYRINGE AND NOT USED</t>
        </r>
      </text>
    </comment>
    <comment ref="O9" authorId="0">
      <text>
        <r>
          <rPr>
            <b/>
            <sz val="9"/>
            <color indexed="81"/>
            <rFont val="Tahoma"/>
            <family val="2"/>
          </rPr>
          <t>NOT BLANK</t>
        </r>
      </text>
    </comment>
    <comment ref="P9" authorId="0">
      <text>
        <r>
          <rPr>
            <b/>
            <sz val="9"/>
            <color indexed="81"/>
            <rFont val="Tahoma"/>
            <family val="2"/>
          </rPr>
          <t>NOT "N"</t>
        </r>
      </text>
    </comment>
    <comment ref="Q9" authorId="0">
      <text>
        <r>
          <rPr>
            <b/>
            <sz val="9"/>
            <color indexed="81"/>
            <rFont val="Tahoma"/>
            <family val="2"/>
          </rPr>
          <t>AVAILABLE</t>
        </r>
      </text>
    </comment>
    <comment ref="B10" authorId="0">
      <text>
        <r>
          <rPr>
            <b/>
            <sz val="9"/>
            <color indexed="81"/>
            <rFont val="Tahoma"/>
            <family val="2"/>
          </rPr>
          <t>Jason Schoen:</t>
        </r>
        <r>
          <rPr>
            <sz val="9"/>
            <color indexed="81"/>
            <rFont val="Tahoma"/>
            <family val="2"/>
          </rPr>
          <t xml:space="preserve">
is fluide 1 used and a syringe</t>
        </r>
      </text>
    </comment>
    <comment ref="C10" authorId="0">
      <text>
        <r>
          <rPr>
            <b/>
            <sz val="9"/>
            <color indexed="81"/>
            <rFont val="Tahoma"/>
            <family val="2"/>
          </rPr>
          <t>Jason Schoen:</t>
        </r>
        <r>
          <rPr>
            <sz val="9"/>
            <color indexed="81"/>
            <rFont val="Tahoma"/>
            <family val="2"/>
          </rPr>
          <t xml:space="preserve">
Is it not a GPCC</t>
        </r>
      </text>
    </comment>
    <comment ref="A11" authorId="0">
      <text>
        <r>
          <rPr>
            <b/>
            <sz val="9"/>
            <color indexed="81"/>
            <rFont val="Tahoma"/>
            <family val="2"/>
          </rPr>
          <t>Jason Schoen:</t>
        </r>
        <r>
          <rPr>
            <sz val="9"/>
            <color indexed="81"/>
            <rFont val="Tahoma"/>
            <family val="2"/>
          </rPr>
          <t xml:space="preserve">
is fluid one used</t>
        </r>
      </text>
    </comment>
    <comment ref="A12" authorId="0">
      <text>
        <r>
          <rPr>
            <b/>
            <sz val="9"/>
            <color indexed="81"/>
            <rFont val="Tahoma"/>
            <family val="2"/>
          </rPr>
          <t>Jason Schoen:</t>
        </r>
        <r>
          <rPr>
            <sz val="9"/>
            <color indexed="81"/>
            <rFont val="Tahoma"/>
            <family val="2"/>
          </rPr>
          <t xml:space="preserve">
is fluid one used</t>
        </r>
      </text>
    </comment>
    <comment ref="A13" authorId="0">
      <text>
        <r>
          <rPr>
            <b/>
            <sz val="9"/>
            <color indexed="81"/>
            <rFont val="Tahoma"/>
            <family val="2"/>
          </rPr>
          <t>Jason Schoen:</t>
        </r>
        <r>
          <rPr>
            <sz val="9"/>
            <color indexed="81"/>
            <rFont val="Tahoma"/>
            <family val="2"/>
          </rPr>
          <t xml:space="preserve">
Is it not a GPCC</t>
        </r>
      </text>
    </comment>
    <comment ref="B14" authorId="0">
      <text>
        <r>
          <rPr>
            <b/>
            <sz val="9"/>
            <color indexed="81"/>
            <rFont val="Tahoma"/>
            <family val="2"/>
          </rPr>
          <t>Jason Schoen:</t>
        </r>
        <r>
          <rPr>
            <sz val="9"/>
            <color indexed="81"/>
            <rFont val="Tahoma"/>
            <family val="2"/>
          </rPr>
          <t xml:space="preserve">
is fluid 2 used and a syringe</t>
        </r>
      </text>
    </comment>
    <comment ref="C14" authorId="0">
      <text>
        <r>
          <rPr>
            <b/>
            <sz val="9"/>
            <color indexed="81"/>
            <rFont val="Tahoma"/>
            <family val="2"/>
          </rPr>
          <t>Jason Schoen:</t>
        </r>
        <r>
          <rPr>
            <sz val="9"/>
            <color indexed="81"/>
            <rFont val="Tahoma"/>
            <family val="2"/>
          </rPr>
          <t xml:space="preserve">
Is it not a GPCC</t>
        </r>
      </text>
    </comment>
    <comment ref="B15" authorId="0">
      <text>
        <r>
          <rPr>
            <b/>
            <sz val="9"/>
            <color indexed="81"/>
            <rFont val="Tahoma"/>
            <family val="2"/>
          </rPr>
          <t>Jason Schoen:</t>
        </r>
        <r>
          <rPr>
            <sz val="9"/>
            <color indexed="81"/>
            <rFont val="Tahoma"/>
            <family val="2"/>
          </rPr>
          <t xml:space="preserve">
is fluid 2 used, is solvent one used, is fluid 2 a syringe</t>
        </r>
      </text>
    </comment>
    <comment ref="C15" authorId="0">
      <text>
        <r>
          <rPr>
            <b/>
            <sz val="9"/>
            <color indexed="81"/>
            <rFont val="Tahoma"/>
            <family val="2"/>
          </rPr>
          <t>Jason Schoen:</t>
        </r>
        <r>
          <rPr>
            <sz val="9"/>
            <color indexed="81"/>
            <rFont val="Tahoma"/>
            <family val="2"/>
          </rPr>
          <t xml:space="preserve">
Is it not a GPCC</t>
        </r>
      </text>
    </comment>
    <comment ref="B16" authorId="0">
      <text>
        <r>
          <rPr>
            <b/>
            <sz val="9"/>
            <color indexed="81"/>
            <rFont val="Tahoma"/>
            <family val="2"/>
          </rPr>
          <t>Jason Schoen:</t>
        </r>
        <r>
          <rPr>
            <sz val="9"/>
            <color indexed="81"/>
            <rFont val="Tahoma"/>
            <family val="2"/>
          </rPr>
          <t xml:space="preserve">
is fluid 2 used</t>
        </r>
      </text>
    </comment>
    <comment ref="C16" authorId="0">
      <text>
        <r>
          <rPr>
            <b/>
            <sz val="9"/>
            <color indexed="81"/>
            <rFont val="Tahoma"/>
            <family val="2"/>
          </rPr>
          <t>Jason Schoen:</t>
        </r>
        <r>
          <rPr>
            <sz val="9"/>
            <color indexed="81"/>
            <rFont val="Tahoma"/>
            <family val="2"/>
          </rPr>
          <t xml:space="preserve">
Is it not a GPCC</t>
        </r>
      </text>
    </comment>
    <comment ref="B17" authorId="0">
      <text>
        <r>
          <rPr>
            <b/>
            <sz val="9"/>
            <color indexed="81"/>
            <rFont val="Tahoma"/>
            <family val="2"/>
          </rPr>
          <t>Jason Schoen:</t>
        </r>
        <r>
          <rPr>
            <sz val="9"/>
            <color indexed="81"/>
            <rFont val="Tahoma"/>
            <family val="2"/>
          </rPr>
          <t xml:space="preserve">
is fluid 2 used</t>
        </r>
      </text>
    </comment>
    <comment ref="C17" authorId="0">
      <text>
        <r>
          <rPr>
            <b/>
            <sz val="9"/>
            <color indexed="81"/>
            <rFont val="Tahoma"/>
            <family val="2"/>
          </rPr>
          <t>Jason Schoen:</t>
        </r>
        <r>
          <rPr>
            <sz val="9"/>
            <color indexed="81"/>
            <rFont val="Tahoma"/>
            <family val="2"/>
          </rPr>
          <t xml:space="preserve">
Is it not a GPCC</t>
        </r>
      </text>
    </comment>
    <comment ref="L19" authorId="0">
      <text>
        <r>
          <rPr>
            <b/>
            <sz val="9"/>
            <color indexed="81"/>
            <rFont val="Tahoma"/>
            <family val="2"/>
          </rPr>
          <t>POSSIBLE VALVES</t>
        </r>
      </text>
    </comment>
    <comment ref="A20" authorId="0">
      <text>
        <r>
          <rPr>
            <b/>
            <sz val="9"/>
            <color indexed="81"/>
            <rFont val="Tahoma"/>
            <family val="2"/>
          </rPr>
          <t>Jason Schoen:</t>
        </r>
        <r>
          <rPr>
            <sz val="9"/>
            <color indexed="81"/>
            <rFont val="Tahoma"/>
            <family val="2"/>
          </rPr>
          <t xml:space="preserve">
IS THERE A DISPENSE HEAD OR BLANK</t>
        </r>
      </text>
    </comment>
    <comment ref="A21" authorId="0">
      <text>
        <r>
          <rPr>
            <b/>
            <sz val="9"/>
            <color indexed="81"/>
            <rFont val="Tahoma"/>
            <family val="2"/>
          </rPr>
          <t>Jason Schoen:</t>
        </r>
        <r>
          <rPr>
            <sz val="9"/>
            <color indexed="81"/>
            <rFont val="Tahoma"/>
            <family val="2"/>
          </rPr>
          <t xml:space="preserve">
is valves 1 or more</t>
        </r>
      </text>
    </comment>
    <comment ref="B21" authorId="0">
      <text>
        <r>
          <rPr>
            <b/>
            <sz val="9"/>
            <color indexed="81"/>
            <rFont val="Tahoma"/>
            <family val="2"/>
          </rPr>
          <t>Jason Schoen:</t>
        </r>
        <r>
          <rPr>
            <sz val="9"/>
            <color indexed="81"/>
            <rFont val="Tahoma"/>
            <family val="2"/>
          </rPr>
          <t xml:space="preserve">
is valves 1 or more</t>
        </r>
      </text>
    </comment>
    <comment ref="C21" authorId="0">
      <text>
        <r>
          <rPr>
            <b/>
            <sz val="9"/>
            <color indexed="81"/>
            <rFont val="Tahoma"/>
            <family val="2"/>
          </rPr>
          <t>Jason Schoen:</t>
        </r>
        <r>
          <rPr>
            <sz val="9"/>
            <color indexed="81"/>
            <rFont val="Tahoma"/>
            <family val="2"/>
          </rPr>
          <t xml:space="preserve">
is it not a jetter?</t>
        </r>
      </text>
    </comment>
    <comment ref="L21" authorId="0">
      <text>
        <r>
          <rPr>
            <b/>
            <sz val="9"/>
            <color indexed="81"/>
            <rFont val="Tahoma"/>
            <family val="2"/>
          </rPr>
          <t>SPRAY Y/N</t>
        </r>
      </text>
    </comment>
    <comment ref="B22" authorId="0">
      <text>
        <r>
          <rPr>
            <b/>
            <sz val="9"/>
            <color indexed="81"/>
            <rFont val="Tahoma"/>
            <family val="2"/>
          </rPr>
          <t>Jason Schoen:</t>
        </r>
        <r>
          <rPr>
            <sz val="9"/>
            <color indexed="81"/>
            <rFont val="Tahoma"/>
            <family val="2"/>
          </rPr>
          <t xml:space="preserve">
is valves 1 or more and position 1 used</t>
        </r>
      </text>
    </comment>
    <comment ref="C22" authorId="0">
      <text>
        <r>
          <rPr>
            <b/>
            <sz val="9"/>
            <color indexed="81"/>
            <rFont val="Tahoma"/>
            <family val="2"/>
          </rPr>
          <t>Jason Schoen:</t>
        </r>
        <r>
          <rPr>
            <sz val="9"/>
            <color indexed="81"/>
            <rFont val="Tahoma"/>
            <family val="2"/>
          </rPr>
          <t xml:space="preserve">
WAS Is it not a GPCC</t>
        </r>
      </text>
    </comment>
    <comment ref="D22" authorId="0">
      <text>
        <r>
          <rPr>
            <b/>
            <sz val="9"/>
            <color indexed="81"/>
            <rFont val="Tahoma"/>
            <family val="2"/>
          </rPr>
          <t>Jason Schoen:</t>
        </r>
        <r>
          <rPr>
            <sz val="9"/>
            <color indexed="81"/>
            <rFont val="Tahoma"/>
            <family val="2"/>
          </rPr>
          <t xml:space="preserve">
is it not a jetter?</t>
        </r>
      </text>
    </comment>
    <comment ref="A23" authorId="0">
      <text>
        <r>
          <rPr>
            <b/>
            <sz val="9"/>
            <color indexed="81"/>
            <rFont val="Tahoma"/>
            <family val="2"/>
          </rPr>
          <t>Jason Schoen:</t>
        </r>
        <r>
          <rPr>
            <sz val="9"/>
            <color indexed="81"/>
            <rFont val="Tahoma"/>
            <family val="2"/>
          </rPr>
          <t xml:space="preserve">
is valves 2 or more</t>
        </r>
      </text>
    </comment>
    <comment ref="L23" authorId="0">
      <text>
        <r>
          <rPr>
            <b/>
            <sz val="9"/>
            <color indexed="81"/>
            <rFont val="Tahoma"/>
            <family val="2"/>
          </rPr>
          <t>SPRAY Y/N</t>
        </r>
      </text>
    </comment>
    <comment ref="B24" authorId="0">
      <text>
        <r>
          <rPr>
            <b/>
            <sz val="9"/>
            <color indexed="81"/>
            <rFont val="Tahoma"/>
            <family val="2"/>
          </rPr>
          <t>Jason Schoen:</t>
        </r>
        <r>
          <rPr>
            <sz val="9"/>
            <color indexed="81"/>
            <rFont val="Tahoma"/>
            <family val="2"/>
          </rPr>
          <t xml:space="preserve">
is valves 2 or more and position 2 used</t>
        </r>
      </text>
    </comment>
    <comment ref="C24" authorId="0">
      <text>
        <r>
          <rPr>
            <b/>
            <sz val="9"/>
            <color indexed="81"/>
            <rFont val="Tahoma"/>
            <family val="2"/>
          </rPr>
          <t>Jason Schoen:</t>
        </r>
        <r>
          <rPr>
            <sz val="9"/>
            <color indexed="81"/>
            <rFont val="Tahoma"/>
            <family val="2"/>
          </rPr>
          <t xml:space="preserve">
WAS Is it not a GPCC</t>
        </r>
      </text>
    </comment>
    <comment ref="A25" authorId="0">
      <text>
        <r>
          <rPr>
            <b/>
            <sz val="9"/>
            <color indexed="81"/>
            <rFont val="Tahoma"/>
            <family val="2"/>
          </rPr>
          <t>Jason Schoen:</t>
        </r>
        <r>
          <rPr>
            <sz val="9"/>
            <color indexed="81"/>
            <rFont val="Tahoma"/>
            <family val="2"/>
          </rPr>
          <t xml:space="preserve">
is valves 3 or more</t>
        </r>
      </text>
    </comment>
    <comment ref="L25" authorId="0">
      <text>
        <r>
          <rPr>
            <b/>
            <sz val="9"/>
            <color indexed="81"/>
            <rFont val="Tahoma"/>
            <family val="2"/>
          </rPr>
          <t>SPRAY Y/N</t>
        </r>
      </text>
    </comment>
    <comment ref="B26" authorId="0">
      <text>
        <r>
          <rPr>
            <b/>
            <sz val="9"/>
            <color indexed="81"/>
            <rFont val="Tahoma"/>
            <family val="2"/>
          </rPr>
          <t>Jason Schoen:</t>
        </r>
        <r>
          <rPr>
            <sz val="9"/>
            <color indexed="81"/>
            <rFont val="Tahoma"/>
            <family val="2"/>
          </rPr>
          <t xml:space="preserve">
is valves 3 or more and position 3 used</t>
        </r>
      </text>
    </comment>
    <comment ref="C26" authorId="0">
      <text>
        <r>
          <rPr>
            <b/>
            <sz val="9"/>
            <color indexed="81"/>
            <rFont val="Tahoma"/>
            <family val="2"/>
          </rPr>
          <t>Jason Schoen:</t>
        </r>
        <r>
          <rPr>
            <sz val="9"/>
            <color indexed="81"/>
            <rFont val="Tahoma"/>
            <family val="2"/>
          </rPr>
          <t xml:space="preserve">
WAS Is it not a GPCC</t>
        </r>
      </text>
    </comment>
    <comment ref="A27" authorId="0">
      <text>
        <r>
          <rPr>
            <b/>
            <sz val="9"/>
            <color indexed="81"/>
            <rFont val="Tahoma"/>
            <family val="2"/>
          </rPr>
          <t>Jason Schoen:</t>
        </r>
        <r>
          <rPr>
            <sz val="9"/>
            <color indexed="81"/>
            <rFont val="Tahoma"/>
            <family val="2"/>
          </rPr>
          <t xml:space="preserve">
is valves 4 or more</t>
        </r>
      </text>
    </comment>
    <comment ref="L27" authorId="0">
      <text>
        <r>
          <rPr>
            <b/>
            <sz val="9"/>
            <color indexed="81"/>
            <rFont val="Tahoma"/>
            <family val="2"/>
          </rPr>
          <t>SPRAY Y/N</t>
        </r>
      </text>
    </comment>
    <comment ref="B28" authorId="0">
      <text>
        <r>
          <rPr>
            <b/>
            <sz val="9"/>
            <color indexed="81"/>
            <rFont val="Tahoma"/>
            <family val="2"/>
          </rPr>
          <t>Jason Schoen:</t>
        </r>
        <r>
          <rPr>
            <sz val="9"/>
            <color indexed="81"/>
            <rFont val="Tahoma"/>
            <family val="2"/>
          </rPr>
          <t xml:space="preserve">
is valves 4 and position 4 used</t>
        </r>
      </text>
    </comment>
    <comment ref="C28" authorId="0">
      <text>
        <r>
          <rPr>
            <b/>
            <sz val="9"/>
            <color indexed="81"/>
            <rFont val="Tahoma"/>
            <family val="2"/>
          </rPr>
          <t>Jason Schoen:</t>
        </r>
        <r>
          <rPr>
            <sz val="9"/>
            <color indexed="81"/>
            <rFont val="Tahoma"/>
            <family val="2"/>
          </rPr>
          <t xml:space="preserve">
WAS Is it not a GPCC</t>
        </r>
      </text>
    </comment>
    <comment ref="L28" authorId="0">
      <text>
        <r>
          <rPr>
            <b/>
            <sz val="9"/>
            <color indexed="81"/>
            <rFont val="Tahoma"/>
            <family val="2"/>
          </rPr>
          <t># OF SPRAY</t>
        </r>
      </text>
    </comment>
    <comment ref="B31" authorId="0">
      <text>
        <r>
          <rPr>
            <b/>
            <sz val="9"/>
            <color indexed="81"/>
            <rFont val="Tahoma"/>
            <family val="2"/>
          </rPr>
          <t>Jason Schoen:</t>
        </r>
        <r>
          <rPr>
            <sz val="9"/>
            <color indexed="81"/>
            <rFont val="Tahoma"/>
            <family val="2"/>
          </rPr>
          <t xml:space="preserve">
IS IT NOT A FLEX FIXTURE</t>
        </r>
      </text>
    </comment>
    <comment ref="C31" authorId="0">
      <text>
        <r>
          <rPr>
            <b/>
            <sz val="9"/>
            <color indexed="81"/>
            <rFont val="Tahoma"/>
            <family val="2"/>
          </rPr>
          <t>Jason Schoen:</t>
        </r>
        <r>
          <rPr>
            <sz val="9"/>
            <color indexed="81"/>
            <rFont val="Tahoma"/>
            <family val="2"/>
          </rPr>
          <t xml:space="preserve">
IS THERE A CONVEYOR</t>
        </r>
      </text>
    </comment>
    <comment ref="B32" authorId="0">
      <text>
        <r>
          <rPr>
            <b/>
            <sz val="9"/>
            <color indexed="81"/>
            <rFont val="Tahoma"/>
            <family val="2"/>
          </rPr>
          <t>Jason Schoen:</t>
        </r>
        <r>
          <rPr>
            <sz val="9"/>
            <color indexed="81"/>
            <rFont val="Tahoma"/>
            <family val="2"/>
          </rPr>
          <t xml:space="preserve">
IS IT NOT A FLEX FIXTURE</t>
        </r>
      </text>
    </comment>
    <comment ref="C32" authorId="0">
      <text>
        <r>
          <rPr>
            <b/>
            <sz val="9"/>
            <color indexed="81"/>
            <rFont val="Tahoma"/>
            <family val="2"/>
          </rPr>
          <t>Jason Schoen:</t>
        </r>
        <r>
          <rPr>
            <sz val="9"/>
            <color indexed="81"/>
            <rFont val="Tahoma"/>
            <family val="2"/>
          </rPr>
          <t xml:space="preserve">
IS THERE A CONVEYOR</t>
        </r>
      </text>
    </comment>
    <comment ref="B33" authorId="0">
      <text>
        <r>
          <rPr>
            <b/>
            <sz val="9"/>
            <color indexed="81"/>
            <rFont val="Tahoma"/>
            <family val="2"/>
          </rPr>
          <t>Jason Schoen:</t>
        </r>
        <r>
          <rPr>
            <sz val="9"/>
            <color indexed="81"/>
            <rFont val="Tahoma"/>
            <family val="2"/>
          </rPr>
          <t xml:space="preserve">
IS IT NOT A FLEX FIXTURE</t>
        </r>
      </text>
    </comment>
    <comment ref="C33" authorId="0">
      <text>
        <r>
          <rPr>
            <b/>
            <sz val="9"/>
            <color indexed="81"/>
            <rFont val="Tahoma"/>
            <family val="2"/>
          </rPr>
          <t>Jason Schoen:</t>
        </r>
        <r>
          <rPr>
            <sz val="9"/>
            <color indexed="81"/>
            <rFont val="Tahoma"/>
            <family val="2"/>
          </rPr>
          <t xml:space="preserve">
IS THERE A CONVEYOR</t>
        </r>
      </text>
    </comment>
    <comment ref="L33" authorId="0">
      <text>
        <r>
          <rPr>
            <b/>
            <sz val="9"/>
            <color indexed="81"/>
            <rFont val="Tahoma"/>
            <family val="2"/>
          </rPr>
          <t>Jason Schoen:</t>
        </r>
        <r>
          <rPr>
            <sz val="9"/>
            <color indexed="81"/>
            <rFont val="Tahoma"/>
            <family val="2"/>
          </rPr>
          <t xml:space="preserve">
BIDIRECTIONAL?</t>
        </r>
      </text>
    </comment>
    <comment ref="B37" authorId="0">
      <text>
        <r>
          <rPr>
            <b/>
            <sz val="9"/>
            <color indexed="81"/>
            <rFont val="Tahoma"/>
            <family val="2"/>
          </rPr>
          <t>Jason Schoen:</t>
        </r>
        <r>
          <rPr>
            <sz val="9"/>
            <color indexed="81"/>
            <rFont val="Tahoma"/>
            <family val="2"/>
          </rPr>
          <t xml:space="preserve">
IS IT NOT A FLEX FIXTURE</t>
        </r>
      </text>
    </comment>
    <comment ref="C37" authorId="0">
      <text>
        <r>
          <rPr>
            <b/>
            <sz val="9"/>
            <color indexed="81"/>
            <rFont val="Tahoma"/>
            <family val="2"/>
          </rPr>
          <t>Jason Schoen:</t>
        </r>
        <r>
          <rPr>
            <sz val="9"/>
            <color indexed="81"/>
            <rFont val="Tahoma"/>
            <family val="2"/>
          </rPr>
          <t xml:space="preserve">
IS THERE A CONVEYOR</t>
        </r>
      </text>
    </comment>
    <comment ref="D37" authorId="0">
      <text>
        <r>
          <rPr>
            <b/>
            <sz val="9"/>
            <color indexed="81"/>
            <rFont val="Tahoma"/>
            <family val="2"/>
          </rPr>
          <t>Jason Schoen:</t>
        </r>
        <r>
          <rPr>
            <sz val="9"/>
            <color indexed="81"/>
            <rFont val="Tahoma"/>
            <family val="2"/>
          </rPr>
          <t xml:space="preserve">
Is there a GPCC</t>
        </r>
      </text>
    </comment>
    <comment ref="B38" authorId="0">
      <text>
        <r>
          <rPr>
            <b/>
            <sz val="9"/>
            <color indexed="81"/>
            <rFont val="Tahoma"/>
            <family val="2"/>
          </rPr>
          <t>Jason Schoen:</t>
        </r>
        <r>
          <rPr>
            <sz val="9"/>
            <color indexed="81"/>
            <rFont val="Tahoma"/>
            <family val="2"/>
          </rPr>
          <t xml:space="preserve">
IS IT NOT A FLEX FIXTURE</t>
        </r>
      </text>
    </comment>
    <comment ref="C38" authorId="0">
      <text>
        <r>
          <rPr>
            <b/>
            <sz val="9"/>
            <color indexed="81"/>
            <rFont val="Tahoma"/>
            <family val="2"/>
          </rPr>
          <t>Jason Schoen:</t>
        </r>
        <r>
          <rPr>
            <sz val="9"/>
            <color indexed="81"/>
            <rFont val="Tahoma"/>
            <family val="2"/>
          </rPr>
          <t xml:space="preserve">
IS THERE A CONVEYOR</t>
        </r>
      </text>
    </comment>
    <comment ref="D38" authorId="0">
      <text>
        <r>
          <rPr>
            <b/>
            <sz val="9"/>
            <color indexed="81"/>
            <rFont val="Tahoma"/>
            <family val="2"/>
          </rPr>
          <t>Jason Schoen:</t>
        </r>
        <r>
          <rPr>
            <sz val="9"/>
            <color indexed="81"/>
            <rFont val="Tahoma"/>
            <family val="2"/>
          </rPr>
          <t xml:space="preserve">
Is there a GPCC</t>
        </r>
      </text>
    </comment>
    <comment ref="B39" authorId="0">
      <text>
        <r>
          <rPr>
            <b/>
            <sz val="9"/>
            <color indexed="81"/>
            <rFont val="Tahoma"/>
            <family val="2"/>
          </rPr>
          <t>Jason Schoen:</t>
        </r>
        <r>
          <rPr>
            <sz val="9"/>
            <color indexed="81"/>
            <rFont val="Tahoma"/>
            <family val="2"/>
          </rPr>
          <t xml:space="preserve">
IS IT NOT A FLEX FIXTURE</t>
        </r>
      </text>
    </comment>
    <comment ref="C39" authorId="0">
      <text>
        <r>
          <rPr>
            <b/>
            <sz val="9"/>
            <color indexed="81"/>
            <rFont val="Tahoma"/>
            <family val="2"/>
          </rPr>
          <t>Jason Schoen:</t>
        </r>
        <r>
          <rPr>
            <sz val="9"/>
            <color indexed="81"/>
            <rFont val="Tahoma"/>
            <family val="2"/>
          </rPr>
          <t xml:space="preserve">
IS THERE A CONVEYOR</t>
        </r>
      </text>
    </comment>
    <comment ref="A43" authorId="0">
      <text>
        <r>
          <rPr>
            <b/>
            <sz val="9"/>
            <color indexed="81"/>
            <rFont val="Tahoma"/>
            <family val="2"/>
          </rPr>
          <t>Jason Schoen:</t>
        </r>
        <r>
          <rPr>
            <sz val="9"/>
            <color indexed="81"/>
            <rFont val="Tahoma"/>
            <family val="2"/>
          </rPr>
          <t xml:space="preserve">
IS IT 110V?</t>
        </r>
      </text>
    </comment>
    <comment ref="B45" authorId="0">
      <text>
        <r>
          <rPr>
            <b/>
            <sz val="9"/>
            <color indexed="81"/>
            <rFont val="Tahoma"/>
            <family val="2"/>
          </rPr>
          <t>Jason Schoen:</t>
        </r>
        <r>
          <rPr>
            <sz val="9"/>
            <color indexed="81"/>
            <rFont val="Tahoma"/>
            <family val="2"/>
          </rPr>
          <t xml:space="preserve">
IS THE ONE ABOVE N</t>
        </r>
      </text>
    </comment>
    <comment ref="C45" authorId="0">
      <text>
        <r>
          <rPr>
            <b/>
            <sz val="9"/>
            <color indexed="81"/>
            <rFont val="Tahoma"/>
            <family val="2"/>
          </rPr>
          <t>Jason Schoen:</t>
        </r>
        <r>
          <rPr>
            <sz val="9"/>
            <color indexed="81"/>
            <rFont val="Tahoma"/>
            <family val="2"/>
          </rPr>
          <t xml:space="preserve">
IS THE ONE ABOVE BLANK</t>
        </r>
      </text>
    </comment>
    <comment ref="B46" authorId="0">
      <text>
        <r>
          <rPr>
            <b/>
            <sz val="9"/>
            <color indexed="81"/>
            <rFont val="Tahoma"/>
            <family val="2"/>
          </rPr>
          <t>Jason Schoen:</t>
        </r>
        <r>
          <rPr>
            <sz val="9"/>
            <color indexed="81"/>
            <rFont val="Tahoma"/>
            <family val="2"/>
          </rPr>
          <t xml:space="preserve">
IS THE ONE ABOVE N</t>
        </r>
      </text>
    </comment>
    <comment ref="C46" authorId="0">
      <text>
        <r>
          <rPr>
            <b/>
            <sz val="9"/>
            <color indexed="81"/>
            <rFont val="Tahoma"/>
            <family val="2"/>
          </rPr>
          <t>Jason Schoen:</t>
        </r>
        <r>
          <rPr>
            <sz val="9"/>
            <color indexed="81"/>
            <rFont val="Tahoma"/>
            <family val="2"/>
          </rPr>
          <t xml:space="preserve">
IS THE ONE ABOVE BLANK</t>
        </r>
      </text>
    </comment>
    <comment ref="B47" authorId="0">
      <text>
        <r>
          <rPr>
            <b/>
            <sz val="9"/>
            <color indexed="81"/>
            <rFont val="Tahoma"/>
            <family val="2"/>
          </rPr>
          <t>Jason Schoen:</t>
        </r>
        <r>
          <rPr>
            <sz val="9"/>
            <color indexed="81"/>
            <rFont val="Tahoma"/>
            <family val="2"/>
          </rPr>
          <t xml:space="preserve">
IS THE ONE ABOVE N</t>
        </r>
      </text>
    </comment>
    <comment ref="C47" author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text>
        <r>
          <rPr>
            <b/>
            <sz val="9"/>
            <color indexed="81"/>
            <rFont val="Tahoma"/>
            <family val="2"/>
          </rPr>
          <t>Jason Schoen:</t>
        </r>
        <r>
          <rPr>
            <sz val="9"/>
            <color indexed="81"/>
            <rFont val="Tahoma"/>
            <family val="2"/>
          </rPr>
          <t xml:space="preserve">
PART NUMBER LOOKUP COLUMN</t>
        </r>
      </text>
    </comment>
    <comment ref="V9" authorId="0">
      <text>
        <r>
          <rPr>
            <b/>
            <sz val="9"/>
            <color indexed="81"/>
            <rFont val="Tahoma"/>
            <family val="2"/>
          </rPr>
          <t>Jason Schoen:</t>
        </r>
        <r>
          <rPr>
            <sz val="9"/>
            <color indexed="81"/>
            <rFont val="Tahoma"/>
            <family val="2"/>
          </rPr>
          <t xml:space="preserve">
galil lookup colunm</t>
        </r>
      </text>
    </comment>
    <comment ref="A13" authorId="0">
      <text>
        <r>
          <rPr>
            <b/>
            <sz val="9"/>
            <color indexed="81"/>
            <rFont val="Tahoma"/>
            <family val="2"/>
          </rPr>
          <t>Jason Schoen:</t>
        </r>
        <r>
          <rPr>
            <sz val="9"/>
            <color indexed="81"/>
            <rFont val="Tahoma"/>
            <family val="2"/>
          </rPr>
          <t xml:space="preserve">
RESULT</t>
        </r>
      </text>
    </comment>
    <comment ref="B13" authorId="0">
      <text>
        <r>
          <rPr>
            <b/>
            <sz val="9"/>
            <color indexed="81"/>
            <rFont val="Tahoma"/>
            <family val="2"/>
          </rPr>
          <t>Jason Schoen:</t>
        </r>
        <r>
          <rPr>
            <sz val="9"/>
            <color indexed="81"/>
            <rFont val="Tahoma"/>
            <family val="2"/>
          </rPr>
          <t xml:space="preserve">
IS IT BLANK</t>
        </r>
      </text>
    </comment>
    <comment ref="C13" authorId="0">
      <text>
        <r>
          <rPr>
            <b/>
            <sz val="9"/>
            <color indexed="81"/>
            <rFont val="Tahoma"/>
            <family val="2"/>
          </rPr>
          <t>Jason Schoen:</t>
        </r>
        <r>
          <rPr>
            <sz val="9"/>
            <color indexed="81"/>
            <rFont val="Tahoma"/>
            <family val="2"/>
          </rPr>
          <t xml:space="preserve">
IS IT A "N"
</t>
        </r>
      </text>
    </comment>
    <comment ref="A50" authorId="0">
      <text>
        <r>
          <rPr>
            <b/>
            <sz val="9"/>
            <color indexed="81"/>
            <rFont val="Tahoma"/>
            <family val="2"/>
          </rPr>
          <t>SPARES?</t>
        </r>
      </text>
    </comment>
    <comment ref="A51" authorId="0">
      <text>
        <r>
          <rPr>
            <b/>
            <sz val="9"/>
            <color indexed="81"/>
            <rFont val="Tahoma"/>
            <family val="2"/>
          </rPr>
          <t>SPARES?</t>
        </r>
      </text>
    </comment>
    <comment ref="A52" authorId="0">
      <text>
        <r>
          <rPr>
            <b/>
            <sz val="9"/>
            <color indexed="81"/>
            <rFont val="Tahoma"/>
            <family val="2"/>
          </rPr>
          <t>is there spares?</t>
        </r>
      </text>
    </comment>
    <comment ref="A53" authorId="0">
      <text>
        <r>
          <rPr>
            <b/>
            <sz val="9"/>
            <color indexed="81"/>
            <rFont val="Tahoma"/>
            <family val="2"/>
          </rPr>
          <t>Jason Schoen:</t>
        </r>
        <r>
          <rPr>
            <sz val="9"/>
            <color indexed="81"/>
            <rFont val="Tahoma"/>
            <family val="2"/>
          </rPr>
          <t xml:space="preserve">
result</t>
        </r>
      </text>
    </comment>
    <comment ref="B53" authorId="0">
      <text>
        <r>
          <rPr>
            <b/>
            <sz val="9"/>
            <color indexed="81"/>
            <rFont val="Tahoma"/>
            <family val="2"/>
          </rPr>
          <t>Jason Schoen:</t>
        </r>
        <r>
          <rPr>
            <sz val="9"/>
            <color indexed="81"/>
            <rFont val="Tahoma"/>
            <family val="2"/>
          </rPr>
          <t xml:space="preserve">
is there spares?</t>
        </r>
      </text>
    </comment>
    <comment ref="C53" authorId="0">
      <text>
        <r>
          <rPr>
            <b/>
            <sz val="9"/>
            <color indexed="81"/>
            <rFont val="Tahoma"/>
            <family val="2"/>
          </rPr>
          <t>Jason Schoen:</t>
        </r>
        <r>
          <rPr>
            <sz val="9"/>
            <color indexed="81"/>
            <rFont val="Tahoma"/>
            <family val="2"/>
          </rPr>
          <t xml:space="preserve">
is the option field blank
</t>
        </r>
      </text>
    </comment>
    <comment ref="D53" authorId="0">
      <text>
        <r>
          <rPr>
            <b/>
            <sz val="9"/>
            <color indexed="81"/>
            <rFont val="Tahoma"/>
            <family val="2"/>
          </rPr>
          <t>Jason Schoen:</t>
        </r>
        <r>
          <rPr>
            <sz val="9"/>
            <color indexed="81"/>
            <rFont val="Tahoma"/>
            <family val="2"/>
          </rPr>
          <t xml:space="preserve">
is there a N in the option field
</t>
        </r>
      </text>
    </comment>
    <comment ref="A60" authorId="0">
      <text>
        <r>
          <rPr>
            <b/>
            <sz val="9"/>
            <color indexed="81"/>
            <rFont val="Tahoma"/>
            <family val="2"/>
          </rPr>
          <t>Jason Schoen:</t>
        </r>
        <r>
          <rPr>
            <sz val="9"/>
            <color indexed="81"/>
            <rFont val="Tahoma"/>
            <family val="2"/>
          </rPr>
          <t xml:space="preserve">
ACCESSORIES?</t>
        </r>
      </text>
    </comment>
    <comment ref="A61" authorId="0">
      <text>
        <r>
          <rPr>
            <b/>
            <sz val="9"/>
            <color indexed="81"/>
            <rFont val="Tahoma"/>
            <family val="2"/>
          </rPr>
          <t>Jason Schoen:</t>
        </r>
        <r>
          <rPr>
            <sz val="9"/>
            <color indexed="81"/>
            <rFont val="Tahoma"/>
            <family val="2"/>
          </rPr>
          <t xml:space="preserve">
ACCESSORIES?</t>
        </r>
      </text>
    </comment>
    <comment ref="P70" author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<sst xmlns="http://schemas.openxmlformats.org/spreadsheetml/2006/main" count="1862" uniqueCount="700">
  <si>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</si>
  <si>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</si>
  <si>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</si>
  <si>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</si>
  <si>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</si>
  <si>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</si>
  <si>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</si>
  <si>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</si>
  <si>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</si>
  <si>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</si>
  <si>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</si>
  <si>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</si>
  <si>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</si>
  <si>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</si>
  <si>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</si>
  <si>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</si>
  <si>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</si>
  <si>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</si>
  <si>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</si>
  <si>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</si>
  <si>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</si>
  <si>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</si>
  <si>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</si>
  <si>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</si>
  <si>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</si>
  <si>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</si>
  <si>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</si>
  <si>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</si>
  <si>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</si>
  <si>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</si>
  <si>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</si>
  <si>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</si>
  <si>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</si>
  <si>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</si>
  <si>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</si>
  <si>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</si>
  <si>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</si>
  <si>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</si>
  <si>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</si>
  <si>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</si>
  <si>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</si>
  <si>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</si>
  <si>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</si>
  <si>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</si>
  <si>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</si>
  <si>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</si>
  <si>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</si>
  <si>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</si>
  <si>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</si>
  <si>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</si>
  <si>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</si>
  <si>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</si>
  <si>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</si>
  <si>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</si>
  <si>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</si>
  <si>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</si>
  <si>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</si>
  <si>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</si>
  <si>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</si>
  <si>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</si>
  <si>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</si>
  <si>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</si>
  <si>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</si>
  <si>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</si>
  <si>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</si>
  <si>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</si>
  <si>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</si>
  <si>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</si>
  <si>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</si>
  <si>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</si>
  <si>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</si>
  <si>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</si>
  <si>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</si>
  <si>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</si>
  <si>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</si>
  <si>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</si>
  <si>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</si>
  <si>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</si>
  <si>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</si>
  <si>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</si>
  <si>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</si>
  <si>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</si>
  <si>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</si>
  <si>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</si>
  <si>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</si>
  <si>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</si>
  <si>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</si>
  <si>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</si>
  <si>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</si>
  <si>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</si>
  <si>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</si>
  <si>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</si>
  <si>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</si>
  <si>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</si>
  <si>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</si>
  <si>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</si>
  <si>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</si>
  <si>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</si>
  <si>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</si>
  <si>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</si>
  <si>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</si>
  <si>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</si>
  <si>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</si>
  <si>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</si>
  <si>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</si>
  <si>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</si>
  <si>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</si>
  <si>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</si>
  <si>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</si>
  <si>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</si>
  <si>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</si>
  <si>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</si>
  <si>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</si>
  <si>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</si>
  <si>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</si>
  <si>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</si>
  <si>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</si>
  <si>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</si>
  <si>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</si>
  <si>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</si>
  <si>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</si>
  <si>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</si>
  <si>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</si>
  <si>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</si>
  <si>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</si>
  <si>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</si>
  <si>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</si>
  <si>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</si>
  <si>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</si>
  <si>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</si>
  <si>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</si>
  <si>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</si>
  <si>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</si>
  <si>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</si>
  <si>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</si>
  <si>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</si>
  <si>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</si>
  <si>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</si>
  <si>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</si>
  <si>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</si>
  <si>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</si>
  <si>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</si>
  <si>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</si>
  <si>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</si>
  <si>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</si>
  <si>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</si>
  <si>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</si>
  <si>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</si>
  <si>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</si>
  <si>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</si>
  <si>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</si>
  <si>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</si>
  <si>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</si>
  <si>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</si>
  <si>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</si>
  <si>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</si>
  <si>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</si>
  <si>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</si>
  <si>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</si>
  <si>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</si>
  <si>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</si>
  <si>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</si>
  <si>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</si>
  <si>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</si>
  <si>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</si>
  <si>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</si>
  <si>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</si>
  <si>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</si>
  <si>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</si>
  <si>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</si>
  <si>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</si>
  <si>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</si>
  <si>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</si>
  <si>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</si>
  <si>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</si>
  <si>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</si>
  <si>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</si>
  <si>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</si>
  <si>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</si>
  <si>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</si>
  <si>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</si>
  <si>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</si>
  <si>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</si>
  <si>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</si>
  <si>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</si>
  <si>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</si>
  <si>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</si>
  <si>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</si>
  <si>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</si>
  <si>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</si>
  <si>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</si>
  <si>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</si>
  <si>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</si>
  <si>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</si>
  <si>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</si>
  <si>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</si>
  <si>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</si>
  <si>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</si>
  <si>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</si>
  <si>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</si>
  <si>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</si>
  <si>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</si>
  <si>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</si>
  <si>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</si>
  <si>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</si>
  <si>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</si>
  <si>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</si>
  <si>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</si>
  <si>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</si>
  <si>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</si>
  <si>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</si>
  <si>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</si>
  <si>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</si>
  <si>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</si>
  <si>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</si>
  <si>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</si>
  <si>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</si>
  <si>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</si>
  <si>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</si>
  <si>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</si>
  <si>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</si>
  <si>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</si>
  <si>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</si>
  <si>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</si>
  <si>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</si>
  <si>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</si>
  <si>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</si>
  <si>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</si>
  <si>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</si>
  <si>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</si>
  <si>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</si>
  <si>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</si>
  <si>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</si>
  <si>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</si>
  <si>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</si>
  <si>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</si>
  <si>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</si>
  <si>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</si>
  <si>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</si>
  <si>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</si>
  <si>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</si>
  <si>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</si>
  <si>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</si>
  <si>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</si>
  <si>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</si>
  <si>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</si>
  <si>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</si>
  <si>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</si>
  <si>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</si>
  <si>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</si>
  <si>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</si>
  <si>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</si>
  <si>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</si>
  <si>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</si>
  <si>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</si>
  <si>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</si>
  <si>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</si>
  <si>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</si>
  <si>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</si>
  <si>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</si>
  <si>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</si>
  <si>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</si>
  <si>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</si>
  <si>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</si>
  <si>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</si>
  <si>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</si>
  <si>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</si>
  <si>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</si>
  <si>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</si>
  <si>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</si>
  <si>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</si>
  <si>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</si>
  <si>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</si>
  <si>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</si>
  <si>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</si>
  <si>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</si>
  <si>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</si>
  <si>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</si>
  <si>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</si>
  <si>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</si>
  <si>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</si>
  <si>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</si>
  <si>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</si>
  <si>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</si>
  <si>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</si>
  <si>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</si>
  <si>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</si>
  <si>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</si>
  <si>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</si>
  <si>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</si>
  <si>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</si>
  <si>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</si>
  <si>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</si>
  <si>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</si>
  <si>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</si>
  <si>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</si>
  <si>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</si>
  <si>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</si>
  <si>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</si>
  <si>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</si>
  <si>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</si>
  <si>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</si>
  <si>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</si>
  <si>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</si>
  <si>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</si>
  <si>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</si>
  <si>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</si>
  <si>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</si>
  <si>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</si>
  <si>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</si>
  <si>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</si>
  <si>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</si>
  <si>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</si>
  <si>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</si>
  <si>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</si>
  <si>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</si>
  <si>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</si>
  <si>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</si>
  <si>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</si>
  <si>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</si>
  <si>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</si>
  <si>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</si>
  <si>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</si>
  <si>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</si>
  <si>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</si>
  <si>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</si>
  <si>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</si>
  <si>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</si>
  <si>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</si>
  <si>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</si>
  <si>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</si>
  <si>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</si>
  <si>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</si>
  <si>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</si>
  <si>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</si>
  <si>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</si>
  <si>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</si>
  <si>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</si>
  <si>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</si>
  <si>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</si>
  <si>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</si>
  <si>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</si>
  <si>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</si>
  <si>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</si>
  <si>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</si>
  <si>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</si>
  <si>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</si>
  <si>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</si>
  <si>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</si>
  <si>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</si>
  <si>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</si>
  <si>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</si>
  <si>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</si>
  <si>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</si>
  <si>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</si>
  <si>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</si>
  <si>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</si>
  <si>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</si>
  <si>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</si>
  <si>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</si>
  <si>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</si>
  <si>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</si>
  <si>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</si>
  <si>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</si>
  <si>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</si>
  <si>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</si>
  <si>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</si>
  <si>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</si>
  <si>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</si>
  <si>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</si>
  <si>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</si>
  <si>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</si>
  <si>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</si>
  <si>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</si>
  <si>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</si>
  <si>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</si>
  <si>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</si>
  <si>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</si>
  <si>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</si>
  <si>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</si>
  <si>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</si>
  <si>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</si>
  <si>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</si>
  <si>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</si>
  <si>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</si>
  <si>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</si>
  <si>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</si>
  <si>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</si>
  <si>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</si>
  <si>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</si>
  <si>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</si>
  <si>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</si>
  <si>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</si>
  <si>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</si>
  <si>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</si>
  <si>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</si>
  <si>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</si>
  <si>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</si>
  <si>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</si>
  <si>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</si>
  <si>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</si>
  <si>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</si>
  <si>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</si>
  <si>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</si>
  <si>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</si>
  <si>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</si>
  <si>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</si>
  <si>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</si>
  <si>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</si>
  <si>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</si>
  <si>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</si>
  <si>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</si>
  <si>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</si>
  <si>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</si>
  <si>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</si>
  <si>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</si>
  <si>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</si>
  <si>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</si>
  <si>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</si>
  <si>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</si>
  <si>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</si>
  <si>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</si>
  <si>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</si>
  <si>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</si>
  <si>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</si>
  <si>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</si>
  <si>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</si>
  <si>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</si>
  <si>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</si>
  <si>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</si>
  <si>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</si>
  <si>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</si>
  <si>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</si>
  <si>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</si>
  <si>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</si>
  <si>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</si>
  <si>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</si>
  <si>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</si>
  <si>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</si>
  <si>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</si>
  <si>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</si>
  <si>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</si>
  <si>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</si>
  <si>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</si>
  <si>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</si>
  <si>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</si>
  <si>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</si>
  <si>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</si>
  <si>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</si>
  <si>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</si>
  <si>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</si>
  <si>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</si>
  <si>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</si>
  <si>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</si>
  <si>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</si>
  <si>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</si>
  <si>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</si>
  <si>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</si>
  <si>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</si>
  <si>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</si>
  <si>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</si>
  <si>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</si>
  <si>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</si>
  <si>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</si>
  <si>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</si>
  <si>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</si>
  <si>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</si>
  <si>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</si>
  <si>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</si>
  <si>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</si>
  <si>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</si>
  <si>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</si>
  <si>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</si>
  <si>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</si>
  <si>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</si>
  <si>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</si>
  <si>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</si>
  <si>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</si>
  <si>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</si>
  <si>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</si>
  <si>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</si>
  <si>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</si>
  <si>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</si>
  <si>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</si>
  <si>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</si>
  <si>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</si>
  <si>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</si>
  <si>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</si>
  <si>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</si>
  <si>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</si>
  <si>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</si>
  <si>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</si>
  <si>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</si>
  <si>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</si>
  <si>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</si>
  <si>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</si>
  <si>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</si>
  <si>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</si>
  <si>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</si>
  <si>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</si>
  <si>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</si>
  <si>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</si>
  <si>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</si>
  <si>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</si>
  <si>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</si>
  <si>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</si>
  <si>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</si>
  <si>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</si>
  <si>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</si>
  <si>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</si>
  <si>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</si>
  <si>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</si>
  <si>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</si>
  <si>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</si>
  <si>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</si>
  <si>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</si>
  <si>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</si>
  <si>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</si>
  <si>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</si>
  <si>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</si>
  <si>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</si>
  <si>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</si>
  <si>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</si>
  <si>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</si>
  <si>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</si>
  <si>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</si>
  <si>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</si>
  <si>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</si>
  <si>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</si>
  <si>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</si>
  <si>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</si>
  <si>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</si>
  <si>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</si>
  <si>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</si>
  <si>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</si>
  <si>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</si>
  <si>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</si>
  <si>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</si>
  <si>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</si>
  <si>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</si>
  <si>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</si>
  <si>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</si>
  <si>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</si>
  <si>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</si>
  <si>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</si>
  <si>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</si>
  <si>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</si>
  <si>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</si>
  <si>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</si>
  <si>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</si>
  <si>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</si>
  <si>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</si>
  <si>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</si>
  <si>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</si>
  <si>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</si>
  <si>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</si>
  <si>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</si>
  <si>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</si>
  <si>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</si>
  <si>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</si>
  <si>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</si>
  <si>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</si>
  <si>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</si>
  <si>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</si>
  <si>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</si>
  <si>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</si>
  <si>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</si>
  <si>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</si>
  <si>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</si>
  <si>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</si>
  <si>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</si>
  <si>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</si>
  <si>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</si>
  <si>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</si>
  <si>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</si>
  <si>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</si>
  <si>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</si>
  <si>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</si>
  <si>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</si>
  <si>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</si>
  <si>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</si>
  <si>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</si>
  <si>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</si>
  <si>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</si>
  <si>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</si>
  <si>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</si>
  <si>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</si>
  <si>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</si>
  <si>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</si>
  <si>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</si>
  <si>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</si>
  <si>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</si>
  <si>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</si>
  <si>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</si>
  <si>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</si>
  <si>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</si>
  <si>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</si>
  <si>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</si>
  <si>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</si>
  <si>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</si>
  <si>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</si>
  <si>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</si>
  <si>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</si>
  <si>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</si>
  <si>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</si>
  <si>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</si>
  <si>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</si>
  <si>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</si>
  <si>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</si>
  <si>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</si>
  <si>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</si>
  <si>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</si>
  <si>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</si>
  <si>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</si>
  <si>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</si>
  <si>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</si>
  <si>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</si>
  <si>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</si>
  <si>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</si>
  <si>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</si>
  <si>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</si>
  <si>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</si>
  <si>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</si>
  <si>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</si>
  <si>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</si>
  <si>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</si>
  <si>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</si>
  <si>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</si>
  <si>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</si>
  <si>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</si>
  <si>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</si>
  <si>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</si>
  <si>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</si>
  <si>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</si>
  <si>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</si>
  <si>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</si>
  <si>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</si>
  <si>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</si>
  <si>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</si>
  <si>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</si>
  <si>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</si>
  <si>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</si>
  <si>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</si>
  <si>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</si>
  <si>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</si>
  <si>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</si>
  <si>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</si>
  <si>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</si>
  <si>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</si>
  <si>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</si>
  <si>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</si>
  <si>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</si>
  <si>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</si>
  <si>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</si>
  <si>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</si>
  <si>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</si>
  <si>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</si>
  <si>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</si>
  <si>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</si>
  <si>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</si>
  <si>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GLBE4470</t>
  </si>
  <si>
    <t>Company:</t>
  </si>
  <si>
    <t>Program Creation</t>
  </si>
  <si>
    <t>Barcode - Mounted on Conveyor Inlet with P Select</t>
  </si>
  <si>
    <t>Notes:</t>
  </si>
  <si>
    <t>Program</t>
  </si>
  <si>
    <t>Programmer</t>
  </si>
  <si>
    <t>Jon Smith</t>
  </si>
  <si>
    <t>VSTN4624-C1469(Valve)</t>
  </si>
  <si>
    <t>Motor Tuning-()</t>
  </si>
  <si>
    <t>Dellon Moy</t>
  </si>
  <si>
    <t>VSTN4679-W6670(Service)</t>
  </si>
  <si>
    <t>LEAR4685-W6673(Programming)</t>
  </si>
  <si>
    <t>KIMB4690-W6682(Production)</t>
  </si>
  <si>
    <t>Jeremy Hotalen</t>
  </si>
  <si>
    <t>KIMB4690-R1482(Production)</t>
  </si>
  <si>
    <t>VSTN4624-D1948(Production)</t>
  </si>
  <si>
    <t>VSTN4624-D1974(Production)</t>
  </si>
  <si>
    <t>Mike Cannon</t>
  </si>
  <si>
    <t>CONT4569-W6599(Production)</t>
  </si>
  <si>
    <t>CONT4569-W6598(Debug)</t>
  </si>
  <si>
    <t>Pietr Langevort</t>
  </si>
  <si>
    <t>VSTN4624-C1476(Programming)</t>
  </si>
  <si>
    <t>William Shield</t>
  </si>
  <si>
    <t>VSTN4624-C1468(Valve)</t>
  </si>
  <si>
    <t>LIGH4659-C1485(Production)</t>
  </si>
  <si>
    <t>Ted Cost</t>
  </si>
  <si>
    <t>ELES4704-Q1562(Programming)</t>
  </si>
  <si>
    <t>MacKenzie Elliot</t>
  </si>
  <si>
    <t>ABED4700-W6687(Debug)</t>
  </si>
  <si>
    <t>NOKI4681-W6671(Debug)</t>
  </si>
  <si>
    <t>C.Will</t>
  </si>
  <si>
    <t>Program Training-()</t>
  </si>
  <si>
    <t>Chris L</t>
  </si>
  <si>
    <t>QA Training-()</t>
  </si>
  <si>
    <t>Lorenzo Ramirez</t>
  </si>
  <si>
    <t>Ryan Winne</t>
  </si>
  <si>
    <t>ENOV4730-S1089(Valve)</t>
  </si>
  <si>
    <t>JBIL4735</t>
  </si>
  <si>
    <t>A1028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</si>
</sst>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4"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
      <sz val="8"/>
      <color rgb="FF000000"/>
      <name val="Arial"/>
      <family val="2"/>
    </font>
    <font>
      <sz val="8"/>
      <color theme="1"/>
      <name val="Arial"/>
      <family val="2"/>
    </font>
  </fonts>
  <fills count="15">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000000"/>
        <bgColor indexed="64"/>
      </patternFill>
    </fill>
    <fill>
      <patternFill patternType="solid">
        <fgColor rgb="FFFFFFFF"/>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14" fontId="32" fillId="9" borderId="29" xfId="0" applyNumberFormat="1" applyFont="1" applyFill="1" applyBorder="1" applyAlignment="1">
      <alignment horizontal="center" vertical="center"/>
    </xf>
    <xf numFmtId="0" fontId="33" fillId="13" borderId="30" xfId="0" applyFont="1" applyFill="1" applyBorder="1" applyAlignment="1">
      <alignment wrapText="1"/>
    </xf>
    <xf numFmtId="0" fontId="33" fillId="0" borderId="31" xfId="0" applyFont="1" applyBorder="1" applyAlignment="1">
      <alignment wrapText="1"/>
    </xf>
    <xf numFmtId="0" fontId="33" fillId="13" borderId="31" xfId="0" applyFont="1" applyFill="1" applyBorder="1" applyAlignment="1">
      <alignment wrapText="1"/>
    </xf>
    <xf numFmtId="0" fontId="32" fillId="0" borderId="32" xfId="0" applyFont="1" applyBorder="1" applyAlignment="1">
      <alignment horizontal="center" vertical="center"/>
    </xf>
    <xf numFmtId="0" fontId="33" fillId="13" borderId="33" xfId="0" applyFont="1" applyFill="1" applyBorder="1" applyAlignment="1">
      <alignment wrapText="1"/>
    </xf>
    <xf numFmtId="16" fontId="32" fillId="0" borderId="33" xfId="0" applyNumberFormat="1" applyFont="1" applyBorder="1" applyAlignment="1">
      <alignment horizontal="center" vertical="center"/>
    </xf>
    <xf numFmtId="16" fontId="32" fillId="9" borderId="33" xfId="0" applyNumberFormat="1" applyFont="1" applyFill="1" applyBorder="1" applyAlignment="1">
      <alignment horizontal="center" vertical="center"/>
    </xf>
    <xf numFmtId="0" fontId="33" fillId="13" borderId="32" xfId="0" applyFont="1" applyFill="1" applyBorder="1" applyAlignment="1">
      <alignment wrapText="1"/>
    </xf>
    <xf numFmtId="0" fontId="32" fillId="14" borderId="33" xfId="0" applyFont="1" applyFill="1" applyBorder="1" applyAlignment="1">
      <alignment horizontal="center" vertical="center" wrapText="1"/>
    </xf>
    <xf numFmtId="0" fontId="33" fillId="14" borderId="33" xfId="0" applyFont="1" applyFill="1" applyBorder="1" applyAlignment="1">
      <alignment wrapText="1"/>
    </xf>
    <xf numFmtId="0" fontId="33" fillId="0" borderId="33" xfId="0" applyFont="1" applyBorder="1" applyAlignment="1">
      <alignment wrapText="1"/>
    </xf>
    <xf numFmtId="0" fontId="32" fillId="0" borderId="33" xfId="0" applyFont="1" applyBorder="1" applyAlignment="1">
      <alignment horizontal="center" vertical="center" wrapText="1"/>
    </xf>
    <xf numFmtId="0" fontId="33" fillId="13" borderId="34" xfId="0" applyFont="1" applyFill="1" applyBorder="1" applyAlignment="1">
      <alignment wrapText="1"/>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32" fillId="0" borderId="35" xfId="0" applyFont="1" applyBorder="1" applyAlignment="1">
      <alignment horizontal="center" vertical="center"/>
    </xf>
    <xf numFmtId="0" fontId="32" fillId="0" borderId="34" xfId="0" applyFont="1" applyBorder="1" applyAlignment="1">
      <alignment horizontal="center" vertical="center"/>
    </xf>
    <xf numFmtId="0" fontId="32" fillId="0" borderId="32" xfId="0" applyFont="1" applyBorder="1" applyAlignment="1">
      <alignment horizontal="center" vertical="center"/>
    </xf>
    <xf numFmtId="0" fontId="32" fillId="0" borderId="35" xfId="0" applyFont="1" applyBorder="1" applyAlignment="1">
      <alignment horizontal="center" vertical="center" wrapText="1"/>
    </xf>
    <xf numFmtId="0" fontId="32" fillId="0" borderId="34" xfId="0" applyFont="1" applyBorder="1" applyAlignment="1">
      <alignment horizontal="center" vertical="center" wrapText="1"/>
    </xf>
    <xf numFmtId="0" fontId="32" fillId="0" borderId="32" xfId="0" applyFont="1" applyBorder="1" applyAlignment="1">
      <alignment horizontal="center" vertical="center" wrapText="1"/>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16" fmlaLink="$H$4:$I$44" fmlaRange="$H$4:$I$44" noThreeD="1" sel="0" val="0"/>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6.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397558</xdr:colOff>
          <xdr:row>38</xdr:row>
          <xdr:rowOff>159667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8678"/>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243840</xdr:colOff>
          <xdr:row>59</xdr:row>
          <xdr:rowOff>198120</xdr:rowOff>
        </xdr:to>
        <xdr:sp macro="" textlink="">
          <xdr:nvSpPr>
            <xdr:cNvPr id="2532" name="Object 484" hidden="1">
              <a:extLst>
                <a:ext uri="{63B3BB69-23CF-44E3-9099-C40C66FF867C}">
                  <a14:compatExt spid="_x0000_s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2537" name="Object 489" hidden="1">
              <a:extLst>
                <a:ext uri="{63B3BB69-23CF-44E3-9099-C40C66FF867C}">
                  <a14:compatExt spid="_x0000_s2537"/>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22084" name="Button 2628" hidden="1">
              <a:extLst>
                <a:ext uri="{63B3BB69-23CF-44E3-9099-C40C66FF867C}">
                  <a14:compatExt spid="_x0000_s220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89535</xdr:colOff>
          <xdr:row>38</xdr:row>
          <xdr:rowOff>127488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8679"/>
                </a:ext>
              </a:extLst>
            </xdr:cNvPicPr>
          </xdr:nvPicPr>
          <xdr:blipFill>
            <a:blip xmlns:r="http://schemas.openxmlformats.org/officeDocument/2006/relationships" r:embed="rId4"/>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243840</xdr:colOff>
          <xdr:row>59</xdr:row>
          <xdr:rowOff>198120</xdr:rowOff>
        </xdr:to>
        <xdr:sp macro="" textlink="">
          <xdr:nvSpPr>
            <xdr:cNvPr id="22085" name="Object 2629" hidden="1">
              <a:extLst>
                <a:ext uri="{63B3BB69-23CF-44E3-9099-C40C66FF867C}">
                  <a14:compatExt spid="_x0000_s2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22086" name="Object 2630" hidden="1">
              <a:extLst>
                <a:ext uri="{63B3BB69-23CF-44E3-9099-C40C66FF867C}">
                  <a14:compatExt spid="_x0000_s22086"/>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14" name="Picture 13">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15" name="Picture 14"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49208" name="Button 5176" hidden="1">
              <a:extLst>
                <a:ext uri="{63B3BB69-23CF-44E3-9099-C40C66FF867C}">
                  <a14:compatExt spid="_x0000_s492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89535</xdr:colOff>
          <xdr:row>38</xdr:row>
          <xdr:rowOff>127488</xdr:rowOff>
        </xdr:to>
        <xdr:pic>
          <xdr:nvPicPr>
            <xdr:cNvPr id="17" name="Picture 16">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8680"/>
                </a:ext>
              </a:extLst>
            </xdr:cNvPicPr>
          </xdr:nvPicPr>
          <xdr:blipFill>
            <a:blip xmlns:r="http://schemas.openxmlformats.org/officeDocument/2006/relationships" r:embed="rId4"/>
            <a:srcRect/>
            <a:stretch>
              <a:fillRect/>
            </a:stretch>
          </xdr:blipFill>
          <xdr:spPr bwMode="auto">
            <a:xfrm>
              <a:off x="12933045" y="40898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266700</xdr:colOff>
          <xdr:row>59</xdr:row>
          <xdr:rowOff>198120</xdr:rowOff>
        </xdr:to>
        <xdr:sp macro="" textlink="">
          <xdr:nvSpPr>
            <xdr:cNvPr id="49209" name="Object 5177" hidden="1">
              <a:extLst>
                <a:ext uri="{63B3BB69-23CF-44E3-9099-C40C66FF867C}">
                  <a14:compatExt spid="_x0000_s49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49210" name="Object 5178" hidden="1">
              <a:extLst>
                <a:ext uri="{63B3BB69-23CF-44E3-9099-C40C66FF867C}">
                  <a14:compatExt spid="_x0000_s49210"/>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0" name="Picture 19">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1" name="Picture 20"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335280</xdr:rowOff>
        </xdr:to>
        <xdr:sp macro="" textlink="">
          <xdr:nvSpPr>
            <xdr:cNvPr id="49389" name="Button 5357" hidden="1">
              <a:extLst>
                <a:ext uri="{63B3BB69-23CF-44E3-9099-C40C66FF867C}">
                  <a14:compatExt spid="_x0000_s49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89535</xdr:colOff>
          <xdr:row>38</xdr:row>
          <xdr:rowOff>127488</xdr:rowOff>
        </xdr:to>
        <xdr:pic>
          <xdr:nvPicPr>
            <xdr:cNvPr id="23" name="Picture 2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8681"/>
                </a:ext>
              </a:extLst>
            </xdr:cNvPicPr>
          </xdr:nvPicPr>
          <xdr:blipFill>
            <a:blip xmlns:r="http://schemas.openxmlformats.org/officeDocument/2006/relationships" r:embed="rId4"/>
            <a:srcRect/>
            <a:stretch>
              <a:fillRect/>
            </a:stretch>
          </xdr:blipFill>
          <xdr:spPr bwMode="auto">
            <a:xfrm>
              <a:off x="9885045" y="4280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274320</xdr:colOff>
          <xdr:row>59</xdr:row>
          <xdr:rowOff>198120</xdr:rowOff>
        </xdr:to>
        <xdr:sp macro="" textlink="">
          <xdr:nvSpPr>
            <xdr:cNvPr id="49390" name="Object 5358" hidden="1">
              <a:extLst>
                <a:ext uri="{63B3BB69-23CF-44E3-9099-C40C66FF867C}">
                  <a14:compatExt spid="_x0000_s49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49391" name="Object 5359" hidden="1">
              <a:extLst>
                <a:ext uri="{63B3BB69-23CF-44E3-9099-C40C66FF867C}">
                  <a14:compatExt spid="_x0000_s49391"/>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6" name="Picture 25">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6329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7" name="Picture 26"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985760"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58532" name="Button 6308" hidden="1">
              <a:extLst>
                <a:ext uri="{63B3BB69-23CF-44E3-9099-C40C66FF867C}">
                  <a14:compatExt spid="_x0000_s585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154305</xdr:colOff>
          <xdr:row>38</xdr:row>
          <xdr:rowOff>135108</xdr:rowOff>
        </xdr:to>
        <xdr:pic>
          <xdr:nvPicPr>
            <xdr:cNvPr id="29" name="Picture 28">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8682"/>
                </a:ext>
              </a:extLst>
            </xdr:cNvPicPr>
          </xdr:nvPicPr>
          <xdr:blipFill>
            <a:blip xmlns:r="http://schemas.openxmlformats.org/officeDocument/2006/relationships" r:embed="rId4"/>
            <a:srcRect/>
            <a:stretch>
              <a:fillRect/>
            </a:stretch>
          </xdr:blipFill>
          <xdr:spPr bwMode="auto">
            <a:xfrm>
              <a:off x="10144125" y="3487908"/>
              <a:ext cx="354330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274320</xdr:colOff>
          <xdr:row>59</xdr:row>
          <xdr:rowOff>198120</xdr:rowOff>
        </xdr:to>
        <xdr:sp macro="" textlink="">
          <xdr:nvSpPr>
            <xdr:cNvPr id="58533" name="Object 6309" hidden="1">
              <a:extLst>
                <a:ext uri="{63B3BB69-23CF-44E3-9099-C40C66FF867C}">
                  <a14:compatExt spid="_x0000_s58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58534" name="Object 6310" hidden="1">
              <a:extLst>
                <a:ext uri="{63B3BB69-23CF-44E3-9099-C40C66FF867C}">
                  <a14:compatExt spid="_x0000_s5853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601980</xdr:colOff>
          <xdr:row>11</xdr:row>
          <xdr:rowOff>144780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18</xdr:row>
          <xdr:rowOff>7620</xdr:rowOff>
        </xdr:from>
        <xdr:to>
          <xdr:col>5</xdr:col>
          <xdr:colOff>121920</xdr:colOff>
          <xdr:row>21</xdr:row>
          <xdr:rowOff>60960</xdr:rowOff>
        </xdr:to>
        <xdr:sp macro="" textlink="">
          <xdr:nvSpPr>
            <xdr:cNvPr id="3074" name="CommandButton1"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83820</xdr:rowOff>
        </xdr:from>
        <xdr:to>
          <xdr:col>6</xdr:col>
          <xdr:colOff>60960</xdr:colOff>
          <xdr:row>30</xdr:row>
          <xdr:rowOff>30480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1470660</xdr:colOff>
          <xdr:row>0</xdr:row>
          <xdr:rowOff>30480</xdr:rowOff>
        </xdr:from>
        <xdr:to>
          <xdr:col>2</xdr:col>
          <xdr:colOff>1744980</xdr:colOff>
          <xdr:row>0</xdr:row>
          <xdr:rowOff>144780</xdr:rowOff>
        </xdr:to>
        <xdr:sp macro="" textlink="">
          <xdr:nvSpPr>
            <xdr:cNvPr id="6147" name="Drop Down 3"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175260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JBIL4735\DS%20Workcell%20Configurator%20Rev%202.17_PAEJabi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Machines\SUNB4723\DS%20Workcell%20Configurator%20S108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Machines\ENOV4730\Enovation%20Controls%20DS%20Workcell%20Configurator%20Rev%202.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Rev 2"/>
    </sheetNames>
    <definedNames>
      <definedName name="Clear"/>
    </definedNames>
    <sheetDataSet>
      <sheetData sheetId="0">
        <row r="3">
          <cell r="B3" t="str">
            <v>Work Cell</v>
          </cell>
        </row>
        <row r="8">
          <cell r="B8" t="str">
            <v>N</v>
          </cell>
          <cell r="E8" t="str">
            <v>FLUID_DELIVERY</v>
          </cell>
          <cell r="S8">
            <v>0</v>
          </cell>
          <cell r="Y8">
            <v>0</v>
          </cell>
        </row>
        <row r="9">
          <cell r="B9" t="str">
            <v>10CC Syringe</v>
          </cell>
          <cell r="C9" t="str">
            <v>O</v>
          </cell>
          <cell r="D9" t="str">
            <v>O</v>
          </cell>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Y21">
            <v>0</v>
          </cell>
        </row>
        <row r="22">
          <cell r="B22" t="str">
            <v>2 Gallon Top Ported Tank with Float</v>
          </cell>
          <cell r="C22" t="str">
            <v>O</v>
          </cell>
          <cell r="D22" t="str">
            <v>O</v>
          </cell>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Y22">
            <v>0</v>
          </cell>
        </row>
        <row r="23">
          <cell r="B23" t="str">
            <v>2 Gallon Top Ported Tank with Scale</v>
          </cell>
          <cell r="C23" t="str">
            <v>O</v>
          </cell>
          <cell r="D23" t="str">
            <v>O</v>
          </cell>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Y23">
            <v>0</v>
          </cell>
        </row>
        <row r="24">
          <cell r="B24" t="str">
            <v>10 Gallon Pressure Tank</v>
          </cell>
          <cell r="C24" t="str">
            <v>O</v>
          </cell>
          <cell r="D24" t="str">
            <v>O</v>
          </cell>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Y27">
            <v>0</v>
          </cell>
        </row>
        <row r="28">
          <cell r="B28" t="str">
            <v>GPCC Package Including - 10 Gallon Tank, Scale, 2 Gallon Solvent Flush</v>
          </cell>
          <cell r="C28" t="str">
            <v>O</v>
          </cell>
          <cell r="D28" t="str">
            <v>O</v>
          </cell>
          <cell r="G28" t="str">
            <v>612-2346-2</v>
          </cell>
          <cell r="H28" t="str">
            <v>A</v>
          </cell>
          <cell r="I28" t="str">
            <v>612-2346-4</v>
          </cell>
          <cell r="J28" t="str">
            <v>A</v>
          </cell>
          <cell r="K28" t="str">
            <v>612-2347-1</v>
          </cell>
          <cell r="V28">
            <v>15100</v>
          </cell>
          <cell r="W28" t="str">
            <v>WORD</v>
          </cell>
          <cell r="Y28">
            <v>0</v>
          </cell>
        </row>
        <row r="29">
          <cell r="B29" t="str">
            <v>Scale Only - Customer Vessel</v>
          </cell>
          <cell r="C29" t="str">
            <v>O</v>
          </cell>
          <cell r="D29" t="str">
            <v>O</v>
          </cell>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G34" t="str">
            <v>612-1879-2</v>
          </cell>
          <cell r="H34" t="str">
            <v>A</v>
          </cell>
          <cell r="I34" t="str">
            <v>612-1879-2</v>
          </cell>
          <cell r="J34" t="str">
            <v>A</v>
          </cell>
          <cell r="K34" t="str">
            <v>N/A</v>
          </cell>
          <cell r="L34" t="str">
            <v>N/A</v>
          </cell>
          <cell r="M34" t="str">
            <v>N/A</v>
          </cell>
          <cell r="N34" t="str">
            <v>N/A</v>
          </cell>
          <cell r="O34">
            <v>-9</v>
          </cell>
          <cell r="P34">
            <v>-59</v>
          </cell>
          <cell r="Q34">
            <v>-232</v>
          </cell>
          <cell r="S34">
            <v>0</v>
          </cell>
          <cell r="V34">
            <v>0</v>
          </cell>
          <cell r="W34" t="str">
            <v>SW</v>
          </cell>
          <cell r="X34" t="str">
            <v>ü</v>
          </cell>
          <cell r="Y34">
            <v>2</v>
          </cell>
        </row>
        <row r="35">
          <cell r="B35" t="str">
            <v>3 Station Dispense Head with Two Position Tilt on Stations 2 and 3</v>
          </cell>
          <cell r="C35" t="str">
            <v>O</v>
          </cell>
          <cell r="D35" t="str">
            <v>O</v>
          </cell>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G37" t="str">
            <v>612-1879-5</v>
          </cell>
          <cell r="H37" t="str">
            <v>A</v>
          </cell>
          <cell r="I37" t="str">
            <v>612-1879-5</v>
          </cell>
          <cell r="J37" t="str">
            <v>A</v>
          </cell>
          <cell r="K37" t="str">
            <v>N/A</v>
          </cell>
          <cell r="L37" t="str">
            <v>N/A</v>
          </cell>
          <cell r="M37" t="str">
            <v>N/A</v>
          </cell>
          <cell r="N37" t="str">
            <v>N/A</v>
          </cell>
          <cell r="O37">
            <v>-89</v>
          </cell>
          <cell r="P37">
            <v>-84</v>
          </cell>
          <cell r="Q37">
            <v>-282</v>
          </cell>
          <cell r="S37">
            <v>0</v>
          </cell>
          <cell r="V37">
            <v>3300</v>
          </cell>
          <cell r="W37" t="str">
            <v>SW</v>
          </cell>
          <cell r="X37" t="str">
            <v>ü</v>
          </cell>
          <cell r="Y37">
            <v>3</v>
          </cell>
        </row>
        <row r="38">
          <cell r="B38" t="str">
            <v>4 Station Dispense Head Dual Tooled Manually Adjustable, 32-200mm</v>
          </cell>
          <cell r="C38" t="str">
            <v>O</v>
          </cell>
          <cell r="D38" t="str">
            <v>O</v>
          </cell>
          <cell r="G38" t="str">
            <v>612-3338-1</v>
          </cell>
          <cell r="H38" t="str">
            <v>A</v>
          </cell>
          <cell r="I38" t="str">
            <v>612-3338-1</v>
          </cell>
          <cell r="J38" t="str">
            <v>A</v>
          </cell>
          <cell r="K38" t="str">
            <v>N/A</v>
          </cell>
          <cell r="L38" t="str">
            <v>N/A</v>
          </cell>
          <cell r="M38" t="str">
            <v>N/A</v>
          </cell>
          <cell r="N38" t="str">
            <v>N/A</v>
          </cell>
          <cell r="O38">
            <v>-64</v>
          </cell>
          <cell r="P38">
            <v>-125</v>
          </cell>
          <cell r="Q38">
            <v>-289</v>
          </cell>
          <cell r="S38">
            <v>0</v>
          </cell>
          <cell r="V38">
            <v>2780</v>
          </cell>
          <cell r="W38" t="str">
            <v>SW</v>
          </cell>
          <cell r="X38" t="str">
            <v>ü</v>
          </cell>
          <cell r="Y38">
            <v>4</v>
          </cell>
        </row>
        <row r="39">
          <cell r="B39" t="str">
            <v>Jetter Dispense Head with Second Station - Includes Jetter</v>
          </cell>
          <cell r="C39" t="str">
            <v>O</v>
          </cell>
          <cell r="D39" t="str">
            <v>O</v>
          </cell>
          <cell r="G39" t="str">
            <v>612-3172-1</v>
          </cell>
          <cell r="H39" t="str">
            <v>A</v>
          </cell>
          <cell r="I39" t="str">
            <v>612-3172-1</v>
          </cell>
          <cell r="J39" t="str">
            <v>A</v>
          </cell>
          <cell r="K39" t="str">
            <v>N/A</v>
          </cell>
          <cell r="L39" t="str">
            <v>N/A</v>
          </cell>
          <cell r="M39" t="str">
            <v>N/A</v>
          </cell>
          <cell r="N39" t="str">
            <v>N/A</v>
          </cell>
          <cell r="S39">
            <v>0</v>
          </cell>
          <cell r="V39">
            <v>16430</v>
          </cell>
          <cell r="W39" t="str">
            <v>SW</v>
          </cell>
          <cell r="Y39">
            <v>2</v>
          </cell>
        </row>
        <row r="40">
          <cell r="B40" t="str">
            <v>Jetter Dispense Head with Twist on Station 2 - Includes Jetter</v>
          </cell>
          <cell r="C40" t="str">
            <v>O</v>
          </cell>
          <cell r="D40" t="str">
            <v>O</v>
          </cell>
          <cell r="G40" t="str">
            <v>612-3172-2</v>
          </cell>
          <cell r="H40" t="str">
            <v>A</v>
          </cell>
          <cell r="I40" t="str">
            <v>612-3172-2</v>
          </cell>
          <cell r="J40" t="str">
            <v>A</v>
          </cell>
          <cell r="K40" t="str">
            <v>N/A</v>
          </cell>
          <cell r="L40" t="str">
            <v>N/A</v>
          </cell>
          <cell r="M40" t="str">
            <v>N/A</v>
          </cell>
          <cell r="N40" t="str">
            <v>N/A</v>
          </cell>
          <cell r="S40">
            <v>0</v>
          </cell>
          <cell r="V40">
            <v>19620</v>
          </cell>
          <cell r="W40" t="str">
            <v>SW</v>
          </cell>
          <cell r="Y40">
            <v>2</v>
          </cell>
        </row>
        <row r="41">
          <cell r="B41" t="str">
            <v>Servo 4th Axis with 3 Dispense Stations and (2) Two Position Tilts</v>
          </cell>
          <cell r="C41" t="str">
            <v>O</v>
          </cell>
          <cell r="D41" t="str">
            <v>O</v>
          </cell>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S44">
            <v>0</v>
          </cell>
          <cell r="Y44">
            <v>0</v>
          </cell>
        </row>
        <row r="45">
          <cell r="B45" t="str">
            <v>FCM100</v>
          </cell>
          <cell r="C45" t="str">
            <v>O</v>
          </cell>
          <cell r="D45" t="str">
            <v>O</v>
          </cell>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refreshError="1"/>
      <sheetData sheetId="2">
        <row r="68">
          <cell r="M68">
            <v>476</v>
          </cell>
          <cell r="N68">
            <v>575</v>
          </cell>
          <cell r="O68">
            <v>270</v>
          </cell>
          <cell r="Q68">
            <v>4</v>
          </cell>
          <cell r="S68">
            <v>70375</v>
          </cell>
        </row>
      </sheetData>
      <sheetData sheetId="3" refreshError="1"/>
      <sheetData sheetId="4" refreshError="1"/>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Enovation Controls DS Workcell "/>
    </sheetNames>
    <definedNames>
      <definedName name="Clear"/>
    </definedNames>
    <sheetDataSet>
      <sheetData sheetId="0">
        <row r="3">
          <cell r="B3" t="str">
            <v>Work Cell</v>
          </cell>
        </row>
      </sheetData>
      <sheetData sheetId="1"/>
      <sheetData sheetId="2">
        <row r="68">
          <cell r="M68">
            <v>376</v>
          </cell>
        </row>
      </sheetData>
      <sheetData sheetId="3"/>
      <sheetData sheetId="4"/>
      <sheetData sheetId="5">
        <row r="2">
          <cell r="A2" t="str">
            <v>Abchimie</v>
          </cell>
        </row>
      </sheetData>
      <sheetData sheetId="6">
        <row r="3">
          <cell r="B3" t="str">
            <v>Direction</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8.bin"/><Relationship Id="rId18" Type="http://schemas.openxmlformats.org/officeDocument/2006/relationships/ctrlProp" Target="../ctrlProps/ctrlProp3.xml"/><Relationship Id="rId3" Type="http://schemas.openxmlformats.org/officeDocument/2006/relationships/vmlDrawing" Target="../drawings/vmlDrawing2.vml"/><Relationship Id="rId21" Type="http://schemas.openxmlformats.org/officeDocument/2006/relationships/comments" Target="../comments2.xml"/><Relationship Id="rId7" Type="http://schemas.openxmlformats.org/officeDocument/2006/relationships/image" Target="../media/image4.emf"/><Relationship Id="rId12" Type="http://schemas.openxmlformats.org/officeDocument/2006/relationships/oleObject" Target="../embeddings/oleObject7.bin"/><Relationship Id="rId17" Type="http://schemas.openxmlformats.org/officeDocument/2006/relationships/ctrlProp" Target="../ctrlProps/ctrlProp2.xml"/><Relationship Id="rId2" Type="http://schemas.openxmlformats.org/officeDocument/2006/relationships/drawing" Target="../drawings/drawing2.xml"/><Relationship Id="rId16" Type="http://schemas.openxmlformats.org/officeDocument/2006/relationships/ctrlProp" Target="../ctrlProps/ctrlProp1.xml"/><Relationship Id="rId20" Type="http://schemas.openxmlformats.org/officeDocument/2006/relationships/ctrlProp" Target="../ctrlProps/ctrlProp5.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oleObject" Target="../embeddings/oleObject6.bin"/><Relationship Id="rId5" Type="http://schemas.openxmlformats.org/officeDocument/2006/relationships/image" Target="../media/image3.emf"/><Relationship Id="rId15" Type="http://schemas.openxmlformats.org/officeDocument/2006/relationships/oleObject" Target="../embeddings/oleObject10.bin"/><Relationship Id="rId10" Type="http://schemas.openxmlformats.org/officeDocument/2006/relationships/oleObject" Target="../embeddings/oleObject5.bin"/><Relationship Id="rId19" Type="http://schemas.openxmlformats.org/officeDocument/2006/relationships/ctrlProp" Target="../ctrlProps/ctrlProp4.xml"/><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oleObject" Target="../embeddings/oleObject9.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image" Target="../media/image9.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4" zoomScaleNormal="100" workbookViewId="0">
      <pane xSplit="4" topLeftCell="E1" activePane="topRight" state="frozen"/>
      <selection pane="topRight" activeCell="B11" sqref="B11"/>
    </sheetView>
  </sheetViews>
  <sheetFormatPr defaultRowHeight="14.4" outlineLevelCol="1" x14ac:dyDescent="0.3"/>
  <cols>
    <col min="1" max="1" width="11.44140625" customWidth="1"/>
    <col min="2" max="2" width="66.33203125" customWidth="1"/>
    <col min="3" max="4" width="4.33203125" bestFit="1" customWidth="1"/>
    <col min="5" max="6" width="16.6640625" style="7" customWidth="1" outlineLevel="1"/>
    <col min="7" max="7" width="12.33203125" style="3" customWidth="1" outlineLevel="1"/>
    <col min="8" max="8" width="4.33203125" customWidth="1" outlineLevel="1"/>
    <col min="9" max="9" width="12.33203125" style="3" customWidth="1" outlineLevel="1"/>
    <col min="10" max="10" width="4.33203125" customWidth="1" outlineLevel="1"/>
    <col min="11" max="11" width="12.88671875" style="3" customWidth="1" outlineLevel="1"/>
    <col min="12" max="12" width="11.44140625" customWidth="1" outlineLevel="1"/>
    <col min="13" max="13" width="12.6640625" customWidth="1" outlineLevel="1"/>
    <col min="14" max="14" width="12" customWidth="1" outlineLevel="1"/>
    <col min="15" max="17" width="6.88671875" style="3" customWidth="1" outlineLevel="1"/>
    <col min="18" max="18" width="7.88671875" style="3" customWidth="1" outlineLevel="1"/>
    <col min="19" max="19" width="9.109375" style="136" customWidth="1" outlineLevel="1"/>
    <col min="20" max="21" width="8.88671875" customWidth="1" outlineLevel="1"/>
    <col min="22" max="22" width="11.88671875" customWidth="1" outlineLevel="1"/>
    <col min="23" max="23" width="7.109375" style="3" customWidth="1" outlineLevel="1"/>
    <col min="24" max="24" width="4" customWidth="1" outlineLevel="1"/>
    <col min="25" max="25" width="11.44140625" style="114" customWidth="1" outlineLevel="1"/>
    <col min="26" max="26" width="8.88671875" customWidth="1" outlineLevel="1"/>
    <col min="27" max="27" width="16.33203125" customWidth="1"/>
  </cols>
  <sheetData>
    <row r="1" spans="1:27" ht="61.5" customHeight="1" x14ac:dyDescent="0.25">
      <c r="A1" s="282"/>
      <c r="B1" s="283"/>
      <c r="C1" s="283"/>
      <c r="D1" s="284"/>
      <c r="E1" s="12"/>
      <c r="F1" s="113"/>
      <c r="G1" s="281" t="str">
        <f>+B4</f>
        <v>Delta 6</v>
      </c>
      <c r="H1" s="281"/>
      <c r="I1" s="281" t="str">
        <f>+B5</f>
        <v>Delta 8</v>
      </c>
      <c r="J1" s="281"/>
      <c r="L1" s="12"/>
      <c r="M1" s="12"/>
      <c r="N1" s="12"/>
      <c r="O1" s="36"/>
      <c r="P1" s="36"/>
      <c r="Q1" s="36"/>
      <c r="R1" s="36"/>
      <c r="T1" s="285" t="s">
        <v>593</v>
      </c>
      <c r="U1" s="285"/>
      <c r="V1" s="12"/>
    </row>
    <row r="2" spans="1:27" ht="41.25" customHeight="1" thickBot="1" x14ac:dyDescent="0.3">
      <c r="A2" s="280" t="s">
        <v>420</v>
      </c>
      <c r="B2" s="280"/>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row>
    <row r="3" spans="1:27" ht="18.75" thickTop="1" thickBot="1" x14ac:dyDescent="0.35">
      <c r="A3" s="2">
        <v>1</v>
      </c>
      <c r="B3" s="1" t="s">
        <v>410</v>
      </c>
      <c r="C3" s="1"/>
      <c r="D3" s="1"/>
      <c r="F3" s="126"/>
      <c r="V3" s="21"/>
    </row>
    <row r="4" spans="1:27" ht="15" thickTop="1" x14ac:dyDescent="0.3">
      <c r="A4" s="113">
        <f>+A3+0.1</f>
        <v>1.1000000000000001</v>
      </c>
      <c r="B4" s="7" t="s">
        <v>322</v>
      </c>
      <c r="C4" s="7"/>
      <c r="D4" s="7"/>
      <c r="E4" s="287"/>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row>
    <row r="5" spans="1:27" x14ac:dyDescent="0.3">
      <c r="A5" s="113">
        <f>+A4+0.1</f>
        <v>1.2000000000000002</v>
      </c>
      <c r="B5" t="s">
        <v>411</v>
      </c>
      <c r="E5" s="287"/>
      <c r="H5" s="3"/>
      <c r="I5" s="3" t="s">
        <v>653</v>
      </c>
      <c r="J5" s="3" t="s">
        <v>351</v>
      </c>
      <c r="K5" s="163" t="s">
        <v>481</v>
      </c>
      <c r="L5" s="4"/>
      <c r="M5" s="4"/>
      <c r="N5" s="4" t="s">
        <v>169</v>
      </c>
      <c r="O5" s="3">
        <f>621-10</f>
        <v>611</v>
      </c>
      <c r="P5" s="3">
        <f>595-10</f>
        <v>585</v>
      </c>
      <c r="Q5" s="3">
        <v>500</v>
      </c>
      <c r="R5" s="3">
        <v>3</v>
      </c>
      <c r="S5" s="136">
        <v>4</v>
      </c>
      <c r="U5" t="s">
        <v>618</v>
      </c>
      <c r="V5" s="21">
        <v>39650</v>
      </c>
      <c r="W5" s="3" t="s">
        <v>171</v>
      </c>
      <c r="X5" s="89"/>
    </row>
    <row r="6" spans="1:27" ht="15" x14ac:dyDescent="0.25">
      <c r="A6" s="112"/>
      <c r="H6" s="3"/>
      <c r="J6" s="3"/>
      <c r="L6" s="4"/>
      <c r="M6" s="4"/>
      <c r="N6" s="4"/>
      <c r="V6" s="21"/>
      <c r="X6" s="89"/>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row>
    <row r="8" spans="1:27" ht="15.75" hidden="1" thickTop="1" x14ac:dyDescent="0.25">
      <c r="B8" t="s">
        <v>407</v>
      </c>
      <c r="E8" s="286" t="s">
        <v>433</v>
      </c>
      <c r="F8" s="70"/>
      <c r="H8" s="3"/>
      <c r="J8" s="3"/>
      <c r="K8" s="4"/>
      <c r="S8" s="136">
        <v>0</v>
      </c>
      <c r="V8" s="21"/>
      <c r="Y8" s="114">
        <v>0</v>
      </c>
    </row>
    <row r="9" spans="1:27" ht="15" thickTop="1" x14ac:dyDescent="0.3">
      <c r="A9" s="113">
        <f>+A$7+0.1</f>
        <v>2.1</v>
      </c>
      <c r="B9" t="s">
        <v>337</v>
      </c>
      <c r="C9" s="4" t="s">
        <v>473</v>
      </c>
      <c r="D9" s="4" t="s">
        <v>473</v>
      </c>
      <c r="E9" s="286"/>
      <c r="F9" s="70"/>
      <c r="G9" s="3" t="s">
        <v>338</v>
      </c>
      <c r="H9" s="3" t="s">
        <v>351</v>
      </c>
      <c r="I9" s="3" t="s">
        <v>338</v>
      </c>
      <c r="J9" s="3" t="s">
        <v>351</v>
      </c>
      <c r="K9" s="4" t="s">
        <v>140</v>
      </c>
      <c r="L9" s="4" t="s">
        <v>339</v>
      </c>
      <c r="M9" s="4" t="s">
        <v>140</v>
      </c>
      <c r="N9" s="4" t="s">
        <v>140</v>
      </c>
      <c r="S9" s="136">
        <v>0</v>
      </c>
      <c r="V9" s="21">
        <v>550</v>
      </c>
      <c r="W9" s="3" t="s">
        <v>172</v>
      </c>
      <c r="X9" s="89" t="s">
        <v>313</v>
      </c>
      <c r="Y9" s="122">
        <v>1</v>
      </c>
    </row>
    <row r="10" spans="1:27" x14ac:dyDescent="0.3">
      <c r="A10" s="113">
        <f>+A9+0.1</f>
        <v>2.2000000000000002</v>
      </c>
      <c r="B10" t="s">
        <v>118</v>
      </c>
      <c r="C10" s="4" t="s">
        <v>473</v>
      </c>
      <c r="D10" s="4" t="s">
        <v>473</v>
      </c>
      <c r="E10" s="286"/>
      <c r="F10" s="70"/>
      <c r="G10" s="3" t="s">
        <v>150</v>
      </c>
      <c r="H10" s="3" t="s">
        <v>351</v>
      </c>
      <c r="I10" s="3" t="s">
        <v>150</v>
      </c>
      <c r="J10" s="3" t="s">
        <v>351</v>
      </c>
      <c r="K10" s="4" t="s">
        <v>140</v>
      </c>
      <c r="L10" s="4" t="s">
        <v>119</v>
      </c>
      <c r="M10" s="4" t="s">
        <v>140</v>
      </c>
      <c r="N10" s="4" t="s">
        <v>140</v>
      </c>
      <c r="S10" s="136">
        <v>0</v>
      </c>
      <c r="V10" s="23">
        <v>300</v>
      </c>
      <c r="W10" s="3" t="s">
        <v>172</v>
      </c>
      <c r="X10" s="89" t="s">
        <v>313</v>
      </c>
      <c r="Y10" s="122">
        <v>0</v>
      </c>
    </row>
    <row r="11" spans="1:27" x14ac:dyDescent="0.3">
      <c r="A11" s="113">
        <f t="shared" ref="A11:A17" si="0">+A10+0.1</f>
        <v>2.3000000000000003</v>
      </c>
      <c r="B11" t="s">
        <v>121</v>
      </c>
      <c r="C11" s="4" t="s">
        <v>473</v>
      </c>
      <c r="D11" s="4" t="s">
        <v>473</v>
      </c>
      <c r="E11" s="286"/>
      <c r="F11" s="70"/>
      <c r="G11" s="3" t="s">
        <v>151</v>
      </c>
      <c r="H11" s="3" t="s">
        <v>351</v>
      </c>
      <c r="I11" s="3" t="s">
        <v>151</v>
      </c>
      <c r="J11" s="3" t="s">
        <v>351</v>
      </c>
      <c r="K11" s="4" t="s">
        <v>140</v>
      </c>
      <c r="L11" s="3" t="s">
        <v>120</v>
      </c>
      <c r="M11" s="4" t="s">
        <v>140</v>
      </c>
      <c r="N11" s="4" t="s">
        <v>140</v>
      </c>
      <c r="S11" s="136">
        <v>0</v>
      </c>
      <c r="V11" s="23">
        <v>330</v>
      </c>
      <c r="W11" s="3" t="s">
        <v>172</v>
      </c>
      <c r="X11" s="89" t="s">
        <v>313</v>
      </c>
      <c r="Y11" s="122">
        <v>0</v>
      </c>
    </row>
    <row r="12" spans="1:27" x14ac:dyDescent="0.3">
      <c r="A12" s="113">
        <f t="shared" si="0"/>
        <v>2.4000000000000004</v>
      </c>
      <c r="B12" t="s">
        <v>124</v>
      </c>
      <c r="C12" s="4" t="s">
        <v>473</v>
      </c>
      <c r="D12" s="4" t="s">
        <v>473</v>
      </c>
      <c r="E12" s="286"/>
      <c r="F12" s="70"/>
      <c r="G12" s="3" t="s">
        <v>152</v>
      </c>
      <c r="H12" s="3" t="s">
        <v>351</v>
      </c>
      <c r="I12" s="3" t="s">
        <v>152</v>
      </c>
      <c r="J12" s="3" t="s">
        <v>351</v>
      </c>
      <c r="K12" s="4" t="s">
        <v>140</v>
      </c>
      <c r="L12" s="3" t="s">
        <v>122</v>
      </c>
      <c r="M12" s="4" t="s">
        <v>140</v>
      </c>
      <c r="N12" s="4" t="s">
        <v>140</v>
      </c>
      <c r="S12" s="136">
        <v>0</v>
      </c>
      <c r="V12" s="23">
        <v>600</v>
      </c>
      <c r="W12" s="3" t="s">
        <v>172</v>
      </c>
      <c r="Y12" s="122">
        <v>0</v>
      </c>
    </row>
    <row r="13" spans="1:27" x14ac:dyDescent="0.3">
      <c r="A13" s="113">
        <f t="shared" si="0"/>
        <v>2.5000000000000004</v>
      </c>
      <c r="B13" t="s">
        <v>125</v>
      </c>
      <c r="C13" s="4" t="s">
        <v>473</v>
      </c>
      <c r="D13" s="4" t="s">
        <v>473</v>
      </c>
      <c r="E13" s="286"/>
      <c r="F13" s="70"/>
      <c r="G13" s="3" t="s">
        <v>153</v>
      </c>
      <c r="H13" s="3" t="s">
        <v>351</v>
      </c>
      <c r="I13" s="3" t="s">
        <v>153</v>
      </c>
      <c r="J13" s="3" t="s">
        <v>351</v>
      </c>
      <c r="K13" s="4" t="s">
        <v>140</v>
      </c>
      <c r="L13" s="3" t="s">
        <v>123</v>
      </c>
      <c r="M13" s="4" t="s">
        <v>140</v>
      </c>
      <c r="N13" s="4" t="s">
        <v>140</v>
      </c>
      <c r="S13" s="136">
        <v>0</v>
      </c>
      <c r="V13" s="23">
        <v>670</v>
      </c>
      <c r="W13" s="3" t="s">
        <v>172</v>
      </c>
      <c r="Y13" s="122">
        <v>0</v>
      </c>
    </row>
    <row r="14" spans="1:27" x14ac:dyDescent="0.3">
      <c r="A14" s="113">
        <f t="shared" si="0"/>
        <v>2.6000000000000005</v>
      </c>
      <c r="B14" t="s">
        <v>359</v>
      </c>
      <c r="C14" s="4" t="s">
        <v>473</v>
      </c>
      <c r="D14" s="4" t="s">
        <v>473</v>
      </c>
      <c r="E14" s="286"/>
      <c r="F14" s="70"/>
      <c r="G14" s="3" t="s">
        <v>154</v>
      </c>
      <c r="H14" s="3" t="s">
        <v>351</v>
      </c>
      <c r="I14" s="3" t="s">
        <v>154</v>
      </c>
      <c r="J14" s="3" t="s">
        <v>351</v>
      </c>
      <c r="K14" s="3" t="s">
        <v>195</v>
      </c>
      <c r="L14" s="3" t="s">
        <v>127</v>
      </c>
      <c r="M14" s="4" t="s">
        <v>140</v>
      </c>
      <c r="N14" s="4" t="s">
        <v>140</v>
      </c>
      <c r="S14" s="136">
        <v>0</v>
      </c>
      <c r="V14" s="23">
        <v>930</v>
      </c>
      <c r="W14" s="3" t="s">
        <v>172</v>
      </c>
      <c r="Y14" s="122">
        <v>0</v>
      </c>
    </row>
    <row r="15" spans="1:27" x14ac:dyDescent="0.3">
      <c r="A15" s="113">
        <f t="shared" si="0"/>
        <v>2.7000000000000006</v>
      </c>
      <c r="B15" t="s">
        <v>360</v>
      </c>
      <c r="C15" s="4" t="s">
        <v>473</v>
      </c>
      <c r="D15" s="4" t="s">
        <v>473</v>
      </c>
      <c r="E15" s="286"/>
      <c r="F15" s="70"/>
      <c r="G15" s="3" t="s">
        <v>155</v>
      </c>
      <c r="H15" s="3" t="s">
        <v>351</v>
      </c>
      <c r="I15" s="3" t="s">
        <v>155</v>
      </c>
      <c r="J15" s="3" t="s">
        <v>351</v>
      </c>
      <c r="K15" s="3" t="s">
        <v>196</v>
      </c>
      <c r="L15" s="3" t="s">
        <v>126</v>
      </c>
      <c r="M15" s="4" t="s">
        <v>140</v>
      </c>
      <c r="N15" s="4" t="s">
        <v>140</v>
      </c>
      <c r="S15" s="136">
        <v>0</v>
      </c>
      <c r="V15" s="23">
        <v>2880</v>
      </c>
      <c r="W15" s="3" t="s">
        <v>172</v>
      </c>
      <c r="Y15" s="122">
        <v>0</v>
      </c>
    </row>
    <row r="16" spans="1:27" x14ac:dyDescent="0.3">
      <c r="A16" s="113">
        <f t="shared" si="0"/>
        <v>2.8000000000000007</v>
      </c>
      <c r="B16" t="s">
        <v>361</v>
      </c>
      <c r="C16" s="4" t="s">
        <v>473</v>
      </c>
      <c r="D16" s="4" t="s">
        <v>473</v>
      </c>
      <c r="E16" s="286"/>
      <c r="F16" s="70"/>
      <c r="G16" s="3" t="s">
        <v>363</v>
      </c>
      <c r="H16" s="3" t="s">
        <v>351</v>
      </c>
      <c r="I16" s="3" t="s">
        <v>363</v>
      </c>
      <c r="J16" s="3" t="s">
        <v>351</v>
      </c>
      <c r="K16" s="3" t="s">
        <v>365</v>
      </c>
      <c r="L16" s="3" t="s">
        <v>367</v>
      </c>
      <c r="M16" s="4" t="s">
        <v>140</v>
      </c>
      <c r="N16" s="4" t="s">
        <v>140</v>
      </c>
      <c r="S16" s="136">
        <v>0</v>
      </c>
      <c r="V16" s="23">
        <v>1340</v>
      </c>
      <c r="W16" s="3" t="s">
        <v>172</v>
      </c>
      <c r="Y16" s="122">
        <v>0</v>
      </c>
    </row>
    <row r="17" spans="1:25" x14ac:dyDescent="0.3">
      <c r="A17" s="113">
        <f t="shared" si="0"/>
        <v>2.9000000000000008</v>
      </c>
      <c r="B17" t="s">
        <v>362</v>
      </c>
      <c r="C17" s="4" t="s">
        <v>473</v>
      </c>
      <c r="D17" s="4" t="s">
        <v>473</v>
      </c>
      <c r="E17" s="286"/>
      <c r="F17" s="70"/>
      <c r="G17" s="3" t="s">
        <v>364</v>
      </c>
      <c r="H17" s="3" t="s">
        <v>351</v>
      </c>
      <c r="I17" s="3" t="s">
        <v>364</v>
      </c>
      <c r="J17" s="3" t="s">
        <v>351</v>
      </c>
      <c r="K17" s="3" t="s">
        <v>366</v>
      </c>
      <c r="L17" s="3" t="s">
        <v>368</v>
      </c>
      <c r="M17" s="4" t="s">
        <v>140</v>
      </c>
      <c r="N17" s="4" t="s">
        <v>140</v>
      </c>
      <c r="S17" s="136">
        <v>0</v>
      </c>
      <c r="V17" s="23">
        <v>3300</v>
      </c>
      <c r="W17" s="3" t="s">
        <v>172</v>
      </c>
      <c r="Y17" s="122">
        <v>0</v>
      </c>
    </row>
    <row r="18" spans="1:25" x14ac:dyDescent="0.3">
      <c r="A18" s="117">
        <v>2.1</v>
      </c>
      <c r="B18" t="s">
        <v>131</v>
      </c>
      <c r="C18" s="4" t="s">
        <v>473</v>
      </c>
      <c r="D18" s="4" t="s">
        <v>473</v>
      </c>
      <c r="E18" s="286"/>
      <c r="F18" s="70"/>
      <c r="G18" s="3" t="s">
        <v>156</v>
      </c>
      <c r="H18" s="3" t="s">
        <v>377</v>
      </c>
      <c r="I18" s="3" t="s">
        <v>156</v>
      </c>
      <c r="J18" s="3" t="s">
        <v>377</v>
      </c>
      <c r="K18" s="3" t="s">
        <v>197</v>
      </c>
      <c r="L18" s="3" t="s">
        <v>128</v>
      </c>
      <c r="M18" s="4" t="s">
        <v>140</v>
      </c>
      <c r="N18" s="4" t="s">
        <v>140</v>
      </c>
      <c r="S18" s="136">
        <v>0</v>
      </c>
      <c r="V18" s="23">
        <v>1020</v>
      </c>
      <c r="W18" s="3" t="s">
        <v>172</v>
      </c>
      <c r="X18" s="89" t="s">
        <v>313</v>
      </c>
      <c r="Y18" s="122">
        <v>0</v>
      </c>
    </row>
    <row r="19" spans="1:25" x14ac:dyDescent="0.3">
      <c r="A19" s="117">
        <f>+A18+0.01</f>
        <v>2.11</v>
      </c>
      <c r="B19" t="s">
        <v>132</v>
      </c>
      <c r="C19" s="4" t="s">
        <v>473</v>
      </c>
      <c r="D19" s="4" t="s">
        <v>473</v>
      </c>
      <c r="E19" s="286"/>
      <c r="F19" s="70"/>
      <c r="G19" s="3" t="s">
        <v>157</v>
      </c>
      <c r="H19" s="3" t="s">
        <v>377</v>
      </c>
      <c r="I19" s="3" t="s">
        <v>157</v>
      </c>
      <c r="J19" s="3" t="s">
        <v>377</v>
      </c>
      <c r="K19" s="3" t="s">
        <v>198</v>
      </c>
      <c r="L19" s="3" t="s">
        <v>130</v>
      </c>
      <c r="M19" s="4" t="s">
        <v>140</v>
      </c>
      <c r="N19" s="4" t="s">
        <v>140</v>
      </c>
      <c r="S19" s="136">
        <v>0</v>
      </c>
      <c r="V19" s="23">
        <v>2150</v>
      </c>
      <c r="W19" s="3" t="s">
        <v>172</v>
      </c>
      <c r="X19" s="89" t="s">
        <v>313</v>
      </c>
      <c r="Y19" s="122">
        <v>0</v>
      </c>
    </row>
    <row r="20" spans="1:25" x14ac:dyDescent="0.3">
      <c r="A20" s="117">
        <f t="shared" ref="A20:A29" si="1">+A19+0.01</f>
        <v>2.1199999999999997</v>
      </c>
      <c r="B20" t="s">
        <v>133</v>
      </c>
      <c r="C20" s="4" t="s">
        <v>473</v>
      </c>
      <c r="D20" s="4" t="s">
        <v>473</v>
      </c>
      <c r="E20" s="286"/>
      <c r="F20" s="70"/>
      <c r="G20" s="3" t="s">
        <v>158</v>
      </c>
      <c r="H20" s="3" t="s">
        <v>377</v>
      </c>
      <c r="I20" s="3" t="s">
        <v>158</v>
      </c>
      <c r="J20" s="3" t="s">
        <v>377</v>
      </c>
      <c r="K20" s="3" t="s">
        <v>199</v>
      </c>
      <c r="L20" s="3" t="s">
        <v>129</v>
      </c>
      <c r="M20" s="4" t="s">
        <v>140</v>
      </c>
      <c r="N20" s="4" t="s">
        <v>140</v>
      </c>
      <c r="S20" s="136">
        <v>0</v>
      </c>
      <c r="V20" s="23">
        <v>2980</v>
      </c>
      <c r="W20" s="3" t="s">
        <v>172</v>
      </c>
      <c r="X20" s="89" t="s">
        <v>313</v>
      </c>
      <c r="Y20" s="122">
        <v>0</v>
      </c>
    </row>
    <row r="21" spans="1:25" x14ac:dyDescent="0.3">
      <c r="A21" s="117">
        <f t="shared" si="1"/>
        <v>2.1299999999999994</v>
      </c>
      <c r="B21" t="s">
        <v>395</v>
      </c>
      <c r="C21" s="4" t="s">
        <v>473</v>
      </c>
      <c r="D21" s="4" t="s">
        <v>473</v>
      </c>
      <c r="E21" s="286"/>
      <c r="F21" s="70"/>
      <c r="G21" s="3" t="s">
        <v>398</v>
      </c>
      <c r="H21" s="3" t="s">
        <v>351</v>
      </c>
      <c r="I21" s="3" t="s">
        <v>398</v>
      </c>
      <c r="J21" s="3" t="s">
        <v>351</v>
      </c>
      <c r="K21" s="3" t="s">
        <v>401</v>
      </c>
      <c r="L21" s="3" t="s">
        <v>404</v>
      </c>
      <c r="M21" s="4" t="s">
        <v>140</v>
      </c>
      <c r="N21" s="4" t="s">
        <v>140</v>
      </c>
      <c r="S21" s="136">
        <v>0</v>
      </c>
      <c r="V21" s="23">
        <v>2060</v>
      </c>
      <c r="W21" s="3" t="s">
        <v>172</v>
      </c>
      <c r="X21" s="89"/>
      <c r="Y21" s="122">
        <v>0</v>
      </c>
    </row>
    <row r="22" spans="1:25" x14ac:dyDescent="0.3">
      <c r="A22" s="117">
        <f t="shared" si="1"/>
        <v>2.1399999999999992</v>
      </c>
      <c r="B22" t="s">
        <v>396</v>
      </c>
      <c r="C22" s="4" t="s">
        <v>473</v>
      </c>
      <c r="D22" s="4" t="s">
        <v>473</v>
      </c>
      <c r="E22" s="286"/>
      <c r="F22" s="70"/>
      <c r="G22" s="3" t="s">
        <v>399</v>
      </c>
      <c r="H22" s="3" t="s">
        <v>351</v>
      </c>
      <c r="I22" s="3" t="s">
        <v>399</v>
      </c>
      <c r="J22" s="3" t="s">
        <v>351</v>
      </c>
      <c r="K22" s="3" t="s">
        <v>402</v>
      </c>
      <c r="L22" s="3" t="s">
        <v>405</v>
      </c>
      <c r="M22" s="4" t="s">
        <v>140</v>
      </c>
      <c r="N22" s="4" t="s">
        <v>140</v>
      </c>
      <c r="S22" s="136">
        <v>0</v>
      </c>
      <c r="V22" s="23">
        <v>3190</v>
      </c>
      <c r="W22" s="3" t="s">
        <v>172</v>
      </c>
      <c r="X22" s="89"/>
      <c r="Y22" s="122">
        <v>0</v>
      </c>
    </row>
    <row r="23" spans="1:25" x14ac:dyDescent="0.3">
      <c r="A23" s="117">
        <f t="shared" si="1"/>
        <v>2.149999999999999</v>
      </c>
      <c r="B23" t="s">
        <v>397</v>
      </c>
      <c r="C23" s="4" t="s">
        <v>473</v>
      </c>
      <c r="D23" s="4" t="s">
        <v>473</v>
      </c>
      <c r="E23" s="286"/>
      <c r="F23" s="70"/>
      <c r="G23" s="3" t="s">
        <v>400</v>
      </c>
      <c r="H23" s="3" t="s">
        <v>351</v>
      </c>
      <c r="I23" s="3" t="s">
        <v>400</v>
      </c>
      <c r="J23" s="3" t="s">
        <v>351</v>
      </c>
      <c r="K23" s="3" t="s">
        <v>403</v>
      </c>
      <c r="L23" s="3" t="s">
        <v>406</v>
      </c>
      <c r="M23" s="4" t="s">
        <v>140</v>
      </c>
      <c r="N23" s="4" t="s">
        <v>140</v>
      </c>
      <c r="S23" s="136">
        <v>0</v>
      </c>
      <c r="V23" s="23">
        <v>4020</v>
      </c>
      <c r="W23" s="3" t="s">
        <v>172</v>
      </c>
      <c r="X23" s="89"/>
      <c r="Y23" s="122">
        <v>0</v>
      </c>
    </row>
    <row r="24" spans="1:25" x14ac:dyDescent="0.3">
      <c r="A24" s="117">
        <f t="shared" si="1"/>
        <v>2.1599999999999988</v>
      </c>
      <c r="B24" t="s">
        <v>134</v>
      </c>
      <c r="C24" s="4" t="s">
        <v>473</v>
      </c>
      <c r="D24" s="4" t="s">
        <v>473</v>
      </c>
      <c r="E24" s="286"/>
      <c r="F24" s="70"/>
      <c r="G24" s="3" t="s">
        <v>159</v>
      </c>
      <c r="H24" s="3" t="s">
        <v>377</v>
      </c>
      <c r="I24" s="3" t="s">
        <v>159</v>
      </c>
      <c r="J24" s="3" t="s">
        <v>377</v>
      </c>
      <c r="K24" s="3" t="s">
        <v>200</v>
      </c>
      <c r="L24" s="3" t="s">
        <v>139</v>
      </c>
      <c r="M24" s="4" t="s">
        <v>140</v>
      </c>
      <c r="N24" s="4" t="s">
        <v>140</v>
      </c>
      <c r="S24" s="136">
        <v>0</v>
      </c>
      <c r="V24" s="23">
        <v>2420</v>
      </c>
      <c r="W24" s="3" t="s">
        <v>172</v>
      </c>
      <c r="X24" s="89" t="s">
        <v>313</v>
      </c>
      <c r="Y24" s="122">
        <v>0</v>
      </c>
    </row>
    <row r="25" spans="1:25" x14ac:dyDescent="0.3">
      <c r="A25" s="117">
        <f>+A24+0.01</f>
        <v>2.1699999999999986</v>
      </c>
      <c r="B25" t="s">
        <v>135</v>
      </c>
      <c r="C25" s="4" t="s">
        <v>473</v>
      </c>
      <c r="D25" s="4" t="s">
        <v>473</v>
      </c>
      <c r="E25" s="286"/>
      <c r="F25" s="70"/>
      <c r="G25" s="3" t="s">
        <v>160</v>
      </c>
      <c r="H25" s="3" t="s">
        <v>377</v>
      </c>
      <c r="I25" s="3" t="s">
        <v>160</v>
      </c>
      <c r="J25" s="3" t="s">
        <v>377</v>
      </c>
      <c r="K25" s="3" t="s">
        <v>201</v>
      </c>
      <c r="L25" s="3" t="s">
        <v>138</v>
      </c>
      <c r="M25" s="4" t="s">
        <v>140</v>
      </c>
      <c r="N25" s="4" t="s">
        <v>140</v>
      </c>
      <c r="S25" s="136">
        <v>0</v>
      </c>
      <c r="V25" s="23">
        <v>3550</v>
      </c>
      <c r="W25" s="3" t="s">
        <v>172</v>
      </c>
      <c r="X25" s="89" t="s">
        <v>313</v>
      </c>
      <c r="Y25" s="122">
        <v>0</v>
      </c>
    </row>
    <row r="26" spans="1:25" x14ac:dyDescent="0.3">
      <c r="A26" s="117">
        <f t="shared" si="1"/>
        <v>2.1799999999999984</v>
      </c>
      <c r="B26" t="s">
        <v>136</v>
      </c>
      <c r="C26" s="4" t="s">
        <v>473</v>
      </c>
      <c r="D26" s="4" t="s">
        <v>473</v>
      </c>
      <c r="E26" s="286"/>
      <c r="F26" s="70"/>
      <c r="G26" s="3" t="s">
        <v>161</v>
      </c>
      <c r="H26" s="3" t="s">
        <v>377</v>
      </c>
      <c r="I26" s="3" t="s">
        <v>161</v>
      </c>
      <c r="J26" s="3" t="s">
        <v>377</v>
      </c>
      <c r="K26" s="3" t="s">
        <v>202</v>
      </c>
      <c r="L26" s="3" t="s">
        <v>137</v>
      </c>
      <c r="M26" s="4" t="s">
        <v>140</v>
      </c>
      <c r="N26" s="4" t="s">
        <v>140</v>
      </c>
      <c r="S26" s="136">
        <v>0</v>
      </c>
      <c r="V26" s="23">
        <v>4380</v>
      </c>
      <c r="W26" s="3" t="s">
        <v>172</v>
      </c>
      <c r="X26" s="89" t="s">
        <v>313</v>
      </c>
      <c r="Y26" s="122">
        <v>0</v>
      </c>
    </row>
    <row r="27" spans="1:25" x14ac:dyDescent="0.3">
      <c r="A27" s="117">
        <f>+A26+0.01</f>
        <v>2.1899999999999982</v>
      </c>
      <c r="B27" t="s">
        <v>369</v>
      </c>
      <c r="C27" s="4" t="s">
        <v>473</v>
      </c>
      <c r="D27" s="4" t="s">
        <v>473</v>
      </c>
      <c r="E27" s="286"/>
      <c r="F27" s="70"/>
      <c r="G27" s="3" t="s">
        <v>370</v>
      </c>
      <c r="H27" s="3" t="s">
        <v>351</v>
      </c>
      <c r="I27" s="3" t="s">
        <v>370</v>
      </c>
      <c r="J27" s="3" t="s">
        <v>351</v>
      </c>
      <c r="K27" s="3" t="s">
        <v>371</v>
      </c>
      <c r="L27" s="3" t="s">
        <v>380</v>
      </c>
      <c r="M27" s="4" t="s">
        <v>140</v>
      </c>
      <c r="N27" s="4" t="s">
        <v>140</v>
      </c>
      <c r="S27" s="136">
        <v>0</v>
      </c>
      <c r="V27" s="23">
        <v>4790</v>
      </c>
      <c r="W27" s="3" t="s">
        <v>172</v>
      </c>
      <c r="X27" s="89"/>
      <c r="Y27" s="122">
        <v>0</v>
      </c>
    </row>
    <row r="28" spans="1:25" x14ac:dyDescent="0.3">
      <c r="A28" s="117">
        <f t="shared" si="1"/>
        <v>2.199999999999998</v>
      </c>
      <c r="B28" t="s">
        <v>534</v>
      </c>
      <c r="C28" s="4" t="s">
        <v>473</v>
      </c>
      <c r="D28" s="4" t="s">
        <v>473</v>
      </c>
      <c r="E28" s="286"/>
      <c r="F28" s="70"/>
      <c r="G28" s="195" t="str">
        <f>+IF('WORKCELL CONFIGURATOR'!$H$5="","",(IF('WORKCELL CONFIGURATOR'!$H$5=Data!$C$4,"612-2346-1","612-2346-2")))</f>
        <v>612-2346-2</v>
      </c>
      <c r="H28" s="182" t="s">
        <v>351</v>
      </c>
      <c r="I28" s="195" t="str">
        <f>+IF('WORKCELL CONFIGURATOR'!$H$5="","",(IF('WORKCELL CONFIGURATOR'!$H$5=Data!$C$4,"612-2346-3","612-2346-4")))</f>
        <v>612-2346-4</v>
      </c>
      <c r="J28" s="182" t="s">
        <v>351</v>
      </c>
      <c r="K28" s="182" t="s">
        <v>522</v>
      </c>
      <c r="L28" s="182"/>
      <c r="M28" s="4"/>
      <c r="N28" s="4"/>
      <c r="O28" s="182"/>
      <c r="P28" s="182"/>
      <c r="Q28" s="182"/>
      <c r="R28" s="182"/>
      <c r="S28" s="183"/>
      <c r="V28" s="23">
        <v>15100</v>
      </c>
      <c r="W28" s="182" t="s">
        <v>172</v>
      </c>
      <c r="X28" s="89"/>
      <c r="Y28" s="183">
        <v>0</v>
      </c>
    </row>
    <row r="29" spans="1:25" x14ac:dyDescent="0.3">
      <c r="A29" s="117">
        <f t="shared" si="1"/>
        <v>2.2099999999999977</v>
      </c>
      <c r="B29" t="s">
        <v>335</v>
      </c>
      <c r="C29" s="4" t="s">
        <v>473</v>
      </c>
      <c r="D29" s="4" t="s">
        <v>473</v>
      </c>
      <c r="E29" s="286"/>
      <c r="F29" s="70"/>
      <c r="G29" s="3" t="s">
        <v>336</v>
      </c>
      <c r="H29" s="3" t="s">
        <v>351</v>
      </c>
      <c r="I29" s="3" t="s">
        <v>336</v>
      </c>
      <c r="J29" s="3" t="s">
        <v>351</v>
      </c>
      <c r="K29" s="3" t="s">
        <v>140</v>
      </c>
      <c r="L29" s="3" t="s">
        <v>140</v>
      </c>
      <c r="M29" s="4" t="s">
        <v>140</v>
      </c>
      <c r="N29" s="4" t="s">
        <v>140</v>
      </c>
      <c r="S29" s="136">
        <v>0</v>
      </c>
      <c r="V29" s="23">
        <v>1960</v>
      </c>
      <c r="W29" s="3" t="s">
        <v>172</v>
      </c>
      <c r="X29" s="89" t="s">
        <v>313</v>
      </c>
      <c r="Y29" s="122">
        <v>0</v>
      </c>
    </row>
    <row r="30" spans="1:25" ht="15" x14ac:dyDescent="0.25">
      <c r="A30" s="117"/>
      <c r="E30" s="128"/>
      <c r="G30" s="127"/>
      <c r="H30" s="127"/>
      <c r="I30" s="127"/>
      <c r="J30" s="127"/>
      <c r="K30" s="127"/>
      <c r="L30" s="127"/>
      <c r="M30" s="4"/>
      <c r="N30" s="4"/>
      <c r="O30" s="127"/>
      <c r="P30" s="127"/>
      <c r="Q30" s="127"/>
      <c r="R30" s="127"/>
      <c r="V30" s="23"/>
      <c r="W30" s="127"/>
      <c r="X30" s="89"/>
      <c r="Y30" s="122"/>
    </row>
    <row r="31" spans="1:25" ht="18" thickBot="1" x14ac:dyDescent="0.35">
      <c r="A31" s="2">
        <v>3</v>
      </c>
      <c r="B31" s="1" t="s">
        <v>412</v>
      </c>
      <c r="C31" s="1"/>
      <c r="D31" s="1"/>
      <c r="E31" s="119"/>
      <c r="F31" s="119"/>
      <c r="H31" s="3"/>
      <c r="J31" s="3"/>
      <c r="L31" s="4"/>
      <c r="M31" s="4"/>
      <c r="N31" s="4"/>
      <c r="V31" s="21"/>
      <c r="X31" s="89"/>
      <c r="Y31" s="114" t="s">
        <v>419</v>
      </c>
    </row>
    <row r="32" spans="1:25" ht="18" hidden="1" thickTop="1" x14ac:dyDescent="0.3">
      <c r="A32" s="130"/>
      <c r="B32" s="7" t="s">
        <v>407</v>
      </c>
      <c r="C32" s="7"/>
      <c r="D32" s="7"/>
      <c r="E32" s="286" t="s">
        <v>438</v>
      </c>
      <c r="F32" s="119"/>
      <c r="G32" s="131"/>
      <c r="H32" s="131"/>
      <c r="I32" s="131"/>
      <c r="J32" s="131"/>
      <c r="K32" s="131"/>
      <c r="L32" s="4"/>
      <c r="M32" s="4"/>
      <c r="N32" s="4"/>
      <c r="O32" s="131"/>
      <c r="P32" s="131"/>
      <c r="Q32" s="131"/>
      <c r="R32" s="131"/>
      <c r="S32" s="136">
        <v>0</v>
      </c>
      <c r="V32" s="21"/>
      <c r="W32" s="131"/>
      <c r="X32" s="89"/>
      <c r="Y32" s="122"/>
    </row>
    <row r="33" spans="1:25" ht="15" thickTop="1" x14ac:dyDescent="0.3">
      <c r="A33" s="113">
        <f>+A$31+0.1</f>
        <v>3.1</v>
      </c>
      <c r="B33" s="7" t="s">
        <v>487</v>
      </c>
      <c r="C33" s="4" t="s">
        <v>473</v>
      </c>
      <c r="D33" s="4" t="s">
        <v>473</v>
      </c>
      <c r="E33" s="286"/>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row>
    <row r="34" spans="1:25" x14ac:dyDescent="0.3">
      <c r="A34" s="113">
        <f>+A33+0.1</f>
        <v>3.2</v>
      </c>
      <c r="B34" s="156" t="s">
        <v>488</v>
      </c>
      <c r="C34" s="4" t="s">
        <v>473</v>
      </c>
      <c r="D34" s="4" t="s">
        <v>473</v>
      </c>
      <c r="E34" s="286"/>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row>
    <row r="35" spans="1:25" x14ac:dyDescent="0.3">
      <c r="A35" s="113">
        <f t="shared" ref="A35:A41" si="2">+A34+0.1</f>
        <v>3.3000000000000003</v>
      </c>
      <c r="B35" t="s">
        <v>489</v>
      </c>
      <c r="C35" s="4" t="s">
        <v>473</v>
      </c>
      <c r="D35" s="4" t="s">
        <v>473</v>
      </c>
      <c r="E35" s="286"/>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row>
    <row r="36" spans="1:25" x14ac:dyDescent="0.3">
      <c r="A36" s="113">
        <f t="shared" si="2"/>
        <v>3.4000000000000004</v>
      </c>
      <c r="B36" t="s">
        <v>490</v>
      </c>
      <c r="C36" s="4" t="s">
        <v>473</v>
      </c>
      <c r="D36" s="4" t="s">
        <v>473</v>
      </c>
      <c r="E36" s="286"/>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row>
    <row r="37" spans="1:25" x14ac:dyDescent="0.3">
      <c r="A37" s="113">
        <f t="shared" si="2"/>
        <v>3.5000000000000004</v>
      </c>
      <c r="B37" t="s">
        <v>521</v>
      </c>
      <c r="C37" s="4" t="s">
        <v>473</v>
      </c>
      <c r="D37" s="4" t="s">
        <v>473</v>
      </c>
      <c r="E37" s="286"/>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row>
    <row r="38" spans="1:25" x14ac:dyDescent="0.3">
      <c r="A38" s="113">
        <f t="shared" si="2"/>
        <v>3.6000000000000005</v>
      </c>
      <c r="B38" t="s">
        <v>592</v>
      </c>
      <c r="C38" s="4" t="s">
        <v>473</v>
      </c>
      <c r="D38" s="4" t="s">
        <v>473</v>
      </c>
      <c r="E38" s="286"/>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row>
    <row r="39" spans="1:25" x14ac:dyDescent="0.3">
      <c r="A39" s="217">
        <f t="shared" si="2"/>
        <v>3.7000000000000006</v>
      </c>
      <c r="B39" t="s">
        <v>641</v>
      </c>
      <c r="C39" s="4" t="s">
        <v>473</v>
      </c>
      <c r="D39" s="4" t="s">
        <v>473</v>
      </c>
      <c r="E39" s="286"/>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row>
    <row r="40" spans="1:25" x14ac:dyDescent="0.3">
      <c r="A40" s="217">
        <f t="shared" si="2"/>
        <v>3.8000000000000007</v>
      </c>
      <c r="B40" t="s">
        <v>638</v>
      </c>
      <c r="C40" s="4" t="s">
        <v>473</v>
      </c>
      <c r="D40" s="4" t="s">
        <v>473</v>
      </c>
      <c r="E40" s="286"/>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row>
    <row r="41" spans="1:25" x14ac:dyDescent="0.3">
      <c r="A41" s="217">
        <f t="shared" si="2"/>
        <v>3.9000000000000008</v>
      </c>
      <c r="B41" t="s">
        <v>491</v>
      </c>
      <c r="C41" s="4" t="s">
        <v>473</v>
      </c>
      <c r="D41" s="4" t="s">
        <v>473</v>
      </c>
      <c r="E41" s="286"/>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row>
    <row r="42" spans="1:25" x14ac:dyDescent="0.3">
      <c r="A42" s="112"/>
      <c r="H42" s="3"/>
      <c r="J42" s="3"/>
      <c r="K42" s="4"/>
      <c r="L42" s="4"/>
      <c r="M42" s="4"/>
      <c r="N42" s="4"/>
      <c r="V42" s="21"/>
    </row>
    <row r="43" spans="1:25" ht="18" thickBot="1" x14ac:dyDescent="0.4">
      <c r="A43" s="2">
        <v>4</v>
      </c>
      <c r="B43" s="1" t="s">
        <v>414</v>
      </c>
      <c r="C43" s="1"/>
      <c r="D43" s="1"/>
      <c r="G43" s="127"/>
      <c r="H43" s="127"/>
      <c r="I43" s="127"/>
      <c r="J43" s="127"/>
      <c r="K43" s="4"/>
      <c r="L43" s="4"/>
      <c r="M43" s="4"/>
      <c r="N43" s="4"/>
      <c r="O43" s="127"/>
      <c r="P43" s="127"/>
      <c r="Q43" s="127"/>
      <c r="R43" s="127"/>
      <c r="V43" s="21"/>
      <c r="W43" s="127"/>
      <c r="Y43" s="114" t="s">
        <v>418</v>
      </c>
    </row>
    <row r="44" spans="1:25" ht="15.75" hidden="1" thickTop="1" x14ac:dyDescent="0.25">
      <c r="B44" t="s">
        <v>407</v>
      </c>
      <c r="E44" s="286" t="s">
        <v>434</v>
      </c>
      <c r="F44" s="286" t="s">
        <v>435</v>
      </c>
      <c r="H44" s="3"/>
      <c r="J44" s="3"/>
      <c r="K44" s="4"/>
      <c r="L44" s="4"/>
      <c r="M44" s="4"/>
      <c r="N44" s="4"/>
      <c r="S44" s="136">
        <v>0</v>
      </c>
      <c r="V44" s="21"/>
      <c r="Y44" s="114">
        <v>0</v>
      </c>
    </row>
    <row r="45" spans="1:25" ht="15" thickTop="1" x14ac:dyDescent="0.3">
      <c r="A45" s="113">
        <f>+A$43+0.1</f>
        <v>4.0999999999999996</v>
      </c>
      <c r="B45" t="s">
        <v>2</v>
      </c>
      <c r="C45" s="4" t="s">
        <v>473</v>
      </c>
      <c r="D45" s="4" t="s">
        <v>473</v>
      </c>
      <c r="E45" s="286"/>
      <c r="F45" s="286"/>
      <c r="G45" s="3" t="s">
        <v>147</v>
      </c>
      <c r="H45" s="3" t="s">
        <v>351</v>
      </c>
      <c r="I45" s="3" t="s">
        <v>147</v>
      </c>
      <c r="J45" s="3" t="s">
        <v>351</v>
      </c>
      <c r="K45" s="3" t="s">
        <v>193</v>
      </c>
      <c r="L45" s="4" t="s">
        <v>114</v>
      </c>
      <c r="M45" s="4" t="s">
        <v>140</v>
      </c>
      <c r="N45" s="4" t="s">
        <v>140</v>
      </c>
      <c r="S45" s="136">
        <v>0</v>
      </c>
      <c r="V45" s="21">
        <v>3860</v>
      </c>
      <c r="W45" s="3" t="s">
        <v>172</v>
      </c>
      <c r="X45" s="89" t="s">
        <v>313</v>
      </c>
      <c r="Y45" s="114">
        <v>0</v>
      </c>
    </row>
    <row r="46" spans="1:25" x14ac:dyDescent="0.3">
      <c r="A46" s="113">
        <f>+A45+0.1</f>
        <v>4.1999999999999993</v>
      </c>
      <c r="B46" t="s">
        <v>1</v>
      </c>
      <c r="C46" s="4" t="s">
        <v>473</v>
      </c>
      <c r="D46" s="4" t="s">
        <v>473</v>
      </c>
      <c r="E46" s="286"/>
      <c r="F46" s="286"/>
      <c r="G46" s="3" t="s">
        <v>148</v>
      </c>
      <c r="H46" s="3" t="s">
        <v>351</v>
      </c>
      <c r="I46" s="3" t="s">
        <v>148</v>
      </c>
      <c r="J46" s="3" t="s">
        <v>351</v>
      </c>
      <c r="K46" s="3" t="s">
        <v>194</v>
      </c>
      <c r="L46" s="4" t="s">
        <v>113</v>
      </c>
      <c r="M46" s="4" t="s">
        <v>140</v>
      </c>
      <c r="N46" s="4" t="s">
        <v>140</v>
      </c>
      <c r="S46" s="136">
        <v>0</v>
      </c>
      <c r="V46" s="21">
        <v>2780</v>
      </c>
      <c r="W46" s="3" t="s">
        <v>172</v>
      </c>
      <c r="X46" s="89" t="s">
        <v>313</v>
      </c>
      <c r="Y46" s="114">
        <v>0</v>
      </c>
    </row>
    <row r="47" spans="1:25" x14ac:dyDescent="0.3">
      <c r="A47" s="113">
        <f t="shared" ref="A47:A52" si="3">+A46+0.1</f>
        <v>4.2999999999999989</v>
      </c>
      <c r="B47" s="5" t="s">
        <v>9</v>
      </c>
      <c r="C47" s="4" t="s">
        <v>473</v>
      </c>
      <c r="D47" s="4" t="s">
        <v>473</v>
      </c>
      <c r="E47" s="286"/>
      <c r="F47" s="286"/>
      <c r="G47" s="3" t="s">
        <v>143</v>
      </c>
      <c r="H47" s="3" t="s">
        <v>351</v>
      </c>
      <c r="I47" s="3" t="s">
        <v>143</v>
      </c>
      <c r="J47" s="3" t="s">
        <v>351</v>
      </c>
      <c r="K47" s="3" t="s">
        <v>189</v>
      </c>
      <c r="L47" s="4" t="s">
        <v>162</v>
      </c>
      <c r="M47" s="4" t="s">
        <v>140</v>
      </c>
      <c r="N47" s="4" t="s">
        <v>140</v>
      </c>
      <c r="S47" s="136">
        <v>0</v>
      </c>
      <c r="V47" s="21">
        <v>3860</v>
      </c>
      <c r="W47" s="3" t="s">
        <v>172</v>
      </c>
      <c r="X47" s="89" t="s">
        <v>313</v>
      </c>
      <c r="Y47" s="114">
        <v>0</v>
      </c>
    </row>
    <row r="48" spans="1:25" x14ac:dyDescent="0.3">
      <c r="A48" s="113">
        <f t="shared" si="3"/>
        <v>4.3999999999999986</v>
      </c>
      <c r="B48" s="5" t="s">
        <v>382</v>
      </c>
      <c r="C48" s="4" t="s">
        <v>473</v>
      </c>
      <c r="D48" s="4" t="s">
        <v>473</v>
      </c>
      <c r="E48" s="286"/>
      <c r="F48" s="286"/>
      <c r="G48" s="3" t="s">
        <v>386</v>
      </c>
      <c r="H48" s="3" t="s">
        <v>351</v>
      </c>
      <c r="I48" s="3" t="s">
        <v>386</v>
      </c>
      <c r="J48" s="3" t="s">
        <v>351</v>
      </c>
      <c r="K48" s="3" t="s">
        <v>387</v>
      </c>
      <c r="L48" s="4" t="s">
        <v>388</v>
      </c>
      <c r="M48" s="4" t="s">
        <v>140</v>
      </c>
      <c r="N48" s="4" t="s">
        <v>140</v>
      </c>
      <c r="S48" s="136">
        <v>0</v>
      </c>
      <c r="V48" s="21">
        <v>3860</v>
      </c>
      <c r="W48" s="3" t="s">
        <v>172</v>
      </c>
      <c r="X48" s="89" t="s">
        <v>313</v>
      </c>
      <c r="Y48" s="114">
        <v>0</v>
      </c>
    </row>
    <row r="49" spans="1:33" x14ac:dyDescent="0.3">
      <c r="A49" s="113">
        <f t="shared" si="3"/>
        <v>4.4999999999999982</v>
      </c>
      <c r="B49" t="s">
        <v>0</v>
      </c>
      <c r="C49" s="4" t="s">
        <v>473</v>
      </c>
      <c r="D49" s="4" t="s">
        <v>473</v>
      </c>
      <c r="E49" s="286"/>
      <c r="G49" s="3" t="s">
        <v>144</v>
      </c>
      <c r="H49" s="3" t="s">
        <v>351</v>
      </c>
      <c r="I49" s="3" t="s">
        <v>144</v>
      </c>
      <c r="J49" s="3" t="s">
        <v>351</v>
      </c>
      <c r="K49" s="3" t="s">
        <v>190</v>
      </c>
      <c r="L49" s="4" t="s">
        <v>115</v>
      </c>
      <c r="M49" s="4" t="s">
        <v>140</v>
      </c>
      <c r="N49" s="4" t="s">
        <v>140</v>
      </c>
      <c r="S49" s="136">
        <v>0</v>
      </c>
      <c r="V49" s="21">
        <v>3860</v>
      </c>
      <c r="W49" s="3" t="s">
        <v>172</v>
      </c>
      <c r="X49" s="89" t="s">
        <v>313</v>
      </c>
      <c r="Y49" s="114">
        <v>1</v>
      </c>
    </row>
    <row r="50" spans="1:33" x14ac:dyDescent="0.3">
      <c r="A50" s="113">
        <f t="shared" si="3"/>
        <v>4.5999999999999979</v>
      </c>
      <c r="B50" t="s">
        <v>390</v>
      </c>
      <c r="C50" s="4" t="s">
        <v>473</v>
      </c>
      <c r="D50" s="4" t="s">
        <v>473</v>
      </c>
      <c r="E50" s="286"/>
      <c r="G50" s="3" t="s">
        <v>391</v>
      </c>
      <c r="H50" s="3" t="s">
        <v>351</v>
      </c>
      <c r="I50" s="3" t="s">
        <v>391</v>
      </c>
      <c r="J50" s="3" t="s">
        <v>351</v>
      </c>
      <c r="K50" s="3" t="s">
        <v>392</v>
      </c>
      <c r="L50" s="4" t="s">
        <v>393</v>
      </c>
      <c r="M50" s="4" t="s">
        <v>140</v>
      </c>
      <c r="N50" s="4" t="s">
        <v>140</v>
      </c>
      <c r="S50" s="136">
        <v>0</v>
      </c>
      <c r="V50" s="21">
        <v>3860</v>
      </c>
      <c r="W50" s="3" t="s">
        <v>172</v>
      </c>
      <c r="X50" s="89" t="s">
        <v>313</v>
      </c>
      <c r="Y50" s="114">
        <v>1</v>
      </c>
    </row>
    <row r="51" spans="1:33" x14ac:dyDescent="0.3">
      <c r="A51" s="113">
        <f t="shared" si="3"/>
        <v>4.6999999999999975</v>
      </c>
      <c r="B51" t="s">
        <v>14</v>
      </c>
      <c r="C51" s="4" t="s">
        <v>473</v>
      </c>
      <c r="D51" s="4" t="s">
        <v>473</v>
      </c>
      <c r="E51" s="286"/>
      <c r="G51" s="3" t="s">
        <v>145</v>
      </c>
      <c r="H51" s="3" t="s">
        <v>351</v>
      </c>
      <c r="I51" s="3" t="s">
        <v>145</v>
      </c>
      <c r="J51" s="3" t="s">
        <v>351</v>
      </c>
      <c r="K51" s="3" t="s">
        <v>191</v>
      </c>
      <c r="L51" s="4" t="s">
        <v>116</v>
      </c>
      <c r="M51" s="4" t="s">
        <v>140</v>
      </c>
      <c r="N51" s="4" t="s">
        <v>140</v>
      </c>
      <c r="S51" s="136">
        <v>0</v>
      </c>
      <c r="V51" s="21">
        <v>3860</v>
      </c>
      <c r="W51" s="3" t="s">
        <v>172</v>
      </c>
      <c r="Y51" s="114">
        <v>1</v>
      </c>
    </row>
    <row r="52" spans="1:33" x14ac:dyDescent="0.3">
      <c r="A52" s="113">
        <f t="shared" si="3"/>
        <v>4.7999999999999972</v>
      </c>
      <c r="B52" t="s">
        <v>15</v>
      </c>
      <c r="C52" s="4" t="s">
        <v>473</v>
      </c>
      <c r="D52" s="4" t="s">
        <v>473</v>
      </c>
      <c r="E52" s="286"/>
      <c r="G52" s="3" t="s">
        <v>146</v>
      </c>
      <c r="H52" s="3" t="s">
        <v>351</v>
      </c>
      <c r="I52" s="3" t="s">
        <v>146</v>
      </c>
      <c r="J52" s="3" t="s">
        <v>351</v>
      </c>
      <c r="K52" s="3" t="s">
        <v>192</v>
      </c>
      <c r="L52" s="4" t="s">
        <v>117</v>
      </c>
      <c r="M52" s="4" t="s">
        <v>140</v>
      </c>
      <c r="N52" s="4" t="s">
        <v>140</v>
      </c>
      <c r="S52" s="136">
        <v>0</v>
      </c>
      <c r="V52" s="21">
        <v>3860</v>
      </c>
      <c r="W52" s="3" t="s">
        <v>172</v>
      </c>
      <c r="Y52" s="114">
        <v>1</v>
      </c>
    </row>
    <row r="53" spans="1:33" x14ac:dyDescent="0.3">
      <c r="A53" s="112"/>
      <c r="E53" s="70"/>
      <c r="H53" s="3"/>
      <c r="J53" s="3"/>
      <c r="L53" s="4"/>
      <c r="M53" s="4"/>
      <c r="N53" s="4"/>
      <c r="V53" s="21"/>
      <c r="X53" s="89"/>
    </row>
    <row r="54" spans="1:33" ht="18" thickBot="1" x14ac:dyDescent="0.4">
      <c r="A54" s="2">
        <v>5</v>
      </c>
      <c r="B54" s="1" t="s">
        <v>416</v>
      </c>
      <c r="C54" s="1"/>
      <c r="D54" s="1"/>
      <c r="E54" s="119"/>
      <c r="F54" s="119"/>
      <c r="H54" s="3"/>
      <c r="J54" s="3"/>
      <c r="V54" s="21"/>
    </row>
    <row r="55" spans="1:33" ht="18" hidden="1" customHeight="1" thickTop="1" x14ac:dyDescent="0.3">
      <c r="A55" s="130"/>
      <c r="B55" s="7" t="s">
        <v>407</v>
      </c>
      <c r="C55" s="7"/>
      <c r="D55" s="7"/>
      <c r="E55" s="286"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86"/>
      <c r="F56" s="119"/>
      <c r="G56" s="235"/>
      <c r="H56" s="235"/>
      <c r="I56" s="235"/>
      <c r="J56" s="235"/>
      <c r="K56" s="235"/>
      <c r="O56" s="235"/>
      <c r="P56" s="235"/>
      <c r="Q56" s="235"/>
      <c r="R56" s="235"/>
      <c r="S56" s="215"/>
      <c r="V56" s="21"/>
      <c r="W56" s="235"/>
      <c r="Y56" s="215"/>
    </row>
    <row r="57" spans="1:33" ht="18" customHeight="1" thickTop="1" x14ac:dyDescent="0.35">
      <c r="A57" s="113">
        <f>+A$54+0.1</f>
        <v>5.0999999999999996</v>
      </c>
      <c r="B57" s="156" t="s">
        <v>523</v>
      </c>
      <c r="C57" s="4" t="s">
        <v>473</v>
      </c>
      <c r="D57" s="4" t="s">
        <v>473</v>
      </c>
      <c r="E57" s="286"/>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G57" s="156"/>
    </row>
    <row r="58" spans="1:33" x14ac:dyDescent="0.3">
      <c r="A58" s="113">
        <f>+A57+0.1</f>
        <v>5.1999999999999993</v>
      </c>
      <c r="B58" s="7" t="s">
        <v>600</v>
      </c>
      <c r="C58" s="4" t="s">
        <v>473</v>
      </c>
      <c r="D58" s="4" t="s">
        <v>473</v>
      </c>
      <c r="E58" s="286"/>
      <c r="G58" s="3" t="s">
        <v>602</v>
      </c>
      <c r="H58" s="3" t="s">
        <v>351</v>
      </c>
      <c r="I58" s="236" t="s">
        <v>621</v>
      </c>
      <c r="J58" s="3" t="s">
        <v>351</v>
      </c>
      <c r="K58" s="4" t="s">
        <v>140</v>
      </c>
      <c r="L58" s="4" t="s">
        <v>140</v>
      </c>
      <c r="M58" s="4" t="s">
        <v>140</v>
      </c>
      <c r="N58" s="4" t="s">
        <v>140</v>
      </c>
      <c r="O58" s="3">
        <v>-75</v>
      </c>
      <c r="S58" s="136">
        <v>0</v>
      </c>
      <c r="V58" s="21">
        <v>7725</v>
      </c>
      <c r="W58" s="3" t="s">
        <v>171</v>
      </c>
      <c r="X58" s="89" t="s">
        <v>313</v>
      </c>
      <c r="AG58" s="7"/>
    </row>
    <row r="59" spans="1:33" x14ac:dyDescent="0.3">
      <c r="A59" s="113">
        <f t="shared" ref="A59:A64" si="4">+A58+0.1</f>
        <v>5.2999999999999989</v>
      </c>
      <c r="B59" t="s">
        <v>493</v>
      </c>
      <c r="C59" s="4" t="s">
        <v>473</v>
      </c>
      <c r="D59" s="4" t="s">
        <v>473</v>
      </c>
      <c r="E59" s="286"/>
      <c r="G59" s="3" t="s">
        <v>603</v>
      </c>
      <c r="H59" s="3" t="s">
        <v>351</v>
      </c>
      <c r="I59" s="236" t="s">
        <v>622</v>
      </c>
      <c r="J59" s="3" t="s">
        <v>351</v>
      </c>
      <c r="K59" s="4" t="s">
        <v>140</v>
      </c>
      <c r="L59" s="4" t="s">
        <v>140</v>
      </c>
      <c r="M59" s="4" t="s">
        <v>140</v>
      </c>
      <c r="N59" s="4" t="s">
        <v>140</v>
      </c>
      <c r="O59" s="158">
        <v>-75</v>
      </c>
      <c r="S59" s="136">
        <v>0</v>
      </c>
      <c r="V59" s="21">
        <v>9990</v>
      </c>
      <c r="W59" s="3" t="s">
        <v>171</v>
      </c>
      <c r="X59" s="89" t="s">
        <v>313</v>
      </c>
    </row>
    <row r="60" spans="1:33" x14ac:dyDescent="0.3">
      <c r="A60" s="113">
        <f t="shared" si="4"/>
        <v>5.3999999999999986</v>
      </c>
      <c r="B60" t="s">
        <v>532</v>
      </c>
      <c r="C60" s="4" t="s">
        <v>473</v>
      </c>
      <c r="D60" s="4" t="s">
        <v>473</v>
      </c>
      <c r="E60" s="286"/>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row>
    <row r="61" spans="1:33" x14ac:dyDescent="0.3">
      <c r="A61" s="217">
        <f t="shared" si="4"/>
        <v>5.4999999999999982</v>
      </c>
      <c r="B61" s="7" t="s">
        <v>601</v>
      </c>
      <c r="C61" s="4" t="s">
        <v>473</v>
      </c>
      <c r="D61" s="4" t="s">
        <v>473</v>
      </c>
      <c r="E61" s="286"/>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G61" s="7"/>
    </row>
    <row r="62" spans="1:33" x14ac:dyDescent="0.3">
      <c r="A62" s="217">
        <f t="shared" si="4"/>
        <v>5.5999999999999979</v>
      </c>
      <c r="B62" t="s">
        <v>599</v>
      </c>
      <c r="C62" s="4" t="s">
        <v>473</v>
      </c>
      <c r="D62" s="4" t="s">
        <v>473</v>
      </c>
      <c r="E62" s="286"/>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row>
    <row r="63" spans="1:33" x14ac:dyDescent="0.3">
      <c r="A63" s="217">
        <f t="shared" si="4"/>
        <v>5.6999999999999975</v>
      </c>
      <c r="B63" t="s">
        <v>598</v>
      </c>
      <c r="C63" s="4" t="s">
        <v>473</v>
      </c>
      <c r="D63" s="4" t="s">
        <v>473</v>
      </c>
      <c r="E63" s="286"/>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row>
    <row r="64" spans="1:33" x14ac:dyDescent="0.3">
      <c r="A64" s="217">
        <f t="shared" si="4"/>
        <v>5.7999999999999972</v>
      </c>
      <c r="B64" s="261" t="s">
        <v>663</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row>
    <row r="65" spans="1:25" x14ac:dyDescent="0.3">
      <c r="A65" s="217"/>
      <c r="B65" t="s">
        <v>407</v>
      </c>
      <c r="C65" s="4"/>
      <c r="D65" s="4"/>
      <c r="E65" s="286" t="s">
        <v>610</v>
      </c>
      <c r="G65" s="167"/>
      <c r="H65" s="167"/>
      <c r="I65" s="167"/>
      <c r="J65" s="167"/>
      <c r="K65" s="4"/>
      <c r="L65" s="4"/>
      <c r="M65" s="4"/>
      <c r="N65" s="4"/>
      <c r="O65" s="229"/>
      <c r="P65" s="229"/>
      <c r="Q65" s="229"/>
      <c r="R65" s="229"/>
      <c r="S65" s="215"/>
      <c r="V65" s="21"/>
      <c r="W65" s="229"/>
      <c r="X65" s="89"/>
      <c r="Y65" s="215"/>
    </row>
    <row r="66" spans="1:25" x14ac:dyDescent="0.3">
      <c r="A66" s="217">
        <f>+A64+0.1</f>
        <v>5.8999999999999968</v>
      </c>
      <c r="B66" t="s">
        <v>596</v>
      </c>
      <c r="C66" s="4" t="s">
        <v>473</v>
      </c>
      <c r="D66" s="4" t="s">
        <v>473</v>
      </c>
      <c r="E66" s="286"/>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row>
    <row r="67" spans="1:25" x14ac:dyDescent="0.3">
      <c r="A67" s="117">
        <v>5.0999999999999996</v>
      </c>
      <c r="B67" t="s">
        <v>354</v>
      </c>
      <c r="C67" s="4" t="s">
        <v>473</v>
      </c>
      <c r="D67" s="4" t="s">
        <v>473</v>
      </c>
      <c r="E67" s="286"/>
      <c r="G67" s="3" t="s">
        <v>353</v>
      </c>
      <c r="H67" s="3" t="s">
        <v>351</v>
      </c>
      <c r="I67" s="3" t="s">
        <v>353</v>
      </c>
      <c r="J67" s="3" t="s">
        <v>351</v>
      </c>
      <c r="K67" s="4" t="s">
        <v>140</v>
      </c>
      <c r="L67" s="4" t="s">
        <v>140</v>
      </c>
      <c r="M67" s="4" t="s">
        <v>140</v>
      </c>
      <c r="N67" s="4" t="s">
        <v>140</v>
      </c>
      <c r="Q67" s="3">
        <v>-50</v>
      </c>
      <c r="S67" s="136">
        <v>0</v>
      </c>
      <c r="V67" s="21">
        <v>1080</v>
      </c>
      <c r="W67" s="3" t="s">
        <v>171</v>
      </c>
      <c r="X67" s="89" t="s">
        <v>313</v>
      </c>
    </row>
    <row r="68" spans="1:25" x14ac:dyDescent="0.3">
      <c r="A68" s="113"/>
      <c r="G68" s="121"/>
      <c r="H68" s="121"/>
      <c r="I68" s="121"/>
      <c r="J68" s="121"/>
      <c r="K68" s="4"/>
      <c r="L68" s="4"/>
      <c r="M68" s="4"/>
      <c r="N68" s="4"/>
      <c r="O68" s="121"/>
      <c r="P68" s="121"/>
      <c r="Q68" s="121"/>
      <c r="R68" s="121"/>
      <c r="V68" s="21"/>
      <c r="W68" s="121"/>
      <c r="X68" s="89"/>
      <c r="Y68" s="122"/>
    </row>
    <row r="69" spans="1:25" ht="18" thickBot="1" x14ac:dyDescent="0.4">
      <c r="A69" s="2">
        <v>6</v>
      </c>
      <c r="B69" s="1" t="s">
        <v>415</v>
      </c>
      <c r="C69" s="1"/>
      <c r="D69" s="1"/>
      <c r="H69" s="3"/>
      <c r="J69" s="3"/>
      <c r="L69" s="4"/>
      <c r="M69" s="4"/>
      <c r="N69" s="4"/>
      <c r="V69" s="21"/>
      <c r="X69" s="89"/>
      <c r="Y69" s="114" t="s">
        <v>316</v>
      </c>
    </row>
    <row r="70" spans="1:25" ht="18" hidden="1" thickTop="1" x14ac:dyDescent="0.3">
      <c r="A70" s="130"/>
      <c r="B70" s="7" t="s">
        <v>407</v>
      </c>
      <c r="C70" s="7"/>
      <c r="D70" s="7"/>
      <c r="E70" s="286" t="s">
        <v>448</v>
      </c>
      <c r="G70" s="129"/>
      <c r="H70" s="129"/>
      <c r="I70" s="129"/>
      <c r="J70" s="129"/>
      <c r="K70" s="129"/>
      <c r="L70" s="4"/>
      <c r="M70" s="4"/>
      <c r="N70" s="4"/>
      <c r="O70" s="129"/>
      <c r="P70" s="129"/>
      <c r="Q70" s="129"/>
      <c r="R70" s="129"/>
      <c r="S70" s="136">
        <v>0</v>
      </c>
      <c r="V70" s="21"/>
      <c r="W70" s="129"/>
      <c r="X70" s="89"/>
      <c r="Y70" s="122" t="s">
        <v>460</v>
      </c>
    </row>
    <row r="71" spans="1:25" ht="15" thickTop="1" x14ac:dyDescent="0.3">
      <c r="A71" s="113">
        <f>+A$69+0.1</f>
        <v>6.1</v>
      </c>
      <c r="B71" s="7" t="s">
        <v>474</v>
      </c>
      <c r="C71" s="4" t="s">
        <v>473</v>
      </c>
      <c r="D71" s="4" t="s">
        <v>473</v>
      </c>
      <c r="E71" s="286"/>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row>
    <row r="72" spans="1:25" x14ac:dyDescent="0.3">
      <c r="A72" s="113">
        <f>A71+0.1</f>
        <v>6.1999999999999993</v>
      </c>
      <c r="B72" t="s">
        <v>312</v>
      </c>
      <c r="C72" s="4" t="s">
        <v>473</v>
      </c>
      <c r="D72" s="4" t="s">
        <v>473</v>
      </c>
      <c r="E72" s="286"/>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row>
    <row r="73" spans="1:25" x14ac:dyDescent="0.3">
      <c r="A73" s="112"/>
      <c r="H73" s="3"/>
      <c r="J73" s="3"/>
      <c r="K73" s="4"/>
      <c r="L73" s="4"/>
      <c r="M73" s="4"/>
      <c r="N73" s="4"/>
      <c r="V73" s="21"/>
      <c r="X73" s="89"/>
    </row>
    <row r="74" spans="1:25" ht="18" thickBot="1" x14ac:dyDescent="0.4">
      <c r="A74" s="2">
        <v>7</v>
      </c>
      <c r="B74" s="1" t="s">
        <v>173</v>
      </c>
      <c r="C74" s="1"/>
      <c r="D74" s="1"/>
      <c r="E74" s="119"/>
      <c r="F74" s="119"/>
      <c r="H74" s="3"/>
      <c r="J74" s="3"/>
      <c r="K74" s="4"/>
      <c r="L74" s="4"/>
      <c r="M74" s="4"/>
      <c r="N74" s="4"/>
      <c r="V74" s="21"/>
      <c r="X74" s="89"/>
    </row>
    <row r="75" spans="1:25" ht="15" thickTop="1" x14ac:dyDescent="0.3">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row>
    <row r="76" spans="1:25" x14ac:dyDescent="0.3">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row>
    <row r="77" spans="1:25" x14ac:dyDescent="0.3">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row>
    <row r="78" spans="1:25" x14ac:dyDescent="0.3">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row>
    <row r="79" spans="1:25" x14ac:dyDescent="0.3">
      <c r="A79" s="114"/>
      <c r="H79" s="3"/>
      <c r="J79" s="3"/>
      <c r="L79" s="3"/>
      <c r="M79" s="4"/>
      <c r="N79" s="4"/>
      <c r="V79" s="23"/>
      <c r="X79" s="89"/>
    </row>
    <row r="80" spans="1:25" ht="18" thickBot="1" x14ac:dyDescent="0.4">
      <c r="A80" s="2">
        <v>8</v>
      </c>
      <c r="B80" s="1" t="s">
        <v>417</v>
      </c>
      <c r="C80" s="1"/>
      <c r="D80" s="1"/>
      <c r="E80" s="119"/>
      <c r="F80" s="119"/>
      <c r="H80" s="3"/>
      <c r="J80" s="3"/>
      <c r="L80" s="3"/>
      <c r="M80" s="4"/>
      <c r="N80" s="4"/>
      <c r="V80" s="23"/>
      <c r="X80" s="89"/>
    </row>
    <row r="81" spans="1:25" ht="15" thickTop="1" x14ac:dyDescent="0.3">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row>
    <row r="82" spans="1:25" x14ac:dyDescent="0.3">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row>
    <row r="83" spans="1:25" x14ac:dyDescent="0.3">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row>
    <row r="84" spans="1:25" x14ac:dyDescent="0.3">
      <c r="A84" s="20"/>
      <c r="H84" s="3"/>
      <c r="J84" s="3"/>
    </row>
    <row r="85" spans="1:25" ht="18" thickBot="1" x14ac:dyDescent="0.4">
      <c r="A85" s="2">
        <v>9</v>
      </c>
      <c r="B85" s="1" t="s">
        <v>6</v>
      </c>
      <c r="C85" s="1"/>
      <c r="D85" s="1"/>
      <c r="E85" s="119"/>
      <c r="F85" s="119"/>
      <c r="H85" s="3"/>
      <c r="J85" s="3"/>
    </row>
    <row r="86" spans="1:25" ht="15" thickTop="1" x14ac:dyDescent="0.3">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5" x14ac:dyDescent="0.3">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5" ht="18" thickBot="1" x14ac:dyDescent="0.4">
      <c r="A89" s="2">
        <v>10</v>
      </c>
      <c r="B89" s="1" t="s">
        <v>413</v>
      </c>
      <c r="C89" s="1"/>
      <c r="D89" s="1"/>
      <c r="E89" s="119"/>
      <c r="F89" s="119"/>
    </row>
    <row r="90" spans="1:25" ht="15" thickTop="1" x14ac:dyDescent="0.3">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5" x14ac:dyDescent="0.3">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5" ht="15" hidden="1" x14ac:dyDescent="0.25">
      <c r="A92" s="113"/>
      <c r="B92" t="s">
        <v>407</v>
      </c>
      <c r="C92" s="4"/>
      <c r="D92" s="4"/>
      <c r="E92" s="286" t="s">
        <v>533</v>
      </c>
      <c r="G92" s="191"/>
      <c r="H92" s="191"/>
      <c r="I92" s="191"/>
      <c r="J92" s="191"/>
      <c r="K92" s="4"/>
      <c r="L92" s="4"/>
      <c r="M92" s="4"/>
      <c r="N92" s="4"/>
      <c r="O92" s="191"/>
      <c r="P92" s="191"/>
      <c r="Q92" s="191"/>
      <c r="R92" s="191"/>
      <c r="S92" s="192"/>
      <c r="V92" s="21"/>
      <c r="W92" s="191"/>
      <c r="Y92" s="192"/>
    </row>
    <row r="93" spans="1:25" x14ac:dyDescent="0.3">
      <c r="A93" s="113">
        <f>+A91+0.1</f>
        <v>10.299999999999999</v>
      </c>
      <c r="B93" t="s">
        <v>2</v>
      </c>
      <c r="C93" s="4" t="s">
        <v>473</v>
      </c>
      <c r="D93" s="4" t="s">
        <v>473</v>
      </c>
      <c r="E93" s="286"/>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5" x14ac:dyDescent="0.3">
      <c r="A94" s="113">
        <f t="shared" ref="A94:A99" si="6">+A93+0.1</f>
        <v>10.399999999999999</v>
      </c>
      <c r="B94" t="s">
        <v>1</v>
      </c>
      <c r="C94" s="4" t="s">
        <v>473</v>
      </c>
      <c r="D94" s="4" t="s">
        <v>473</v>
      </c>
      <c r="E94" s="286"/>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5" x14ac:dyDescent="0.3">
      <c r="A95" s="113">
        <f t="shared" si="6"/>
        <v>10.499999999999998</v>
      </c>
      <c r="B95" s="5" t="s">
        <v>9</v>
      </c>
      <c r="C95" s="4" t="s">
        <v>473</v>
      </c>
      <c r="D95" s="4" t="s">
        <v>473</v>
      </c>
      <c r="E95" s="286"/>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5" x14ac:dyDescent="0.3">
      <c r="A96" s="113">
        <f t="shared" si="6"/>
        <v>10.599999999999998</v>
      </c>
      <c r="B96" s="5" t="s">
        <v>382</v>
      </c>
      <c r="C96" s="4" t="s">
        <v>473</v>
      </c>
      <c r="D96" s="4" t="s">
        <v>473</v>
      </c>
      <c r="E96" s="286"/>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3">
      <c r="A97" s="113">
        <f t="shared" si="6"/>
        <v>10.699999999999998</v>
      </c>
      <c r="B97" t="s">
        <v>0</v>
      </c>
      <c r="C97" s="4" t="s">
        <v>473</v>
      </c>
      <c r="D97" s="4" t="s">
        <v>473</v>
      </c>
      <c r="E97" s="286"/>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3">
      <c r="A98" s="113">
        <f t="shared" si="6"/>
        <v>10.799999999999997</v>
      </c>
      <c r="B98" t="s">
        <v>390</v>
      </c>
      <c r="C98" s="4" t="s">
        <v>473</v>
      </c>
      <c r="D98" s="4" t="s">
        <v>473</v>
      </c>
      <c r="E98" s="286"/>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3">
      <c r="A99" s="113">
        <f t="shared" si="6"/>
        <v>10.899999999999997</v>
      </c>
      <c r="B99" t="s">
        <v>14</v>
      </c>
      <c r="C99" s="4" t="s">
        <v>473</v>
      </c>
      <c r="D99" s="4" t="s">
        <v>473</v>
      </c>
      <c r="E99" s="286"/>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3">
      <c r="A100" s="117">
        <v>10.1</v>
      </c>
      <c r="B100" t="s">
        <v>15</v>
      </c>
      <c r="C100" s="4" t="s">
        <v>473</v>
      </c>
      <c r="D100" s="4" t="s">
        <v>473</v>
      </c>
      <c r="E100" s="286"/>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3" zoomScaleNormal="100" workbookViewId="0">
      <selection activeCell="G29" sqref="G29"/>
    </sheetView>
  </sheetViews>
  <sheetFormatPr defaultRowHeight="14.4" outlineLevelCol="1" x14ac:dyDescent="0.3"/>
  <cols>
    <col min="1" max="5" width="9.109375" style="215" hidden="1" customWidth="1" outlineLevel="1"/>
    <col min="6" max="6" width="22" customWidth="1" collapsed="1"/>
    <col min="7" max="7" width="48.44140625" bestFit="1" customWidth="1"/>
    <col min="8" max="8" width="44.33203125" style="264" customWidth="1"/>
    <col min="9" max="9" width="20.109375" customWidth="1"/>
    <col min="11" max="11" width="20" hidden="1" customWidth="1" outlineLevel="1"/>
    <col min="12" max="12" width="9.109375" style="262" hidden="1" customWidth="1" outlineLevel="1"/>
    <col min="13" max="14" width="9.109375" hidden="1" customWidth="1" outlineLevel="1"/>
    <col min="15" max="15" width="12" hidden="1" customWidth="1" outlineLevel="1"/>
    <col min="16" max="17" width="9.109375" hidden="1" customWidth="1" outlineLevel="1"/>
    <col min="18" max="18" width="12.33203125" hidden="1" customWidth="1" outlineLevel="1"/>
    <col min="19" max="19" width="8.88671875" collapsed="1"/>
    <col min="22" max="22" width="9.109375" customWidth="1"/>
    <col min="36" max="39" width="8.88671875" customWidth="1"/>
  </cols>
  <sheetData>
    <row r="1" spans="1:27" ht="60.75" customHeight="1" x14ac:dyDescent="0.3">
      <c r="F1" s="282"/>
      <c r="G1" s="283"/>
      <c r="H1" s="283"/>
      <c r="I1" s="284"/>
      <c r="K1" s="132" t="s">
        <v>345</v>
      </c>
      <c r="L1" s="38">
        <f>+'[1]WORKCELL BOM'!Q68</f>
        <v>4</v>
      </c>
      <c r="M1" t="s">
        <v>449</v>
      </c>
    </row>
    <row r="2" spans="1:27" ht="28.5" customHeight="1" thickBot="1" x14ac:dyDescent="0.35">
      <c r="F2" s="306" t="s">
        <v>420</v>
      </c>
      <c r="G2" s="307"/>
      <c r="H2" s="307"/>
      <c r="I2" s="26"/>
    </row>
    <row r="3" spans="1:27" ht="15" thickTop="1" x14ac:dyDescent="0.3">
      <c r="F3" s="27"/>
      <c r="G3" s="7"/>
      <c r="H3" s="265"/>
      <c r="I3" s="28"/>
      <c r="K3" s="9"/>
    </row>
    <row r="4" spans="1:27" x14ac:dyDescent="0.3">
      <c r="F4" s="303" t="s">
        <v>424</v>
      </c>
      <c r="G4" s="115" t="str">
        <f>+[1]MENU!B3</f>
        <v>Work Cell</v>
      </c>
      <c r="H4" s="288" t="s">
        <v>411</v>
      </c>
      <c r="I4" s="288"/>
      <c r="K4" s="9" t="s">
        <v>432</v>
      </c>
    </row>
    <row r="5" spans="1:27" ht="15" customHeight="1" x14ac:dyDescent="0.3">
      <c r="F5" s="303"/>
      <c r="G5" s="115" t="str">
        <f>+[1]Data!C3</f>
        <v>Voltage</v>
      </c>
      <c r="H5" s="288" t="s">
        <v>643</v>
      </c>
      <c r="I5" s="288"/>
      <c r="K5" s="9" t="s">
        <v>12</v>
      </c>
    </row>
    <row r="6" spans="1:27" ht="15" customHeight="1" x14ac:dyDescent="0.3">
      <c r="F6" s="303"/>
      <c r="G6" s="115" t="str">
        <f>+[1]Data!E3</f>
        <v>Certification</v>
      </c>
      <c r="H6" s="288" t="s">
        <v>407</v>
      </c>
      <c r="I6" s="288"/>
      <c r="K6" s="9" t="s">
        <v>356</v>
      </c>
    </row>
    <row r="7" spans="1:27" x14ac:dyDescent="0.3">
      <c r="A7" s="215">
        <f>IF(AND(H8="N",H13="N"),0,1)</f>
        <v>1</v>
      </c>
      <c r="F7" s="219"/>
      <c r="G7" s="12"/>
      <c r="H7" s="12"/>
      <c r="I7" s="88"/>
      <c r="K7" s="9"/>
      <c r="M7" s="215"/>
      <c r="N7" s="215"/>
      <c r="R7" s="133" t="s">
        <v>440</v>
      </c>
    </row>
    <row r="8" spans="1:27" ht="15" customHeight="1" x14ac:dyDescent="0.3">
      <c r="A8" s="215">
        <f>IF(H$8="N",0,1)</f>
        <v>1</v>
      </c>
      <c r="F8" s="305" t="s">
        <v>425</v>
      </c>
      <c r="G8" s="29" t="s">
        <v>208</v>
      </c>
      <c r="H8" s="288" t="s">
        <v>132</v>
      </c>
      <c r="I8" s="288"/>
      <c r="K8" s="7" t="s">
        <v>433</v>
      </c>
      <c r="L8" s="262">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3">
      <c r="A9" s="215">
        <f>+B9*C9</f>
        <v>1</v>
      </c>
      <c r="B9" s="215">
        <f>IF(OR(H$8="N",L8=1),0,1)</f>
        <v>1</v>
      </c>
      <c r="C9" s="215">
        <f>+IF($H$8=[1]MENU!$B$28,0,1)</f>
        <v>1</v>
      </c>
      <c r="F9" s="305"/>
      <c r="G9" s="29" t="s">
        <v>451</v>
      </c>
      <c r="H9" s="288" t="s">
        <v>407</v>
      </c>
      <c r="I9" s="288"/>
      <c r="K9" s="9" t="s">
        <v>11</v>
      </c>
      <c r="L9" s="262">
        <f>IFERROR(VLOOKUP(H13,[1]MENU!B8:Y29,24,FALSE),0)</f>
        <v>0</v>
      </c>
      <c r="M9" s="215">
        <f>IF(OR(H$22=2,H$24=2,H$26=2,H$28=2),0,1)</f>
        <v>1</v>
      </c>
      <c r="N9" s="215">
        <f>IF(OR(L9=0,AND(L9=1,M9=1)),1,0)</f>
        <v>1</v>
      </c>
      <c r="O9" s="215">
        <f>IF(H13="",0,1)</f>
        <v>1</v>
      </c>
      <c r="P9" s="215">
        <f>+IF(H13="N",0,1)</f>
        <v>0</v>
      </c>
      <c r="Q9" s="215">
        <f>+N9*O9*P9</f>
        <v>0</v>
      </c>
      <c r="R9" s="133" t="str">
        <f>IF(Q9=1,2,"")</f>
        <v/>
      </c>
      <c r="S9" s="157"/>
    </row>
    <row r="10" spans="1:27" ht="15" customHeight="1" x14ac:dyDescent="0.3">
      <c r="A10" s="215">
        <f>+B10*C10</f>
        <v>1</v>
      </c>
      <c r="B10" s="215">
        <f>IF(OR(H$8="N",L8=1),0,1)</f>
        <v>1</v>
      </c>
      <c r="C10" s="215">
        <f>+IF($H$8=[1]MENU!$B$28,0,1)</f>
        <v>1</v>
      </c>
      <c r="F10" s="305"/>
      <c r="G10" s="29" t="s">
        <v>178</v>
      </c>
      <c r="H10" s="288" t="s">
        <v>407</v>
      </c>
      <c r="I10" s="288"/>
      <c r="K10" s="9" t="s">
        <v>174</v>
      </c>
      <c r="S10" s="157"/>
    </row>
    <row r="11" spans="1:27" ht="15" customHeight="1" x14ac:dyDescent="0.3">
      <c r="A11" s="215">
        <f>IF(H$8="N",0,1)</f>
        <v>1</v>
      </c>
      <c r="F11" s="305"/>
      <c r="G11" s="29" t="s">
        <v>452</v>
      </c>
      <c r="H11" s="288" t="s">
        <v>60</v>
      </c>
      <c r="I11" s="288"/>
      <c r="K11" s="9" t="s">
        <v>99</v>
      </c>
      <c r="S11" s="157"/>
      <c r="T11" s="157"/>
      <c r="U11" s="157"/>
      <c r="V11" s="157"/>
      <c r="W11" s="157"/>
      <c r="X11" s="157"/>
      <c r="Y11" s="157"/>
      <c r="Z11" s="157"/>
      <c r="AA11" s="157"/>
    </row>
    <row r="12" spans="1:27" ht="15" customHeight="1" x14ac:dyDescent="0.3">
      <c r="A12" s="215">
        <f>IF(H$8="N",0,1)</f>
        <v>1</v>
      </c>
      <c r="F12" s="305"/>
      <c r="G12" s="29" t="s">
        <v>453</v>
      </c>
      <c r="H12" s="288" t="s">
        <v>62</v>
      </c>
      <c r="I12" s="288"/>
      <c r="K12" s="9" t="str">
        <f>VLOOKUP(H11,[1]Material!A2:B10,2,FALSE)</f>
        <v>Humiseal</v>
      </c>
    </row>
    <row r="13" spans="1:27" ht="15" customHeight="1" x14ac:dyDescent="0.3">
      <c r="A13" s="215">
        <f>+IF($H$8=[1]MENU!$B$28,0,1)</f>
        <v>1</v>
      </c>
      <c r="F13" s="305"/>
      <c r="G13" s="29" t="s">
        <v>209</v>
      </c>
      <c r="H13" s="288" t="s">
        <v>407</v>
      </c>
      <c r="I13" s="288"/>
      <c r="K13" s="7" t="s">
        <v>433</v>
      </c>
    </row>
    <row r="14" spans="1:27" ht="15" hidden="1" customHeight="1" x14ac:dyDescent="0.3">
      <c r="A14" s="215">
        <f>+B14*C14</f>
        <v>0</v>
      </c>
      <c r="B14" s="215">
        <f>IF(OR(H$13="N",L9=1),0,1)</f>
        <v>0</v>
      </c>
      <c r="C14" s="215">
        <f>+IF($H$8=[1]MENU!$B$28,0,1)</f>
        <v>1</v>
      </c>
      <c r="F14" s="305"/>
      <c r="G14" s="29" t="s">
        <v>454</v>
      </c>
      <c r="H14" s="288"/>
      <c r="I14" s="288"/>
      <c r="K14" s="9" t="s">
        <v>11</v>
      </c>
    </row>
    <row r="15" spans="1:27" ht="15" hidden="1" customHeight="1" x14ac:dyDescent="0.3">
      <c r="A15" s="215">
        <f>+B15*C15</f>
        <v>0</v>
      </c>
      <c r="B15" s="215">
        <f>IF(OR(H10="N",H$13="N",L9=1),0,1)</f>
        <v>0</v>
      </c>
      <c r="C15" s="215">
        <f>+IF($H$8=[1]MENU!$B$28,0,1)</f>
        <v>1</v>
      </c>
      <c r="F15" s="305"/>
      <c r="G15" s="29" t="s">
        <v>179</v>
      </c>
      <c r="H15" s="288"/>
      <c r="I15" s="288"/>
      <c r="K15" s="9" t="s">
        <v>11</v>
      </c>
    </row>
    <row r="16" spans="1:27" ht="15" hidden="1" customHeight="1" x14ac:dyDescent="0.3">
      <c r="A16" s="215">
        <f>+B16*C16</f>
        <v>0</v>
      </c>
      <c r="B16" s="215">
        <f>IF(H$13="N",0,1)</f>
        <v>0</v>
      </c>
      <c r="C16" s="215">
        <f>+IF($H$8=[1]MENU!$B$28,0,1)</f>
        <v>1</v>
      </c>
      <c r="F16" s="305"/>
      <c r="G16" s="29" t="s">
        <v>455</v>
      </c>
      <c r="H16" s="288"/>
      <c r="I16" s="288"/>
      <c r="K16" s="9" t="s">
        <v>99</v>
      </c>
    </row>
    <row r="17" spans="1:47" ht="15" hidden="1" customHeight="1" x14ac:dyDescent="0.3">
      <c r="A17" s="215">
        <f>+B17*C17</f>
        <v>0</v>
      </c>
      <c r="B17" s="215">
        <f>IF(H$13="N",0,1)</f>
        <v>0</v>
      </c>
      <c r="C17" s="215">
        <f>+IF($H$8=[1]MENU!$B$28,0,1)</f>
        <v>1</v>
      </c>
      <c r="F17" s="303"/>
      <c r="G17" s="29" t="s">
        <v>456</v>
      </c>
      <c r="H17" s="288"/>
      <c r="I17" s="288"/>
      <c r="K17" s="9" t="e">
        <f>VLOOKUP(H16,[1]Material!A2:B10,2,FALSE)</f>
        <v>#N/A</v>
      </c>
    </row>
    <row r="18" spans="1:47" ht="15" customHeight="1" x14ac:dyDescent="0.3">
      <c r="A18" s="215">
        <v>1</v>
      </c>
      <c r="F18" s="219"/>
      <c r="G18" s="12"/>
      <c r="H18" s="12"/>
      <c r="I18" s="88"/>
      <c r="K18" s="9"/>
      <c r="S18" s="289" t="str">
        <f>IF(OR(H19="N",H19=""),"",H19)</f>
        <v>Servo 4th Axis with 3 Dispense Stations and (2) Two Position Tilts</v>
      </c>
      <c r="T18" s="289"/>
      <c r="U18" s="289"/>
      <c r="V18" s="289"/>
      <c r="W18" s="289"/>
      <c r="X18" s="289"/>
      <c r="Y18" s="289"/>
    </row>
    <row r="19" spans="1:47" x14ac:dyDescent="0.3">
      <c r="A19" s="215">
        <v>1</v>
      </c>
      <c r="F19" s="263" t="s">
        <v>426</v>
      </c>
      <c r="G19" s="29" t="s">
        <v>412</v>
      </c>
      <c r="H19" s="304" t="s">
        <v>491</v>
      </c>
      <c r="I19" s="288"/>
      <c r="K19" s="9" t="str">
        <f>+[1]MENU!E32</f>
        <v>DISPENSE_HEAD</v>
      </c>
      <c r="L19" s="262">
        <f>IFERROR(VLOOKUP(H19,[1]MENU!B33:Y41,24,FALSE),0)</f>
        <v>3</v>
      </c>
    </row>
    <row r="20" spans="1:47" ht="15" customHeight="1" x14ac:dyDescent="0.3">
      <c r="A20" s="215">
        <f>IF(OR(H$19="N",H19=""),0,1)</f>
        <v>1</v>
      </c>
      <c r="F20" s="123"/>
      <c r="G20" s="29"/>
      <c r="H20" s="35"/>
      <c r="I20" s="28"/>
      <c r="K20" s="9"/>
    </row>
    <row r="21" spans="1:47" ht="15" customHeight="1" x14ac:dyDescent="0.3">
      <c r="A21" s="215">
        <f>+B21*C21</f>
        <v>1</v>
      </c>
      <c r="B21" s="215">
        <f>IF(L$19&gt;=1,1,0)</f>
        <v>1</v>
      </c>
      <c r="C21" s="215">
        <f>+IF(OR($H$19=[1]MENU!$B$39,$H$19=[1]MENU!$B$40),0,1)</f>
        <v>1</v>
      </c>
      <c r="F21" s="305" t="s">
        <v>427</v>
      </c>
      <c r="G21" s="29" t="s">
        <v>504</v>
      </c>
      <c r="H21" s="288" t="s">
        <v>0</v>
      </c>
      <c r="I21" s="288"/>
      <c r="K21" s="9" t="str">
        <f>IF(L$28&gt;=2,"POD_NOSPRAY","POD")</f>
        <v>POD_NOSPRAY</v>
      </c>
      <c r="L21" s="262">
        <f>IFERROR(VLOOKUP(H21,[1]MENU!B$44:Y$52,24,FALSE),0)</f>
        <v>1</v>
      </c>
    </row>
    <row r="22" spans="1:47" ht="15" customHeight="1" x14ac:dyDescent="0.3">
      <c r="A22" s="215">
        <f>+B22*C22*D22</f>
        <v>1</v>
      </c>
      <c r="B22" s="215">
        <f>IF(AND(L$19&gt;=1,H21&lt;&gt;"N"),1,0)</f>
        <v>1</v>
      </c>
      <c r="C22" s="215">
        <v>1</v>
      </c>
      <c r="D22" s="215">
        <f>+IF(OR($H$19=[1]MENU!$B$39,$H$19=[1]MENU!$B$40),0,1)</f>
        <v>1</v>
      </c>
      <c r="F22" s="305"/>
      <c r="G22" s="29" t="s">
        <v>505</v>
      </c>
      <c r="H22" s="288">
        <v>1</v>
      </c>
      <c r="I22" s="288"/>
      <c r="K22" s="11" t="s">
        <v>440</v>
      </c>
    </row>
    <row r="23" spans="1:47" ht="15" customHeight="1" x14ac:dyDescent="0.3">
      <c r="A23" s="215">
        <f>IF(L$19&gt;=2,1,0)</f>
        <v>1</v>
      </c>
      <c r="F23" s="305"/>
      <c r="G23" s="29" t="s">
        <v>506</v>
      </c>
      <c r="H23" s="288" t="s">
        <v>0</v>
      </c>
      <c r="I23" s="288"/>
      <c r="K23" s="9" t="str">
        <f>IF(L$28&gt;=2,"POD_NOSPRAY","POD")</f>
        <v>POD_NOSPRAY</v>
      </c>
      <c r="L23" s="262">
        <f>IFERROR(VLOOKUP(H23,[1]MENU!B$44:Y$52,24,FALSE),0)</f>
        <v>1</v>
      </c>
    </row>
    <row r="24" spans="1:47" ht="15" customHeight="1" x14ac:dyDescent="0.3">
      <c r="A24" s="215">
        <f>+B24*C24</f>
        <v>1</v>
      </c>
      <c r="B24" s="215">
        <f>IF(AND(L$19&gt;=2,H23&lt;&gt;"N"),1,0)</f>
        <v>1</v>
      </c>
      <c r="C24" s="215">
        <v>1</v>
      </c>
      <c r="F24" s="305"/>
      <c r="G24" s="29" t="s">
        <v>507</v>
      </c>
      <c r="H24" s="288">
        <v>1</v>
      </c>
      <c r="I24" s="288"/>
      <c r="K24" s="11" t="s">
        <v>440</v>
      </c>
    </row>
    <row r="25" spans="1:47" ht="15" customHeight="1" x14ac:dyDescent="0.3">
      <c r="A25" s="215">
        <f>IF(L$19&gt;=3,1,0)</f>
        <v>1</v>
      </c>
      <c r="F25" s="305"/>
      <c r="G25" s="29" t="s">
        <v>531</v>
      </c>
      <c r="H25" s="288" t="s">
        <v>407</v>
      </c>
      <c r="I25" s="288"/>
      <c r="K25" s="9" t="str">
        <f>IF(L$28&gt;=2,"POD_NOSPRAY","POD")</f>
        <v>POD_NOSPRAY</v>
      </c>
      <c r="L25" s="262">
        <f>IFERROR(VLOOKUP(H25,[1]MENU!B$44:Y$52,24,FALSE),0)</f>
        <v>0</v>
      </c>
    </row>
    <row r="26" spans="1:47" ht="15" hidden="1" customHeight="1" x14ac:dyDescent="0.3">
      <c r="A26" s="215">
        <f>+B26*C26</f>
        <v>0</v>
      </c>
      <c r="B26" s="215">
        <f>IF(AND(L$19&gt;=3,H25&lt;&gt;"N"),1,0)</f>
        <v>0</v>
      </c>
      <c r="C26" s="215">
        <v>1</v>
      </c>
      <c r="F26" s="305"/>
      <c r="G26" s="29" t="s">
        <v>508</v>
      </c>
      <c r="H26" s="288"/>
      <c r="I26" s="288"/>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3">
      <c r="A27" s="215">
        <f>IF(L$19=4,1,0)</f>
        <v>0</v>
      </c>
      <c r="F27" s="305"/>
      <c r="G27" s="29" t="s">
        <v>509</v>
      </c>
      <c r="H27" s="288"/>
      <c r="I27" s="288"/>
      <c r="K27" s="9" t="str">
        <f>IF(L$28&gt;=2,"POD_NOSPRAY","POD")</f>
        <v>POD_NOSPRAY</v>
      </c>
      <c r="L27" s="262">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3">
      <c r="A28" s="215">
        <f>+B28*C28</f>
        <v>0</v>
      </c>
      <c r="B28" s="215">
        <f>IF(AND(L$19=4,H27&lt;&gt;"N"),1,0)</f>
        <v>0</v>
      </c>
      <c r="C28" s="215">
        <v>1</v>
      </c>
      <c r="F28" s="305"/>
      <c r="G28" s="29" t="s">
        <v>510</v>
      </c>
      <c r="H28" s="288"/>
      <c r="I28" s="288"/>
      <c r="K28" s="11" t="s">
        <v>440</v>
      </c>
      <c r="L28" s="262">
        <f>L21+L23+L25+L27</f>
        <v>2</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3">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3">
      <c r="A30" s="215">
        <v>1</v>
      </c>
      <c r="F30" s="305" t="s">
        <v>428</v>
      </c>
      <c r="G30" s="115" t="str">
        <f>+IF(H30="","Part Handling",IF(B31=0,"Fixture","Conveyor"))</f>
        <v>Conveyor</v>
      </c>
      <c r="H30" s="288" t="s">
        <v>600</v>
      </c>
      <c r="I30" s="288"/>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3">
      <c r="A31" s="215">
        <f>+B31*C31</f>
        <v>1</v>
      </c>
      <c r="B31" s="215">
        <f>+IF($H$30=[1]MENU!$B$57,0,1)</f>
        <v>1</v>
      </c>
      <c r="C31" s="215">
        <f>IF(H$30="N",0,1)</f>
        <v>1</v>
      </c>
      <c r="F31" s="305"/>
      <c r="G31" s="115" t="s">
        <v>13</v>
      </c>
      <c r="H31" s="288" t="s">
        <v>16</v>
      </c>
      <c r="I31" s="288"/>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3">
      <c r="A32" s="215">
        <f>+B32*C32</f>
        <v>1</v>
      </c>
      <c r="B32" s="215">
        <f>+IF($H$30=[1]MENU!$B$57,0,1)</f>
        <v>1</v>
      </c>
      <c r="C32" s="215">
        <f>IF(H$30="N",0,1)</f>
        <v>1</v>
      </c>
      <c r="F32" s="305"/>
      <c r="G32" s="115" t="s">
        <v>611</v>
      </c>
      <c r="H32" s="288" t="s">
        <v>407</v>
      </c>
      <c r="I32" s="288"/>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3">
      <c r="A33" s="215">
        <f>+B33*C33</f>
        <v>1</v>
      </c>
      <c r="B33" s="215">
        <f>+IF($H$30=[1]MENU!$B$57,0,1)</f>
        <v>1</v>
      </c>
      <c r="C33" s="215">
        <f>IF(H$30="N",0,1)</f>
        <v>1</v>
      </c>
      <c r="F33" s="305"/>
      <c r="G33" s="115" t="str">
        <f>+[1]MENU!B64</f>
        <v>Barcode - Mounted on Conveyor Inlet with P Select</v>
      </c>
      <c r="H33" s="288" t="s">
        <v>407</v>
      </c>
      <c r="I33" s="288"/>
      <c r="K33" s="9" t="str">
        <f>IF(L33=1,"No","YesNo")</f>
        <v>YesNo</v>
      </c>
      <c r="L33" s="262">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3">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3">
      <c r="A35" s="215">
        <v>1</v>
      </c>
      <c r="F35" s="263" t="s">
        <v>429</v>
      </c>
      <c r="G35" s="29" t="s">
        <v>436</v>
      </c>
      <c r="H35" s="288" t="s">
        <v>407</v>
      </c>
      <c r="I35" s="288"/>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3">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3">
      <c r="A37" s="215">
        <f>+B37*C37*D37</f>
        <v>1</v>
      </c>
      <c r="B37" s="215">
        <f>+IF($H$30=[1]MENU!$B$57,0,1)</f>
        <v>1</v>
      </c>
      <c r="C37" s="215">
        <f>IF(H$30="N",0,1)</f>
        <v>1</v>
      </c>
      <c r="D37" s="215">
        <f>+IF($H$8=[1]MENU!$B$28,0,1)</f>
        <v>1</v>
      </c>
      <c r="F37" s="303" t="s">
        <v>430</v>
      </c>
      <c r="G37" s="115" t="str">
        <f>+[1]MENU!B75</f>
        <v>Fan Width Sensor</v>
      </c>
      <c r="H37" s="288" t="s">
        <v>407</v>
      </c>
      <c r="I37" s="288"/>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idden="1" x14ac:dyDescent="0.3">
      <c r="A38" s="215">
        <f>+B38*C38*D38</f>
        <v>0</v>
      </c>
      <c r="B38" s="215">
        <f>+IF($H$30=[1]MENU!$B$57,0,1)</f>
        <v>1</v>
      </c>
      <c r="C38" s="215">
        <f>IF(H$30="N",0,1)</f>
        <v>1</v>
      </c>
      <c r="D38" s="215">
        <f>+IF($H$8=[1]MENU!$B$28,1,0)</f>
        <v>0</v>
      </c>
      <c r="F38" s="303"/>
      <c r="G38" s="115" t="str">
        <f>+[1]MENU!B76</f>
        <v>Fan Width Sensor with Continuous Film Calibration</v>
      </c>
      <c r="H38" s="288"/>
      <c r="I38" s="288"/>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3">
      <c r="A39" s="215">
        <f>+B39*C39</f>
        <v>1</v>
      </c>
      <c r="B39" s="215">
        <f>+IF($H$30=[1]MENU!$B$57,0,1)</f>
        <v>1</v>
      </c>
      <c r="C39" s="215">
        <f>IF(H$30="N",0,1)</f>
        <v>1</v>
      </c>
      <c r="F39" s="303"/>
      <c r="G39" s="115" t="str">
        <f>+[1]MENU!B77</f>
        <v>Needle Calibration, 3 axis</v>
      </c>
      <c r="H39" s="288" t="s">
        <v>407</v>
      </c>
      <c r="I39" s="288"/>
      <c r="K39" s="9" t="s">
        <v>11</v>
      </c>
      <c r="T39" s="170"/>
      <c r="U39" s="170"/>
      <c r="V39" s="170"/>
      <c r="W39" s="170"/>
      <c r="X39" s="170"/>
      <c r="Y39" s="170"/>
      <c r="Z39" s="170"/>
      <c r="AA39" s="170"/>
      <c r="AB39" s="170"/>
      <c r="AC39" s="170"/>
      <c r="AD39" s="170"/>
      <c r="AE39" s="170"/>
      <c r="AF39" s="170"/>
      <c r="AG39" s="170"/>
      <c r="AH39" s="170"/>
      <c r="AI39" s="170"/>
    </row>
    <row r="40" spans="1:43" ht="15" customHeight="1" x14ac:dyDescent="0.3">
      <c r="A40" s="215">
        <v>1</v>
      </c>
      <c r="F40" s="303"/>
      <c r="G40" s="115" t="str">
        <f>+[1]MENU!B78</f>
        <v>Black Light</v>
      </c>
      <c r="H40" s="288" t="s">
        <v>271</v>
      </c>
      <c r="I40" s="288"/>
      <c r="K40" s="9" t="s">
        <v>11</v>
      </c>
      <c r="T40" s="170"/>
      <c r="U40" s="170"/>
      <c r="V40" s="170"/>
      <c r="W40" s="170"/>
      <c r="X40" s="170"/>
      <c r="Y40" s="170"/>
      <c r="Z40" s="170"/>
      <c r="AA40" s="170"/>
      <c r="AB40" s="170"/>
      <c r="AC40" s="170"/>
      <c r="AD40" s="170"/>
      <c r="AE40" s="170"/>
      <c r="AF40" s="170"/>
      <c r="AG40" s="170"/>
      <c r="AH40" s="170"/>
      <c r="AI40" s="170"/>
    </row>
    <row r="41" spans="1:43" ht="15" customHeight="1" x14ac:dyDescent="0.3">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3">
      <c r="A42" s="215">
        <v>1</v>
      </c>
      <c r="F42" s="303" t="s">
        <v>441</v>
      </c>
      <c r="G42" s="107" t="s">
        <v>442</v>
      </c>
      <c r="H42" s="288" t="s">
        <v>271</v>
      </c>
      <c r="I42" s="288"/>
      <c r="K42" s="9" t="s">
        <v>11</v>
      </c>
      <c r="V42" s="173"/>
      <c r="W42" s="173"/>
      <c r="X42" s="173"/>
      <c r="Y42" s="173"/>
      <c r="Z42" s="173"/>
      <c r="AA42" s="173"/>
      <c r="AB42" s="173"/>
      <c r="AC42" s="173"/>
      <c r="AD42" s="173"/>
      <c r="AE42" s="173"/>
      <c r="AF42" s="173"/>
    </row>
    <row r="43" spans="1:43" ht="15" hidden="1" customHeight="1" x14ac:dyDescent="0.3">
      <c r="A43" s="215">
        <f>+IF(H5=[1]Data!C4,1,0)</f>
        <v>0</v>
      </c>
      <c r="F43" s="303"/>
      <c r="G43" s="107" t="str">
        <f>+[1]MENU!B91</f>
        <v>Fume Extractor</v>
      </c>
      <c r="H43" s="288"/>
      <c r="I43" s="288"/>
      <c r="K43" s="9" t="s">
        <v>11</v>
      </c>
    </row>
    <row r="44" spans="1:43" x14ac:dyDescent="0.3">
      <c r="A44" s="215">
        <v>1</v>
      </c>
      <c r="F44" s="303"/>
      <c r="G44" s="29" t="s">
        <v>444</v>
      </c>
      <c r="H44" s="288" t="s">
        <v>0</v>
      </c>
      <c r="I44" s="288"/>
      <c r="K44" s="9" t="str">
        <f>+[1]MENU!$E$92</f>
        <v>UNMOUNTED</v>
      </c>
    </row>
    <row r="45" spans="1:43" x14ac:dyDescent="0.3">
      <c r="A45" s="215">
        <f>+B45*C45</f>
        <v>1</v>
      </c>
      <c r="B45" s="215">
        <f>+IF(H44="N",0,1)</f>
        <v>1</v>
      </c>
      <c r="C45" s="215">
        <f>+IF(H44="",0,1)</f>
        <v>1</v>
      </c>
      <c r="F45" s="303"/>
      <c r="G45" s="29" t="s">
        <v>445</v>
      </c>
      <c r="H45" s="288" t="s">
        <v>407</v>
      </c>
      <c r="I45" s="288"/>
      <c r="K45" s="9" t="str">
        <f>+[1]MENU!$E$92</f>
        <v>UNMOUNTED</v>
      </c>
    </row>
    <row r="46" spans="1:43" hidden="1" x14ac:dyDescent="0.3">
      <c r="A46" s="215">
        <f t="shared" ref="A46:A47" si="0">+B46*C46</f>
        <v>0</v>
      </c>
      <c r="B46" s="215">
        <f t="shared" ref="B46:B47" si="1">+IF(H45="N",0,1)</f>
        <v>0</v>
      </c>
      <c r="C46" s="215">
        <f>+IF(H45="",0,1)</f>
        <v>1</v>
      </c>
      <c r="F46" s="303"/>
      <c r="G46" s="29" t="s">
        <v>446</v>
      </c>
      <c r="H46" s="288"/>
      <c r="I46" s="288"/>
      <c r="K46" s="9" t="str">
        <f>+[1]MENU!$E$92</f>
        <v>UNMOUNTED</v>
      </c>
    </row>
    <row r="47" spans="1:43" hidden="1" x14ac:dyDescent="0.3">
      <c r="A47" s="215">
        <f t="shared" si="0"/>
        <v>0</v>
      </c>
      <c r="B47" s="215">
        <f t="shared" si="1"/>
        <v>1</v>
      </c>
      <c r="C47" s="215">
        <f>+IF(H46="",0,1)</f>
        <v>0</v>
      </c>
      <c r="F47" s="303"/>
      <c r="G47" s="29" t="s">
        <v>447</v>
      </c>
      <c r="H47" s="288"/>
      <c r="I47" s="288"/>
      <c r="K47" s="9" t="str">
        <f>+[1]MENU!$E$92</f>
        <v>UNMOUNTED</v>
      </c>
    </row>
    <row r="48" spans="1:43" ht="15" customHeight="1" x14ac:dyDescent="0.3">
      <c r="F48" s="224"/>
      <c r="G48" s="225"/>
      <c r="H48" s="70"/>
      <c r="I48" s="79"/>
      <c r="K48" s="9"/>
      <c r="T48" s="173"/>
      <c r="U48" s="173"/>
      <c r="V48" s="173"/>
      <c r="W48" s="173"/>
      <c r="X48" s="173"/>
    </row>
    <row r="49" spans="1:25" ht="23.1" customHeight="1" x14ac:dyDescent="0.3">
      <c r="F49" s="246" t="str">
        <f>+CONCATENATE("Lead Time - ",L1," Weeks (ARO)")</f>
        <v>Lead Time - 4 Weeks (ARO)</v>
      </c>
      <c r="G49" s="243"/>
      <c r="H49" s="244" t="s">
        <v>512</v>
      </c>
      <c r="I49" s="249">
        <f>+'[1]WORKCELL BOM'!S68</f>
        <v>70375</v>
      </c>
      <c r="K49" s="9"/>
      <c r="T49" s="173"/>
      <c r="U49" s="173"/>
      <c r="V49" s="173"/>
      <c r="W49" s="173"/>
      <c r="X49" s="173"/>
    </row>
    <row r="50" spans="1:25" ht="23.1" customHeight="1" x14ac:dyDescent="0.3">
      <c r="F50" s="178" t="str">
        <f>IF(B31=0,"",CONCATENATE("Conveyor Rail Available ",'[1]WORKCELL BOM'!O68,"mm"))</f>
        <v>Conveyor Rail Available 270mm</v>
      </c>
      <c r="G50" s="247"/>
      <c r="H50" s="245"/>
      <c r="I50" s="248" t="str">
        <f>CONCATENATE("Work Area Estimate ",'[1]WORKCELL BOM'!M68,"mm x ",'[1]WORKCELL BOM'!N68,"mm")</f>
        <v>Work Area Estimate 476mm x 575mm</v>
      </c>
      <c r="T50" s="290" t="str">
        <f>+IF(I51="Y","MAKE ARRANGEMENTS FOR SAMPLE PARTS","")</f>
        <v/>
      </c>
      <c r="U50" s="290"/>
      <c r="V50" s="290"/>
      <c r="W50" s="290"/>
      <c r="X50" s="290"/>
    </row>
    <row r="51" spans="1:25" ht="15" customHeight="1" x14ac:dyDescent="0.3">
      <c r="F51" s="96" t="s">
        <v>340</v>
      </c>
      <c r="G51" s="97">
        <v>42780</v>
      </c>
      <c r="H51" s="94" t="s">
        <v>344</v>
      </c>
      <c r="I51" s="34" t="s">
        <v>407</v>
      </c>
      <c r="K51" t="s">
        <v>11</v>
      </c>
      <c r="L51" s="154"/>
      <c r="M51" s="154"/>
      <c r="N51" s="154"/>
      <c r="O51" s="154"/>
      <c r="P51" s="154"/>
      <c r="Q51" s="154"/>
      <c r="R51" s="154"/>
      <c r="T51" s="290" t="str">
        <f>+IF(I51="Y","MAKE ARRANGEMENTS FOR SAMPLE MATERIAL","")</f>
        <v/>
      </c>
      <c r="U51" s="290"/>
      <c r="V51" s="290"/>
      <c r="W51" s="290"/>
      <c r="X51" s="290"/>
      <c r="Y51" s="170"/>
    </row>
    <row r="52" spans="1:25" ht="15" customHeight="1" x14ac:dyDescent="0.3">
      <c r="F52" s="199" t="s">
        <v>341</v>
      </c>
      <c r="G52" s="200">
        <f>IF(G51="","",WORKDAY(G54,-8))</f>
        <v>42796</v>
      </c>
      <c r="H52" s="95" t="s">
        <v>346</v>
      </c>
      <c r="I52" s="34" t="s">
        <v>698</v>
      </c>
      <c r="L52" s="154"/>
      <c r="M52" s="154"/>
      <c r="N52" s="154"/>
      <c r="O52" s="154"/>
      <c r="P52" s="154"/>
      <c r="Q52" s="154"/>
      <c r="R52" s="154"/>
      <c r="T52" s="290" t="str">
        <f>+IF(I51="Y","SCHEDULE ACCEPTANCE WITH DAVID FILBERT","")</f>
        <v/>
      </c>
      <c r="U52" s="290"/>
      <c r="V52" s="290"/>
      <c r="W52" s="290"/>
      <c r="X52" s="290"/>
      <c r="Y52" s="170"/>
    </row>
    <row r="53" spans="1:25" ht="15" customHeight="1" x14ac:dyDescent="0.3">
      <c r="F53" s="199" t="s">
        <v>342</v>
      </c>
      <c r="G53" s="200">
        <f>IF(G51="","",WORKDAY(G54,-2))</f>
        <v>42804</v>
      </c>
      <c r="H53" s="95" t="s">
        <v>347</v>
      </c>
      <c r="I53" s="34" t="s">
        <v>699</v>
      </c>
      <c r="Y53" s="170"/>
    </row>
    <row r="54" spans="1:25" ht="15" customHeight="1" x14ac:dyDescent="0.3">
      <c r="F54" s="199" t="str">
        <f>IF(I51="Y","Acceptance","Shipping")</f>
        <v>Shipping</v>
      </c>
      <c r="G54" s="201">
        <f>IF(G51="","",WORKDAY(G51,(L1*5)))</f>
        <v>42808</v>
      </c>
      <c r="H54" s="95" t="s">
        <v>348</v>
      </c>
      <c r="I54" s="34">
        <v>29546</v>
      </c>
      <c r="Y54" s="157"/>
    </row>
    <row r="55" spans="1:25" ht="30" customHeight="1" x14ac:dyDescent="0.3">
      <c r="F55" s="300" t="s">
        <v>349</v>
      </c>
      <c r="G55" s="301"/>
      <c r="H55" s="301"/>
      <c r="I55" s="302"/>
      <c r="T55" s="157"/>
      <c r="U55" s="157"/>
      <c r="V55" s="157"/>
      <c r="W55" s="157"/>
      <c r="X55" s="157"/>
      <c r="Y55" s="157"/>
    </row>
    <row r="56" spans="1:25" x14ac:dyDescent="0.3">
      <c r="F56" s="27"/>
      <c r="G56" s="7"/>
      <c r="H56" s="265"/>
      <c r="I56" s="28"/>
    </row>
    <row r="57" spans="1:25" ht="25.2" customHeight="1" thickBot="1" x14ac:dyDescent="0.35">
      <c r="F57" s="27"/>
      <c r="G57" s="32" t="s">
        <v>164</v>
      </c>
      <c r="H57" s="139"/>
      <c r="I57" s="28"/>
      <c r="S57" s="285" t="s">
        <v>645</v>
      </c>
      <c r="T57" s="285"/>
      <c r="U57" s="285"/>
      <c r="W57" s="285" t="s">
        <v>646</v>
      </c>
      <c r="X57" s="285"/>
      <c r="Y57" s="285"/>
    </row>
    <row r="58" spans="1:25" ht="25.2" customHeight="1" thickBot="1" x14ac:dyDescent="0.35">
      <c r="F58" s="27"/>
      <c r="G58" s="32" t="s">
        <v>165</v>
      </c>
      <c r="H58" s="140"/>
      <c r="I58" s="28"/>
    </row>
    <row r="59" spans="1:25" ht="25.2" customHeight="1" thickBot="1" x14ac:dyDescent="0.35">
      <c r="F59" s="27"/>
      <c r="G59" s="32" t="s">
        <v>166</v>
      </c>
      <c r="H59" s="140"/>
      <c r="I59" s="28"/>
    </row>
    <row r="60" spans="1:25" ht="25.2" customHeight="1" thickBot="1" x14ac:dyDescent="0.35">
      <c r="F60" s="27"/>
      <c r="G60" s="32" t="s">
        <v>167</v>
      </c>
      <c r="H60" s="140"/>
      <c r="I60" s="28"/>
    </row>
    <row r="61" spans="1:25" ht="25.2" customHeight="1" thickBot="1" x14ac:dyDescent="0.35">
      <c r="F61" s="27"/>
      <c r="G61" s="32" t="s">
        <v>168</v>
      </c>
      <c r="H61" s="141"/>
      <c r="I61" s="28"/>
    </row>
    <row r="62" spans="1:25" ht="25.2" customHeight="1" thickBot="1" x14ac:dyDescent="0.35">
      <c r="F62" s="27"/>
      <c r="G62" s="32" t="s">
        <v>494</v>
      </c>
      <c r="H62" s="174"/>
      <c r="I62" s="28"/>
      <c r="K62" t="s">
        <v>495</v>
      </c>
    </row>
    <row r="63" spans="1:25" x14ac:dyDescent="0.3">
      <c r="F63" s="30"/>
      <c r="G63" s="33"/>
      <c r="H63" s="25"/>
      <c r="I63" s="31"/>
    </row>
    <row r="64" spans="1:25" x14ac:dyDescent="0.3">
      <c r="A64" s="215">
        <f>+IF($I$54="",0,1)</f>
        <v>1</v>
      </c>
      <c r="F64" s="291" t="s">
        <v>664</v>
      </c>
      <c r="G64" s="292"/>
      <c r="H64" s="292"/>
      <c r="I64" s="293"/>
    </row>
    <row r="65" spans="1:9" customFormat="1" x14ac:dyDescent="0.3">
      <c r="A65" s="215">
        <f t="shared" ref="A65:A69" si="2">+IF($I$54="",0,1)</f>
        <v>1</v>
      </c>
      <c r="B65" s="215"/>
      <c r="C65" s="215"/>
      <c r="D65" s="215"/>
      <c r="E65" s="215"/>
      <c r="F65" s="294"/>
      <c r="G65" s="295"/>
      <c r="H65" s="295"/>
      <c r="I65" s="296"/>
    </row>
    <row r="66" spans="1:9" customFormat="1" x14ac:dyDescent="0.3">
      <c r="A66" s="215">
        <f t="shared" si="2"/>
        <v>1</v>
      </c>
      <c r="B66" s="215"/>
      <c r="C66" s="215"/>
      <c r="D66" s="215"/>
      <c r="E66" s="215"/>
      <c r="F66" s="294"/>
      <c r="G66" s="295"/>
      <c r="H66" s="295"/>
      <c r="I66" s="296"/>
    </row>
    <row r="67" spans="1:9" customFormat="1" x14ac:dyDescent="0.3">
      <c r="A67" s="215">
        <f t="shared" si="2"/>
        <v>1</v>
      </c>
      <c r="B67" s="215"/>
      <c r="C67" s="215"/>
      <c r="D67" s="215"/>
      <c r="E67" s="215"/>
      <c r="F67" s="294"/>
      <c r="G67" s="295"/>
      <c r="H67" s="295"/>
      <c r="I67" s="296"/>
    </row>
    <row r="68" spans="1:9" customFormat="1" x14ac:dyDescent="0.3">
      <c r="A68" s="215">
        <f t="shared" si="2"/>
        <v>1</v>
      </c>
      <c r="B68" s="215"/>
      <c r="C68" s="215"/>
      <c r="D68" s="215"/>
      <c r="E68" s="215"/>
      <c r="F68" s="294"/>
      <c r="G68" s="295"/>
      <c r="H68" s="295"/>
      <c r="I68" s="296"/>
    </row>
    <row r="69" spans="1:9" customFormat="1" x14ac:dyDescent="0.3">
      <c r="A69" s="215">
        <f t="shared" si="2"/>
        <v>1</v>
      </c>
      <c r="B69" s="215"/>
      <c r="C69" s="215"/>
      <c r="D69" s="215"/>
      <c r="E69" s="215"/>
      <c r="F69" s="297"/>
      <c r="G69" s="298"/>
      <c r="H69" s="298"/>
      <c r="I69" s="299"/>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243840</xdr:colOff>
                <xdr:row>59</xdr:row>
                <xdr:rowOff>198120</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243840</xdr:colOff>
                <xdr:row>59</xdr:row>
                <xdr:rowOff>198120</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22086" r:id="rId9"/>
      </mc:Fallback>
    </mc:AlternateContent>
    <mc:AlternateContent xmlns:mc="http://schemas.openxmlformats.org/markup-compatibility/2006">
      <mc:Choice Requires="x14">
        <oleObject progId="AcroExch.Document.11" shapeId="49209" r:id="rId10">
          <objectPr defaultSize="0" autoPict="0" r:id="rId5">
            <anchor moveWithCells="1">
              <from>
                <xdr:col>18</xdr:col>
                <xdr:colOff>419100</xdr:colOff>
                <xdr:row>57</xdr:row>
                <xdr:rowOff>114300</xdr:rowOff>
              </from>
              <to>
                <xdr:col>20</xdr:col>
                <xdr:colOff>266700</xdr:colOff>
                <xdr:row>59</xdr:row>
                <xdr:rowOff>198120</xdr:rowOff>
              </to>
            </anchor>
          </objectPr>
        </oleObject>
      </mc:Choice>
      <mc:Fallback>
        <oleObject progId="AcroExch.Document.11" shapeId="49209" r:id="rId10"/>
      </mc:Fallback>
    </mc:AlternateContent>
    <mc:AlternateContent xmlns:mc="http://schemas.openxmlformats.org/markup-compatibility/2006">
      <mc:Choice Requires="x14">
        <oleObject progId="AcroExch.Document.11" shapeId="49210" r:id="rId11">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49210" r:id="rId11"/>
      </mc:Fallback>
    </mc:AlternateContent>
    <mc:AlternateContent xmlns:mc="http://schemas.openxmlformats.org/markup-compatibility/2006">
      <mc:Choice Requires="x14">
        <oleObject progId="AcroExch.Document.11" shapeId="49390" r:id="rId12">
          <objectPr defaultSize="0" autoPict="0" r:id="rId5">
            <anchor moveWithCells="1">
              <from>
                <xdr:col>18</xdr:col>
                <xdr:colOff>419100</xdr:colOff>
                <xdr:row>57</xdr:row>
                <xdr:rowOff>114300</xdr:rowOff>
              </from>
              <to>
                <xdr:col>20</xdr:col>
                <xdr:colOff>274320</xdr:colOff>
                <xdr:row>59</xdr:row>
                <xdr:rowOff>198120</xdr:rowOff>
              </to>
            </anchor>
          </objectPr>
        </oleObject>
      </mc:Choice>
      <mc:Fallback>
        <oleObject progId="AcroExch.Document.11" shapeId="49390" r:id="rId12"/>
      </mc:Fallback>
    </mc:AlternateContent>
    <mc:AlternateContent xmlns:mc="http://schemas.openxmlformats.org/markup-compatibility/2006">
      <mc:Choice Requires="x14">
        <oleObject progId="AcroExch.Document.11" shapeId="49391" r:id="rId13">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49391" r:id="rId13"/>
      </mc:Fallback>
    </mc:AlternateContent>
    <mc:AlternateContent xmlns:mc="http://schemas.openxmlformats.org/markup-compatibility/2006">
      <mc:Choice Requires="x14">
        <oleObject progId="AcroExch.Document.11" shapeId="58533" r:id="rId14">
          <objectPr defaultSize="0" autoPict="0" r:id="rId5">
            <anchor moveWithCells="1">
              <from>
                <xdr:col>18</xdr:col>
                <xdr:colOff>419100</xdr:colOff>
                <xdr:row>57</xdr:row>
                <xdr:rowOff>114300</xdr:rowOff>
              </from>
              <to>
                <xdr:col>20</xdr:col>
                <xdr:colOff>274320</xdr:colOff>
                <xdr:row>59</xdr:row>
                <xdr:rowOff>198120</xdr:rowOff>
              </to>
            </anchor>
          </objectPr>
        </oleObject>
      </mc:Choice>
      <mc:Fallback>
        <oleObject progId="AcroExch.Document.11" shapeId="58533" r:id="rId14"/>
      </mc:Fallback>
    </mc:AlternateContent>
    <mc:AlternateContent xmlns:mc="http://schemas.openxmlformats.org/markup-compatibility/2006">
      <mc:Choice Requires="x14">
        <oleObject progId="AcroExch.Document.11" shapeId="58534" r:id="rId15">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58534" r:id="rId15"/>
      </mc:Fallback>
    </mc:AlternateContent>
  </oleObjects>
  <mc:AlternateContent xmlns:mc="http://schemas.openxmlformats.org/markup-compatibility/2006">
    <mc:Choice Requires="x14">
      <controls>
        <mc:AlternateContent xmlns:mc="http://schemas.openxmlformats.org/markup-compatibility/2006">
          <mc:Choice Requires="x14">
            <control shapeId="2058" r:id="rId16" name="Button 10">
              <controlPr defaultSize="0" print="0" autoFill="0" autoPict="0" macro="[0]!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22084" r:id="rId17" name="Button 2628">
              <controlPr defaultSize="0" print="0" autoFill="0" autoPict="0" macro="[2]!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49208" r:id="rId18" name="Button 5176">
              <controlPr defaultSize="0" print="0" autoFill="0" autoPict="0" macro="[3]!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49389" r:id="rId19" name="Button 5357">
              <controlPr defaultSize="0" print="0" autoFill="0" autoPict="0" macro="[4]!Clear">
                <anchor moveWithCells="1" sizeWithCells="1">
                  <from>
                    <xdr:col>8</xdr:col>
                    <xdr:colOff>45720</xdr:colOff>
                    <xdr:row>1</xdr:row>
                    <xdr:rowOff>38100</xdr:rowOff>
                  </from>
                  <to>
                    <xdr:col>8</xdr:col>
                    <xdr:colOff>1295400</xdr:colOff>
                    <xdr:row>1</xdr:row>
                    <xdr:rowOff>335280</xdr:rowOff>
                  </to>
                </anchor>
              </controlPr>
            </control>
          </mc:Choice>
        </mc:AlternateContent>
        <mc:AlternateContent xmlns:mc="http://schemas.openxmlformats.org/markup-compatibility/2006">
          <mc:Choice Requires="x14">
            <control shapeId="58532" r:id="rId20" name="Button 6308">
              <controlPr defaultSize="0" print="0" autoFill="0" autoPict="0" macro="[1]!Clear">
                <anchor moveWithCells="1" sizeWithCells="1">
                  <from>
                    <xdr:col>8</xdr:col>
                    <xdr:colOff>45720</xdr:colOff>
                    <xdr:row>1</xdr:row>
                    <xdr:rowOff>38100</xdr:rowOff>
                  </from>
                  <to>
                    <xdr:col>8</xdr:col>
                    <xdr:colOff>1295400</xdr:colOff>
                    <xdr:row>1</xdr:row>
                    <xdr:rowOff>327660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72B9A6E2-537E-4642-8CDF-66282C0C26E5}">
            <xm:f>'P:\Machines\JBIL4735\[DS Workcell Configurator Rev 2.17_PAEJabil.xlsm]WORKCELL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28" workbookViewId="0">
      <selection activeCell="L24" sqref="L24"/>
    </sheetView>
  </sheetViews>
  <sheetFormatPr defaultRowHeight="14.4" outlineLevelCol="1" x14ac:dyDescent="0.3"/>
  <cols>
    <col min="1" max="6" width="8.88671875" style="230" customWidth="1" outlineLevel="1"/>
    <col min="7" max="7" width="9.109375" customWidth="1"/>
    <col min="8" max="8" width="44.6640625" bestFit="1" customWidth="1"/>
    <col min="9" max="9" width="60.88671875" customWidth="1"/>
    <col min="10" max="10" width="5.6640625" customWidth="1"/>
    <col min="11" max="11" width="11.44140625" customWidth="1"/>
    <col min="12" max="12" width="19.44140625" bestFit="1" customWidth="1"/>
    <col min="13" max="13" width="10.44140625" style="38" customWidth="1" outlineLevel="1"/>
    <col min="14" max="17" width="9.44140625" style="38" customWidth="1" outlineLevel="1"/>
    <col min="18" max="19" width="16.88671875" customWidth="1" outlineLevel="1"/>
    <col min="20" max="23" width="9.109375" customWidth="1" outlineLevel="1"/>
  </cols>
  <sheetData>
    <row r="1" spans="1:22" ht="31.65" customHeight="1" thickBot="1" x14ac:dyDescent="0.3">
      <c r="G1" s="316" t="s">
        <v>467</v>
      </c>
      <c r="H1" s="316"/>
      <c r="I1" s="316"/>
      <c r="J1" s="316"/>
      <c r="K1" s="316"/>
      <c r="L1" s="316"/>
      <c r="M1" s="316"/>
      <c r="N1" s="316"/>
      <c r="O1" s="316"/>
      <c r="P1" s="316"/>
      <c r="Q1" s="316"/>
      <c r="R1" s="316"/>
      <c r="S1" s="316"/>
    </row>
    <row r="2" spans="1:22" ht="20.25" thickTop="1" x14ac:dyDescent="0.25">
      <c r="G2" s="317" t="s">
        <v>186</v>
      </c>
      <c r="H2" s="317"/>
      <c r="I2" s="314">
        <f>+'WORKCELL CONFIGURATOR'!H57</f>
        <v>0</v>
      </c>
      <c r="J2" s="314"/>
      <c r="K2" s="45" t="s">
        <v>204</v>
      </c>
      <c r="L2" s="137" t="str">
        <f>+'WORKCELL CONFIGURATOR'!I52</f>
        <v>JBIL4735</v>
      </c>
      <c r="M2" s="39"/>
      <c r="N2" s="39"/>
      <c r="O2" s="39"/>
      <c r="P2" s="39"/>
      <c r="Q2" s="160"/>
      <c r="R2" s="44"/>
      <c r="S2" s="42"/>
    </row>
    <row r="3" spans="1:22" ht="20.25" thickBot="1" x14ac:dyDescent="0.3">
      <c r="G3" s="318" t="s">
        <v>185</v>
      </c>
      <c r="H3" s="318"/>
      <c r="I3" s="315">
        <f>+'WORKCELL CONFIGURATOR'!I54</f>
        <v>29546</v>
      </c>
      <c r="J3" s="315"/>
      <c r="K3" s="46" t="s">
        <v>205</v>
      </c>
      <c r="L3" s="138" t="str">
        <f>+'WORKCELL CONFIGURATOR'!I53</f>
        <v>A1028</v>
      </c>
      <c r="M3" s="40"/>
      <c r="N3" s="40"/>
      <c r="O3" s="40"/>
      <c r="P3" s="40"/>
      <c r="Q3" s="161"/>
      <c r="R3" s="41"/>
      <c r="S3" s="43"/>
    </row>
    <row r="4" spans="1:22" ht="15.75" thickTop="1" x14ac:dyDescent="0.25">
      <c r="G4" s="319" t="s">
        <v>343</v>
      </c>
      <c r="H4" s="319"/>
      <c r="I4" s="24">
        <f>+'WORKCELL CONFIGURATOR'!L1</f>
        <v>4</v>
      </c>
      <c r="J4" s="319" t="s">
        <v>340</v>
      </c>
      <c r="K4" s="319"/>
      <c r="L4" s="93">
        <f>+'WORKCELL CONFIGURATOR'!G51</f>
        <v>42780</v>
      </c>
      <c r="M4"/>
      <c r="N4"/>
      <c r="O4"/>
      <c r="P4"/>
      <c r="Q4" s="136"/>
    </row>
    <row r="5" spans="1:22" ht="15" x14ac:dyDescent="0.25">
      <c r="G5" s="320" t="s">
        <v>356</v>
      </c>
      <c r="H5" s="320"/>
      <c r="I5" s="107" t="str">
        <f>+'WORKCELL CONFIGURATOR'!H6</f>
        <v>N</v>
      </c>
      <c r="J5" s="322" t="s">
        <v>341</v>
      </c>
      <c r="K5" s="322"/>
      <c r="L5" s="93">
        <f>+'WORKCELL CONFIGURATOR'!G52</f>
        <v>42796</v>
      </c>
      <c r="M5"/>
      <c r="N5"/>
      <c r="O5"/>
      <c r="P5"/>
      <c r="Q5" s="136"/>
    </row>
    <row r="6" spans="1:22" ht="15" x14ac:dyDescent="0.25">
      <c r="G6" s="320" t="s">
        <v>12</v>
      </c>
      <c r="H6" s="320"/>
      <c r="I6" s="29" t="str">
        <f>+'WORKCELL CONFIGURATOR'!H5</f>
        <v>200-240v 50/60Hz</v>
      </c>
      <c r="J6" s="323" t="s">
        <v>342</v>
      </c>
      <c r="K6" s="323"/>
      <c r="L6" s="93">
        <f>+'WORKCELL CONFIGURATOR'!G53</f>
        <v>42804</v>
      </c>
      <c r="M6"/>
      <c r="N6"/>
      <c r="O6"/>
      <c r="P6"/>
      <c r="Q6" s="136"/>
    </row>
    <row r="7" spans="1:22" ht="16.5" thickBot="1" x14ac:dyDescent="0.3">
      <c r="G7" s="321" t="s">
        <v>613</v>
      </c>
      <c r="H7" s="321"/>
      <c r="I7" s="147" t="str">
        <f>+IF(I41=MENU!B66,MENU!T66,IF(I9=MENU!B4,MENU!T4,MENU!U5))</f>
        <v>157mm</v>
      </c>
      <c r="J7" s="324" t="str">
        <f>+'WORKCELL CONFIGURATOR'!F54</f>
        <v>Shipping</v>
      </c>
      <c r="K7" s="324"/>
      <c r="L7" s="108">
        <f>+'WORKCELL CONFIGURATOR'!G54</f>
        <v>42808</v>
      </c>
      <c r="M7"/>
      <c r="N7"/>
      <c r="O7"/>
      <c r="P7"/>
      <c r="Q7" s="136"/>
    </row>
    <row r="8" spans="1:22" ht="36" thickTop="1" thickBot="1" x14ac:dyDescent="0.35">
      <c r="G8" s="109" t="s">
        <v>108</v>
      </c>
      <c r="H8" s="109" t="s">
        <v>109</v>
      </c>
      <c r="I8" s="309" t="s">
        <v>106</v>
      </c>
      <c r="J8" s="309"/>
      <c r="K8" s="110" t="s">
        <v>207</v>
      </c>
      <c r="L8" s="111" t="s">
        <v>187</v>
      </c>
      <c r="M8" s="124" t="s">
        <v>107</v>
      </c>
      <c r="N8" s="124" t="s">
        <v>571</v>
      </c>
      <c r="O8" s="125" t="s">
        <v>431</v>
      </c>
      <c r="P8" s="125" t="str">
        <f>+MENU!R2</f>
        <v>Axis of Motion</v>
      </c>
      <c r="Q8" s="125" t="s">
        <v>471</v>
      </c>
      <c r="R8" s="111" t="s">
        <v>182</v>
      </c>
      <c r="S8" s="111" t="s">
        <v>183</v>
      </c>
    </row>
    <row r="9" spans="1:22" ht="15" thickTop="1" x14ac:dyDescent="0.3">
      <c r="A9" s="230">
        <v>1</v>
      </c>
      <c r="G9" s="20">
        <f>IF('WORKCELL CONFIGURATOR'!H4="",0,1)</f>
        <v>1</v>
      </c>
      <c r="H9" s="11" t="str">
        <f>+'WORKCELL CONFIGURATOR'!G4</f>
        <v>Work Cell</v>
      </c>
      <c r="I9" s="310" t="str">
        <f>+'WORKCELL CONFIGURATOR'!H4</f>
        <v>Delta 8</v>
      </c>
      <c r="J9" s="310"/>
      <c r="K9" s="9"/>
      <c r="L9" s="10" t="str">
        <f>+IFERROR(VLOOKUP(I9,MENU!B$4:I$90,$U$9,FALSE),"")</f>
        <v>642-0223</v>
      </c>
      <c r="M9" s="234">
        <f>+IFERROR(VLOOKUP($I9,MENU!$B$4:$Y$100,14,FALSE),0)</f>
        <v>611</v>
      </c>
      <c r="N9" s="234">
        <f>+IFERROR(VLOOKUP($I9,MENU!$B$4:$Y$100,15,FALSE),0)</f>
        <v>585</v>
      </c>
      <c r="O9" s="234">
        <f>+IFERROR(VLOOKUP($I9,MENU!$B$4:$Y$100,16,FALSE),0)*G9</f>
        <v>500</v>
      </c>
      <c r="P9" s="234">
        <f>+IFERROR(VLOOKUP($I9,MENU!$B$4:$Y$100,17,FALSE),0)</f>
        <v>3</v>
      </c>
      <c r="Q9" s="234">
        <f>+IFERROR(VLOOKUP($I9,MENU!$B$4:$Y$100,18,FALSE),0)</f>
        <v>4</v>
      </c>
      <c r="R9" s="142">
        <f>+IFERROR(VLOOKUP($I9,MENU!$B$4:$Y$100,21,FALSE),0)</f>
        <v>39650</v>
      </c>
      <c r="S9" s="21">
        <f>IFERROR(G9*R9,0)</f>
        <v>39650</v>
      </c>
      <c r="U9">
        <f>+VLOOKUP(I9,Data!B12:C14,2,FALSE)</f>
        <v>8</v>
      </c>
      <c r="V9">
        <f>+VLOOKUP(I9,Data!E12:F14,2,FALSE)</f>
        <v>4</v>
      </c>
    </row>
    <row r="10" spans="1:22" x14ac:dyDescent="0.3">
      <c r="A10" s="230">
        <v>1</v>
      </c>
      <c r="G10" s="122">
        <v>1</v>
      </c>
      <c r="H10" s="11" t="s">
        <v>316</v>
      </c>
      <c r="I10" s="308"/>
      <c r="J10" s="308"/>
      <c r="K10" s="9"/>
      <c r="L10" s="143" t="str">
        <f>IFERROR(VLOOKUP('WORKCELL CONFIGURATOR'!H35,MENU!B70:Y72,24,FALSE),MENU!Y70)</f>
        <v>B92-00008</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3">
      <c r="A11" s="230">
        <v>1</v>
      </c>
      <c r="G11" s="122">
        <v>1</v>
      </c>
      <c r="H11" s="11" t="s">
        <v>457</v>
      </c>
      <c r="I11" s="308" t="s">
        <v>480</v>
      </c>
      <c r="J11" s="308"/>
      <c r="K11" s="9"/>
      <c r="L11" s="10" t="str">
        <f>VLOOKUP(P70,Data!B17:E19,V9,FALSE)</f>
        <v>612-2254-5</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t="15" hidden="1" x14ac:dyDescent="0.25">
      <c r="A12" s="230">
        <v>0</v>
      </c>
      <c r="G12" s="122"/>
      <c r="H12" s="11"/>
      <c r="I12" s="308"/>
      <c r="J12" s="308"/>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3">
      <c r="A13" s="136">
        <f>+B13*C13</f>
        <v>1</v>
      </c>
      <c r="B13" s="136">
        <f>IF('WORKCELL CONFIGURATOR'!H8="",0,1)</f>
        <v>1</v>
      </c>
      <c r="C13" s="136">
        <f>IF('WORKCELL CONFIGURATOR'!H8="N",0,1)</f>
        <v>1</v>
      </c>
      <c r="G13" s="122">
        <f>+A13</f>
        <v>1</v>
      </c>
      <c r="H13" s="11" t="str">
        <f>+'WORKCELL CONFIGURATOR'!G8</f>
        <v>Material Reservoir - 1</v>
      </c>
      <c r="I13" s="308" t="str">
        <f>+'WORKCELL CONFIGURATOR'!H8</f>
        <v>2 Gallon Flip Top Pressure Tank with Float</v>
      </c>
      <c r="J13" s="308"/>
      <c r="K13" s="175">
        <v>1</v>
      </c>
      <c r="L13" s="10" t="str">
        <f>+IFERROR(VLOOKUP(I13,MENU!B$4:I$90,$U$9,FALSE),"")</f>
        <v>612-1895-1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2150</v>
      </c>
      <c r="S13" s="21">
        <f t="shared" ref="S13:S52" si="0">IFERROR(G13*R13,0)</f>
        <v>2150</v>
      </c>
    </row>
    <row r="14" spans="1:22" ht="15" hidden="1" x14ac:dyDescent="0.25">
      <c r="A14" s="136">
        <f>+B14*C14</f>
        <v>0</v>
      </c>
      <c r="B14" s="136">
        <f>IF('WORKCELL CONFIGURATOR'!H9="",0,1)</f>
        <v>1</v>
      </c>
      <c r="C14" s="136">
        <f>IF('WORKCELL CONFIGURATOR'!H9="N",0,1)</f>
        <v>0</v>
      </c>
      <c r="G14" s="136">
        <f>+A14</f>
        <v>0</v>
      </c>
      <c r="H14" s="11" t="str">
        <f>+'WORKCELL CONFIGURATOR'!G9</f>
        <v>Flow Meter - 1</v>
      </c>
      <c r="I14" s="308" t="s">
        <v>423</v>
      </c>
      <c r="J14" s="308"/>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0</v>
      </c>
    </row>
    <row r="15" spans="1:22" hidden="1" x14ac:dyDescent="0.3">
      <c r="A15" s="136">
        <f>+B15*C15</f>
        <v>0</v>
      </c>
      <c r="B15" s="136">
        <f>IF('WORKCELL CONFIGURATOR'!H10="",0,1)</f>
        <v>1</v>
      </c>
      <c r="C15" s="136">
        <f>IF('WORKCELL CONFIGURATOR'!H10="N",0,1)</f>
        <v>0</v>
      </c>
      <c r="G15" s="136">
        <f>+A15</f>
        <v>0</v>
      </c>
      <c r="H15" s="11" t="str">
        <f>+'WORKCELL CONFIGURATOR'!G10</f>
        <v>Solvent Flush - 1</v>
      </c>
      <c r="I15" s="308" t="str">
        <f>+'WORKCELL CONFIGURATOR'!H10</f>
        <v>N</v>
      </c>
      <c r="J15" s="308"/>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t="15" hidden="1" x14ac:dyDescent="0.25">
      <c r="A16" s="136">
        <v>0</v>
      </c>
      <c r="B16" s="136"/>
      <c r="C16" s="136"/>
      <c r="G16" s="136"/>
      <c r="H16" s="11"/>
      <c r="I16" s="308"/>
      <c r="J16" s="308"/>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t="15" hidden="1" x14ac:dyDescent="0.25">
      <c r="A17" s="136">
        <v>0</v>
      </c>
      <c r="B17" s="136"/>
      <c r="C17" s="136"/>
      <c r="G17" s="136"/>
      <c r="H17" s="11"/>
      <c r="I17" s="308"/>
      <c r="J17" s="308"/>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hidden="1" x14ac:dyDescent="0.3">
      <c r="A18" s="136">
        <f>+B18*C18</f>
        <v>0</v>
      </c>
      <c r="B18" s="136">
        <f>IF('WORKCELL CONFIGURATOR'!H13="",0,1)</f>
        <v>1</v>
      </c>
      <c r="C18" s="136">
        <f>IF('WORKCELL CONFIGURATOR'!H13="N",0,1)</f>
        <v>0</v>
      </c>
      <c r="G18" s="136">
        <f>+A18</f>
        <v>0</v>
      </c>
      <c r="H18" s="11" t="str">
        <f>+'WORKCELL CONFIGURATOR'!G13</f>
        <v>Material Reservoir - 2</v>
      </c>
      <c r="I18" s="308" t="str">
        <f>+'WORKCELL CONFIGURATOR'!H13</f>
        <v>N</v>
      </c>
      <c r="J18" s="308"/>
      <c r="K18" s="3">
        <v>2</v>
      </c>
      <c r="L18" s="10">
        <f>+IFERROR(VLOOKUP(I18,MENU!B$4:I$90,$U$9,FALSE),"")</f>
        <v>0</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0</v>
      </c>
      <c r="S18" s="21">
        <f t="shared" si="0"/>
        <v>0</v>
      </c>
    </row>
    <row r="19" spans="1:19" ht="15" hidden="1" x14ac:dyDescent="0.25">
      <c r="A19" s="136">
        <f>+B19*C19</f>
        <v>0</v>
      </c>
      <c r="B19" s="136">
        <f>IF('WORKCELL CONFIGURATOR'!H14="",0,1)</f>
        <v>0</v>
      </c>
      <c r="C19" s="136">
        <f>IF('WORKCELL CONFIGURATOR'!H14="N",0,1)</f>
        <v>1</v>
      </c>
      <c r="G19" s="136">
        <f>+A19</f>
        <v>0</v>
      </c>
      <c r="H19" s="11" t="str">
        <f>+'WORKCELL CONFIGURATOR'!G14</f>
        <v>Flow Meter - 2</v>
      </c>
      <c r="I19" s="308" t="s">
        <v>423</v>
      </c>
      <c r="J19" s="308"/>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hidden="1" x14ac:dyDescent="0.3">
      <c r="A20" s="136">
        <f>+B20*C20</f>
        <v>0</v>
      </c>
      <c r="B20" s="136">
        <f>IF('WORKCELL CONFIGURATOR'!H15="",0,1)</f>
        <v>0</v>
      </c>
      <c r="C20" s="136">
        <f>IF('WORKCELL CONFIGURATOR'!H15="N",0,1)</f>
        <v>1</v>
      </c>
      <c r="G20" s="136">
        <f>+A20</f>
        <v>0</v>
      </c>
      <c r="H20" s="11" t="str">
        <f>+'WORKCELL CONFIGURATOR'!G15</f>
        <v>Solvent Flush - 2</v>
      </c>
      <c r="I20" s="308" t="s">
        <v>443</v>
      </c>
      <c r="J20" s="308"/>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t="15" hidden="1" x14ac:dyDescent="0.25">
      <c r="A21" s="136">
        <v>0</v>
      </c>
      <c r="B21" s="136"/>
      <c r="C21" s="136"/>
      <c r="G21" s="136"/>
      <c r="H21" s="11"/>
      <c r="I21" s="308"/>
      <c r="J21" s="308"/>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t="15" hidden="1" x14ac:dyDescent="0.25">
      <c r="A22" s="136">
        <v>0</v>
      </c>
      <c r="B22" s="136"/>
      <c r="C22" s="136"/>
      <c r="G22" s="136"/>
      <c r="H22" s="11"/>
      <c r="I22" s="308"/>
      <c r="J22" s="308"/>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t="15" hidden="1" x14ac:dyDescent="0.25">
      <c r="A23" s="136">
        <v>0</v>
      </c>
      <c r="B23" s="136"/>
      <c r="C23" s="136"/>
      <c r="G23" s="136"/>
      <c r="H23" s="11"/>
      <c r="I23" s="308"/>
      <c r="J23" s="308"/>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3">
      <c r="A24" s="136">
        <f>+B24*C24</f>
        <v>1</v>
      </c>
      <c r="B24" s="136">
        <f>IF('WORKCELL CONFIGURATOR'!H19="",0,1)</f>
        <v>1</v>
      </c>
      <c r="C24" s="136">
        <f>IF('WORKCELL CONFIGURATOR'!H19="N",0,1)</f>
        <v>1</v>
      </c>
      <c r="G24" s="136">
        <f>+A24</f>
        <v>1</v>
      </c>
      <c r="H24" s="11" t="str">
        <f>+'WORKCELL CONFIGURATOR'!G19</f>
        <v>Dispense Head</v>
      </c>
      <c r="I24" s="308" t="str">
        <f>+'WORKCELL CONFIGURATOR'!H19</f>
        <v>Servo 4th Axis with 3 Dispense Stations and (2) Two Position Tilts</v>
      </c>
      <c r="J24" s="308"/>
      <c r="K24" s="131"/>
      <c r="L24" s="10" t="str">
        <f>+IFERROR(VLOOKUP(I24,MENU!B$4:I$90,$U$9,FALSE),"")</f>
        <v>612-1867-2</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t="15" hidden="1" x14ac:dyDescent="0.25">
      <c r="A25" s="136">
        <v>0</v>
      </c>
      <c r="B25" s="136"/>
      <c r="C25" s="136"/>
      <c r="G25" s="136"/>
      <c r="H25" s="11"/>
      <c r="I25" s="308"/>
      <c r="J25" s="308"/>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3">
      <c r="A26" s="136">
        <f>+B26*C26</f>
        <v>1</v>
      </c>
      <c r="B26" s="136">
        <f>IF('WORKCELL CONFIGURATOR'!H21="",0,1)</f>
        <v>1</v>
      </c>
      <c r="C26" s="136">
        <f>IF('WORKCELL CONFIGURATOR'!H21="N",0,1)</f>
        <v>1</v>
      </c>
      <c r="G26" s="136">
        <f>+A26</f>
        <v>1</v>
      </c>
      <c r="H26" s="11" t="str">
        <f>+'WORKCELL CONFIGURATOR'!G21</f>
        <v>Station 1</v>
      </c>
      <c r="I26" s="308" t="str">
        <f>+'WORKCELL CONFIGURATOR'!H21</f>
        <v>FCS300-ES</v>
      </c>
      <c r="J26" s="308"/>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t="15" hidden="1" x14ac:dyDescent="0.25">
      <c r="A27" s="136">
        <v>0</v>
      </c>
      <c r="B27" s="136"/>
      <c r="C27" s="136"/>
      <c r="G27" s="136"/>
      <c r="H27" s="11"/>
      <c r="I27" s="308"/>
      <c r="J27" s="308"/>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3">
      <c r="A28" s="136">
        <f>+B28*C28</f>
        <v>1</v>
      </c>
      <c r="B28" s="136">
        <f>IF('WORKCELL CONFIGURATOR'!H23="",0,1)</f>
        <v>1</v>
      </c>
      <c r="C28" s="136">
        <f>IF('WORKCELL CONFIGURATOR'!H23="N",0,1)</f>
        <v>1</v>
      </c>
      <c r="G28" s="136">
        <f>+A28</f>
        <v>1</v>
      </c>
      <c r="H28" s="11" t="str">
        <f>+'WORKCELL CONFIGURATOR'!G23</f>
        <v>Station 2</v>
      </c>
      <c r="I28" s="308" t="str">
        <f>+'WORKCELL CONFIGURATOR'!H23</f>
        <v>FCS300-ES</v>
      </c>
      <c r="J28" s="308"/>
      <c r="K28" s="131">
        <f>+'WORKCELL CONFIGURATOR'!H24</f>
        <v>1</v>
      </c>
      <c r="L28" s="10" t="str">
        <f>+IFERROR(VLOOKUP(I28,MENU!B$4:I$90,$U$9,FALSE),"")</f>
        <v>612-1870-1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3860</v>
      </c>
      <c r="S28" s="21">
        <f t="shared" si="0"/>
        <v>3860</v>
      </c>
    </row>
    <row r="29" spans="1:19" ht="15" hidden="1" x14ac:dyDescent="0.25">
      <c r="A29" s="136">
        <v>0</v>
      </c>
      <c r="B29" s="136"/>
      <c r="C29" s="136"/>
      <c r="G29" s="136"/>
      <c r="H29" s="11"/>
      <c r="I29" s="308"/>
      <c r="J29" s="308"/>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ht="15" hidden="1" x14ac:dyDescent="0.25">
      <c r="A30" s="136">
        <f>+B30*C30</f>
        <v>0</v>
      </c>
      <c r="B30" s="136">
        <f>IF('WORKCELL CONFIGURATOR'!H25="",0,1)</f>
        <v>1</v>
      </c>
      <c r="C30" s="136">
        <f>IF('WORKCELL CONFIGURATOR'!H25="N",0,1)</f>
        <v>0</v>
      </c>
      <c r="G30" s="136">
        <f>+A30</f>
        <v>0</v>
      </c>
      <c r="H30" s="11" t="str">
        <f>+'WORKCELL CONFIGURATOR'!G25</f>
        <v>Station 3</v>
      </c>
      <c r="I30" s="308" t="str">
        <f>+'WORKCELL CONFIGURATOR'!H25</f>
        <v>N</v>
      </c>
      <c r="J30" s="308"/>
      <c r="K30" s="131">
        <f>+'WORKCELL CONFIGURATOR'!H26</f>
        <v>0</v>
      </c>
      <c r="L30" s="10">
        <f>+IFERROR(VLOOKUP(I30,MENU!B$4:I$90,$U$9,FALSE),"")</f>
        <v>0</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0</v>
      </c>
      <c r="S30" s="21">
        <f t="shared" si="0"/>
        <v>0</v>
      </c>
    </row>
    <row r="31" spans="1:19" ht="15" hidden="1" x14ac:dyDescent="0.25">
      <c r="A31" s="136">
        <v>0</v>
      </c>
      <c r="B31" s="136"/>
      <c r="C31" s="136"/>
      <c r="G31" s="136"/>
      <c r="H31" s="11"/>
      <c r="I31" s="308"/>
      <c r="J31" s="308"/>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t="15" hidden="1" x14ac:dyDescent="0.25">
      <c r="A32" s="136">
        <f>+B32*C32</f>
        <v>0</v>
      </c>
      <c r="B32" s="136">
        <f>IF('WORKCELL CONFIGURATOR'!H27="",0,1)</f>
        <v>0</v>
      </c>
      <c r="C32" s="136">
        <f>IF('WORKCELL CONFIGURATOR'!H27="N",0,1)</f>
        <v>1</v>
      </c>
      <c r="G32" s="136">
        <f>+A32</f>
        <v>0</v>
      </c>
      <c r="H32" s="11" t="str">
        <f>+'WORKCELL CONFIGURATOR'!G27</f>
        <v>Station 4</v>
      </c>
      <c r="I32" s="308">
        <f>+'WORKCELL CONFIGURATOR'!H27</f>
        <v>0</v>
      </c>
      <c r="J32" s="308"/>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t="15" hidden="1" x14ac:dyDescent="0.25">
      <c r="A33" s="136">
        <v>0</v>
      </c>
      <c r="B33" s="136"/>
      <c r="C33" s="136"/>
      <c r="G33" s="136"/>
      <c r="H33" s="11"/>
      <c r="I33" s="308"/>
      <c r="J33" s="308"/>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t="15" hidden="1" x14ac:dyDescent="0.25">
      <c r="A34" s="136">
        <v>0</v>
      </c>
      <c r="B34" s="136"/>
      <c r="C34" s="136"/>
      <c r="G34" s="136"/>
      <c r="H34" s="11"/>
      <c r="I34" s="308"/>
      <c r="J34" s="308"/>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t="15" hidden="1" x14ac:dyDescent="0.25">
      <c r="A35" s="136">
        <v>0</v>
      </c>
      <c r="B35" s="136"/>
      <c r="C35" s="136"/>
      <c r="G35" s="136"/>
      <c r="H35" s="11"/>
      <c r="I35" s="308"/>
      <c r="J35" s="308"/>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t="15" hidden="1" x14ac:dyDescent="0.25">
      <c r="A36" s="136">
        <v>0</v>
      </c>
      <c r="B36" s="136"/>
      <c r="C36" s="136"/>
      <c r="G36" s="136"/>
      <c r="H36" s="11"/>
      <c r="I36" s="308"/>
      <c r="J36" s="308"/>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t="15" hidden="1" x14ac:dyDescent="0.25">
      <c r="A37" s="136">
        <v>0</v>
      </c>
      <c r="B37" s="136"/>
      <c r="C37" s="136"/>
      <c r="G37" s="136"/>
      <c r="H37" s="11"/>
      <c r="I37" s="308"/>
      <c r="J37" s="308"/>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t="15" hidden="1" x14ac:dyDescent="0.25">
      <c r="A38" s="136">
        <v>0</v>
      </c>
      <c r="B38" s="136"/>
      <c r="C38" s="136"/>
      <c r="G38" s="136"/>
      <c r="H38" s="11"/>
      <c r="I38" s="308"/>
      <c r="J38" s="308"/>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3">
      <c r="A39" s="136">
        <f>+B39*C39</f>
        <v>1</v>
      </c>
      <c r="B39" s="136">
        <f>IF('WORKCELL CONFIGURATOR'!H30="",0,1)</f>
        <v>1</v>
      </c>
      <c r="C39" s="136">
        <f>IF('WORKCELL CONFIGURATOR'!H30="N",0,1)</f>
        <v>1</v>
      </c>
      <c r="D39" s="230" t="str">
        <f>IF((I39&lt;&gt;"Edge Chain Conveyor with Auto Adjust"),"",IF((P68=4),"-D","-E"))</f>
        <v/>
      </c>
      <c r="G39" s="136">
        <f>+A39</f>
        <v>1</v>
      </c>
      <c r="H39" s="11" t="str">
        <f>+'WORKCELL CONFIGURATOR'!G30</f>
        <v>Conveyor</v>
      </c>
      <c r="I39" s="308" t="str">
        <f>+'WORKCELL CONFIGURATOR'!H30</f>
        <v>Edge Chain Conveyor - Manual Adjust</v>
      </c>
      <c r="J39" s="308"/>
      <c r="K39" s="3"/>
      <c r="L39" s="10" t="str">
        <f>+IFERROR(VLOOKUP(I39,MENU!B$4:I$90,$U$9,FALSE),"")&amp;D39</f>
        <v>612-3327-11</v>
      </c>
      <c r="M39" s="234">
        <f>+IFERROR(VLOOKUP($I39,MENU!$B$4:$Y$100,14,FALSE),0)</f>
        <v>-75</v>
      </c>
      <c r="N39" s="234">
        <f>+IFERROR(VLOOKUP($I39,MENU!$B$4:$Y$100,15,FALSE),0)</f>
        <v>0</v>
      </c>
      <c r="O39" s="234">
        <f>+IFERROR(VLOOKUP($I39,MENU!$B$4:$Y$100,16,FALSE),0)*G39</f>
        <v>0</v>
      </c>
      <c r="P39" s="234">
        <f>+IFERROR(VLOOKUP($I39,MENU!$B$4:$Y$100,17,FALSE),0)</f>
        <v>0</v>
      </c>
      <c r="Q39" s="234">
        <f>+IFERROR(VLOOKUP($I39,MENU!$B$4:$Y$100,18,FALSE),0)</f>
        <v>0</v>
      </c>
      <c r="R39" s="142">
        <f>+IFERROR(VLOOKUP($I39,MENU!$B$4:$Y$100,21,FALSE),0)</f>
        <v>7725</v>
      </c>
      <c r="S39" s="21">
        <f t="shared" si="0"/>
        <v>7725</v>
      </c>
    </row>
    <row r="40" spans="1:27" ht="15" hidden="1" x14ac:dyDescent="0.25">
      <c r="A40" s="136">
        <v>0</v>
      </c>
      <c r="B40" s="136"/>
      <c r="C40" s="136"/>
      <c r="G40" s="208">
        <f>+A40</f>
        <v>0</v>
      </c>
      <c r="H40" s="11" t="str">
        <f>+'WORKCELL CONFIGURATOR'!G31</f>
        <v>Direction</v>
      </c>
      <c r="I40" s="308" t="str">
        <f>+'WORKCELL CONFIGURATOR'!H31</f>
        <v>Left to Right</v>
      </c>
      <c r="J40" s="308"/>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ht="15" hidden="1" x14ac:dyDescent="0.25">
      <c r="A41" s="208">
        <f>+B41*C41</f>
        <v>0</v>
      </c>
      <c r="B41" s="208">
        <f>IF('WORKCELL CONFIGURATOR'!H32="",0,1)</f>
        <v>1</v>
      </c>
      <c r="C41" s="208">
        <f>IF('WORKCELL CONFIGURATOR'!H32="N",0,1)</f>
        <v>0</v>
      </c>
      <c r="G41" s="208">
        <f>+A41</f>
        <v>0</v>
      </c>
      <c r="H41" s="11" t="str">
        <f>+'WORKCELL CONFIGURATOR'!G32</f>
        <v>Conveyor Options</v>
      </c>
      <c r="I41" s="308" t="str">
        <f>+'WORKCELL CONFIGURATOR'!H32</f>
        <v>N</v>
      </c>
      <c r="J41" s="308"/>
      <c r="K41" s="207"/>
      <c r="L41" s="10">
        <f>+IFERROR(VLOOKUP(I41,MENU!B$4:I$90,$U$9,FALSE),"")</f>
        <v>0</v>
      </c>
      <c r="M41" s="234">
        <f>+IFERROR(VLOOKUP($I41,MENU!$B$4:$Y$100,14,FALSE),0)</f>
        <v>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0</v>
      </c>
      <c r="S41" s="21">
        <f t="shared" ref="S41" si="1">IFERROR(G41*R41,0)</f>
        <v>0</v>
      </c>
    </row>
    <row r="42" spans="1:27" ht="15" hidden="1" x14ac:dyDescent="0.25">
      <c r="A42" s="136">
        <f>+B42*C42</f>
        <v>0</v>
      </c>
      <c r="B42" s="136">
        <f>IF('WORKCELL CONFIGURATOR'!H33="",0,1)</f>
        <v>1</v>
      </c>
      <c r="C42" s="136">
        <f>IF('WORKCELL CONFIGURATOR'!H33="N",0,1)</f>
        <v>0</v>
      </c>
      <c r="G42" s="208">
        <f>+A42</f>
        <v>0</v>
      </c>
      <c r="H42" s="11" t="s">
        <v>619</v>
      </c>
      <c r="I42" s="308" t="str">
        <f>+'WORKCELL CONFIGURATOR'!G33</f>
        <v>Barcode - Mounted on Conveyor Inlet with P Select</v>
      </c>
      <c r="J42" s="308"/>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t="15" hidden="1" x14ac:dyDescent="0.25">
      <c r="A43" s="136">
        <v>0</v>
      </c>
      <c r="B43" s="136"/>
      <c r="C43" s="136"/>
      <c r="G43" s="208"/>
      <c r="H43" s="11"/>
      <c r="I43" s="308"/>
      <c r="J43" s="308"/>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hidden="1" x14ac:dyDescent="0.3">
      <c r="A44" s="136">
        <f>+B44*C44</f>
        <v>0</v>
      </c>
      <c r="B44" s="136">
        <f>IF('WORKCELL CONFIGURATOR'!H35="",0,1)</f>
        <v>1</v>
      </c>
      <c r="C44" s="136">
        <f>IF('WORKCELL CONFIGURATOR'!H35="N",0,1)</f>
        <v>0</v>
      </c>
      <c r="G44" s="136">
        <f>+A44</f>
        <v>0</v>
      </c>
      <c r="H44" s="11" t="str">
        <f>+'WORKCELL CONFIGURATOR'!G35</f>
        <v>Camera</v>
      </c>
      <c r="I44" s="308" t="str">
        <f>+'WORKCELL CONFIGURATOR'!H35</f>
        <v>N</v>
      </c>
      <c r="J44" s="308"/>
      <c r="K44" s="3"/>
      <c r="L44" s="10">
        <f>+IFERROR(VLOOKUP(I44,MENU!B$4:I$90,$U$9,FALSE),"")</f>
        <v>0</v>
      </c>
      <c r="M44" s="234">
        <f>+IFERROR(VLOOKUP($I44,MENU!$B$4:$Y$100,14,FALSE),0)</f>
        <v>0</v>
      </c>
      <c r="N44" s="234">
        <f>+IFERROR(VLOOKUP($I44,MENU!$B$4:$Y$100,15,FALSE),0)</f>
        <v>0</v>
      </c>
      <c r="O44" s="234">
        <f>+IFERROR(VLOOKUP($I44,MENU!$B$4:$Y$100,16,FALSE),0)*G44</f>
        <v>0</v>
      </c>
      <c r="P44" s="234">
        <f>+IFERROR(VLOOKUP($I44,MENU!$B$4:$Y$100,17,FALSE),0)</f>
        <v>0</v>
      </c>
      <c r="Q44" s="234">
        <f>+IFERROR(VLOOKUP($I44,MENU!$B$4:$Y$100,18,FALSE),0)</f>
        <v>0</v>
      </c>
      <c r="R44" s="142">
        <f>+IFERROR(VLOOKUP($I44,MENU!$B$4:$Y$100,21,FALSE),0)</f>
        <v>0</v>
      </c>
      <c r="S44" s="21">
        <f t="shared" si="0"/>
        <v>0</v>
      </c>
    </row>
    <row r="45" spans="1:27" ht="15" hidden="1" x14ac:dyDescent="0.25">
      <c r="A45" s="136">
        <v>0</v>
      </c>
      <c r="B45" s="136"/>
      <c r="C45" s="136"/>
      <c r="G45" s="136"/>
      <c r="H45" s="11"/>
      <c r="I45" s="308"/>
      <c r="J45" s="308"/>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t="15" hidden="1" x14ac:dyDescent="0.25">
      <c r="A46" s="136">
        <f>+B46*C46</f>
        <v>0</v>
      </c>
      <c r="B46" s="136">
        <f>IF('WORKCELL CONFIGURATOR'!H37="",0,1)</f>
        <v>1</v>
      </c>
      <c r="C46" s="136">
        <f>IF('WORKCELL CONFIGURATOR'!H37="N",0,1)</f>
        <v>0</v>
      </c>
      <c r="G46" s="136">
        <f>+A46</f>
        <v>0</v>
      </c>
      <c r="H46" s="11" t="str">
        <f>+'WORKCELL CONFIGURATOR'!G37</f>
        <v>Fan Width Sensor</v>
      </c>
      <c r="I46" s="308" t="str">
        <f>+H46</f>
        <v>Fan Width Sensor</v>
      </c>
      <c r="J46" s="308"/>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t="15"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308" t="str">
        <f>+H47</f>
        <v>Fan Width Sensor with Continuous Film Calibration</v>
      </c>
      <c r="J47" s="308"/>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t="15" hidden="1" x14ac:dyDescent="0.25">
      <c r="A48" s="136">
        <f>+B48*C48</f>
        <v>0</v>
      </c>
      <c r="B48" s="136">
        <f>IF('WORKCELL CONFIGURATOR'!H39="",0,1)</f>
        <v>1</v>
      </c>
      <c r="C48" s="136">
        <f>IF('WORKCELL CONFIGURATOR'!H39="N",0,1)</f>
        <v>0</v>
      </c>
      <c r="G48" s="136">
        <f>+A48</f>
        <v>0</v>
      </c>
      <c r="H48" s="11" t="str">
        <f>+'WORKCELL CONFIGURATOR'!G39</f>
        <v>Needle Calibration, 3 axis</v>
      </c>
      <c r="I48" s="308" t="str">
        <f t="shared" ref="I48:I49" si="3">+H48</f>
        <v>Needle Calibration, 3 axis</v>
      </c>
      <c r="J48" s="308"/>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3">
      <c r="A49" s="136">
        <f>+B49*C49</f>
        <v>1</v>
      </c>
      <c r="B49" s="136">
        <f>IF('WORKCELL CONFIGURATOR'!H40="",0,1)</f>
        <v>1</v>
      </c>
      <c r="C49" s="136">
        <f>IF('WORKCELL CONFIGURATOR'!H40="N",0,1)</f>
        <v>1</v>
      </c>
      <c r="G49" s="136">
        <f>+A49</f>
        <v>1</v>
      </c>
      <c r="H49" s="151" t="str">
        <f>+'WORKCELL CONFIGURATOR'!G40</f>
        <v>Black Light</v>
      </c>
      <c r="I49" s="325" t="str">
        <f t="shared" si="3"/>
        <v>Black Light</v>
      </c>
      <c r="J49" s="325"/>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 thickBot="1" x14ac:dyDescent="0.35">
      <c r="A50" s="113">
        <f>IF('WORKCELL CONFIGURATOR'!H$42="Y",1,0)</f>
        <v>1</v>
      </c>
      <c r="G50" s="148"/>
      <c r="H50" s="149"/>
      <c r="I50" s="311"/>
      <c r="J50" s="311"/>
      <c r="K50" s="146"/>
      <c r="L50" s="147"/>
      <c r="N50" s="143"/>
      <c r="O50" s="10"/>
      <c r="P50" s="234"/>
      <c r="Q50" s="136"/>
      <c r="R50" s="142"/>
      <c r="S50" s="21"/>
      <c r="X50" s="7"/>
      <c r="Y50" s="7"/>
      <c r="Z50" s="7"/>
      <c r="AA50" s="7"/>
    </row>
    <row r="51" spans="1:27" ht="22.2" thickTop="1" thickBot="1" x14ac:dyDescent="0.45">
      <c r="A51" s="113">
        <f>IF('WORKCELL CONFIGURATOR'!H$42="Y",1,0)</f>
        <v>1</v>
      </c>
      <c r="G51" s="153" t="s">
        <v>466</v>
      </c>
      <c r="H51" s="150"/>
      <c r="I51" s="312"/>
      <c r="J51" s="312"/>
      <c r="K51" s="144"/>
      <c r="L51" s="145" t="str">
        <f>+IFERROR(VLOOKUP(I51,MENU!B$4:I$90,$U$9,FALSE),"")</f>
        <v/>
      </c>
      <c r="N51" s="143"/>
      <c r="O51" s="10"/>
      <c r="P51" s="10"/>
      <c r="Q51" s="136"/>
      <c r="R51" s="142"/>
      <c r="S51" s="21"/>
      <c r="X51" s="7"/>
      <c r="Y51" s="7"/>
      <c r="Z51" s="7"/>
      <c r="AA51" s="7"/>
    </row>
    <row r="52" spans="1:27" ht="15" thickTop="1" x14ac:dyDescent="0.3">
      <c r="A52" s="136">
        <f>IF('WORKCELL CONFIGURATOR'!H$42="Y",1,0)</f>
        <v>1</v>
      </c>
      <c r="G52" s="122">
        <f>IF('WORKCELL CONFIGURATOR'!H$42="Y",1,0)</f>
        <v>1</v>
      </c>
      <c r="H52" s="11" t="str">
        <f>+'WORKCELL CONFIGURATOR'!G42</f>
        <v>Spare Parts</v>
      </c>
      <c r="I52" s="308" t="s">
        <v>485</v>
      </c>
      <c r="J52" s="308"/>
      <c r="K52" s="131"/>
      <c r="L52" s="10" t="str">
        <f>+IFERROR(VLOOKUP('WORKCELL CONFIGURATOR'!H4,MENU!B4:K5,10,FALSE),"")</f>
        <v>612-1957-2</v>
      </c>
      <c r="M52" s="143"/>
      <c r="N52" s="143"/>
      <c r="O52" s="10"/>
      <c r="P52" s="10"/>
      <c r="Q52" s="136"/>
      <c r="R52" s="142">
        <f>+MENU!V90</f>
        <v>3190</v>
      </c>
      <c r="S52" s="21">
        <f t="shared" si="0"/>
        <v>3190</v>
      </c>
      <c r="X52" s="7"/>
      <c r="Y52" s="7"/>
      <c r="Z52" s="7"/>
      <c r="AA52" s="7"/>
    </row>
    <row r="53" spans="1:27" x14ac:dyDescent="0.3">
      <c r="A53" s="230">
        <f t="shared" ref="A53:A59" si="4">+B53*C53*D53</f>
        <v>1</v>
      </c>
      <c r="B53" s="136">
        <f>IF('WORKCELL CONFIGURATOR'!H$42="Y",1,0)</f>
        <v>1</v>
      </c>
      <c r="C53">
        <f>IF('WORKCELL CONFIGURATOR'!H8="",0,1)</f>
        <v>1</v>
      </c>
      <c r="D53">
        <f>IF('WORKCELL CONFIGURATOR'!H8="N",0,1)</f>
        <v>1</v>
      </c>
      <c r="G53" s="136">
        <f t="shared" ref="G53:G59" si="5">+A53</f>
        <v>1</v>
      </c>
      <c r="H53" s="11" t="str">
        <f>+'WORKCELL CONFIGURATOR'!G8</f>
        <v>Material Reservoir - 1</v>
      </c>
      <c r="I53" s="308" t="str">
        <f>+'WORKCELL CONFIGURATOR'!H8</f>
        <v>2 Gallon Flip Top Pressure Tank with Float</v>
      </c>
      <c r="J53" s="308"/>
      <c r="K53" s="131"/>
      <c r="L53" s="10" t="str">
        <f>+IFERROR(VLOOKUP(I53,MENU!B$4:K$90,10,FALSE),"")</f>
        <v>612-1972-1</v>
      </c>
      <c r="M53" s="143"/>
      <c r="N53" s="143"/>
      <c r="O53" s="10"/>
      <c r="P53" s="10"/>
      <c r="Q53" s="136"/>
      <c r="R53" s="142"/>
      <c r="S53" s="21"/>
      <c r="X53" s="7"/>
      <c r="Y53" s="7"/>
      <c r="Z53" s="7"/>
      <c r="AA53" s="7"/>
    </row>
    <row r="54" spans="1:27" ht="15" hidden="1" x14ac:dyDescent="0.25">
      <c r="A54" s="230">
        <f t="shared" si="4"/>
        <v>0</v>
      </c>
      <c r="B54" s="136">
        <f>IF('WORKCELL CONFIGURATOR'!H$42="Y",1,0)</f>
        <v>1</v>
      </c>
      <c r="C54">
        <f>IF('WORKCELL CONFIGURATOR'!H13="",0,1)</f>
        <v>1</v>
      </c>
      <c r="D54">
        <f>IF('WORKCELL CONFIGURATOR'!H13="N",0,1)</f>
        <v>0</v>
      </c>
      <c r="G54" s="136">
        <f t="shared" si="5"/>
        <v>0</v>
      </c>
      <c r="H54" s="11" t="str">
        <f>+'WORKCELL CONFIGURATOR'!G13</f>
        <v>Material Reservoir - 2</v>
      </c>
      <c r="I54" s="308" t="str">
        <f>+'WORKCELL CONFIGURATOR'!H13</f>
        <v>N</v>
      </c>
      <c r="J54" s="308"/>
      <c r="K54" s="131"/>
      <c r="L54" s="10">
        <f>+IFERROR(VLOOKUP(I54,MENU!B$4:K$90,10,FALSE),"")</f>
        <v>0</v>
      </c>
      <c r="M54" s="143"/>
      <c r="N54" s="143"/>
      <c r="O54" s="10"/>
      <c r="P54" s="10"/>
      <c r="Q54" s="136"/>
      <c r="R54" s="142"/>
      <c r="S54" s="21"/>
      <c r="X54" s="7"/>
      <c r="Y54" s="7"/>
      <c r="Z54" s="7"/>
      <c r="AA54" s="7"/>
    </row>
    <row r="55" spans="1:27" ht="15" hidden="1" x14ac:dyDescent="0.25">
      <c r="A55" s="230">
        <f t="shared" si="4"/>
        <v>0</v>
      </c>
      <c r="B55" s="136">
        <f>IF('WORKCELL CONFIGURATOR'!H$42="Y",1,0)</f>
        <v>1</v>
      </c>
      <c r="C55">
        <f>IF('WORKCELL CONFIGURATOR'!H10="",0,1)</f>
        <v>1</v>
      </c>
      <c r="D55">
        <f>IF('WORKCELL CONFIGURATOR'!H10="N",0,1)</f>
        <v>0</v>
      </c>
      <c r="G55" s="136">
        <f t="shared" si="5"/>
        <v>0</v>
      </c>
      <c r="H55" s="11" t="str">
        <f>+'WORKCELL CONFIGURATOR'!G10</f>
        <v>Solvent Flush - 1</v>
      </c>
      <c r="I55" s="308" t="str">
        <f>+'WORKCELL CONFIGURATOR'!H10</f>
        <v>N</v>
      </c>
      <c r="J55" s="308"/>
      <c r="K55" s="131"/>
      <c r="L55" s="10">
        <f>+IFERROR(VLOOKUP(I55,MENU!B$4:K$90,10,FALSE),"")</f>
        <v>0</v>
      </c>
      <c r="M55" s="143"/>
      <c r="N55" s="143"/>
      <c r="O55" s="10"/>
      <c r="P55" s="10"/>
      <c r="Q55" s="136"/>
      <c r="R55" s="142"/>
      <c r="S55" s="21"/>
    </row>
    <row r="56" spans="1:27" x14ac:dyDescent="0.3">
      <c r="A56" s="230">
        <f t="shared" si="4"/>
        <v>1</v>
      </c>
      <c r="B56" s="136">
        <f>IF('WORKCELL CONFIGURATOR'!H$42="Y",1,0)</f>
        <v>1</v>
      </c>
      <c r="C56">
        <f>IF('WORKCELL CONFIGURATOR'!H21="",0,1)</f>
        <v>1</v>
      </c>
      <c r="D56">
        <f>IF('WORKCELL CONFIGURATOR'!H21="N",0,1)</f>
        <v>1</v>
      </c>
      <c r="G56" s="136">
        <f t="shared" si="5"/>
        <v>1</v>
      </c>
      <c r="H56" s="11" t="str">
        <f>+'WORKCELL CONFIGURATOR'!G21</f>
        <v>Station 1</v>
      </c>
      <c r="I56" s="308" t="str">
        <f>+'WORKCELL CONFIGURATOR'!H21</f>
        <v>FCS300-ES</v>
      </c>
      <c r="J56" s="308"/>
      <c r="K56" s="131"/>
      <c r="L56" s="10" t="str">
        <f>+IFERROR(VLOOKUP(I56,MENU!B$4:K$90,10,FALSE),"")</f>
        <v>612-1962-1</v>
      </c>
      <c r="M56" s="143"/>
      <c r="N56" s="143"/>
      <c r="O56" s="10"/>
      <c r="P56" s="10"/>
      <c r="Q56" s="136"/>
      <c r="R56" s="142"/>
      <c r="S56" s="21"/>
    </row>
    <row r="57" spans="1:27" x14ac:dyDescent="0.3">
      <c r="A57" s="230">
        <f t="shared" si="4"/>
        <v>1</v>
      </c>
      <c r="B57" s="136">
        <f>IF('WORKCELL CONFIGURATOR'!H$42="Y",1,0)</f>
        <v>1</v>
      </c>
      <c r="C57">
        <f>IF('WORKCELL CONFIGURATOR'!H23="",0,1)</f>
        <v>1</v>
      </c>
      <c r="D57">
        <f>IF('WORKCELL CONFIGURATOR'!H23="N",0,1)</f>
        <v>1</v>
      </c>
      <c r="G57" s="136">
        <f t="shared" si="5"/>
        <v>1</v>
      </c>
      <c r="H57" s="11" t="str">
        <f>+'WORKCELL CONFIGURATOR'!G23</f>
        <v>Station 2</v>
      </c>
      <c r="I57" s="308" t="str">
        <f>+'WORKCELL CONFIGURATOR'!H23</f>
        <v>FCS300-ES</v>
      </c>
      <c r="J57" s="308"/>
      <c r="K57" s="131"/>
      <c r="L57" s="10" t="str">
        <f>+IFERROR(VLOOKUP(I57,MENU!B$4:K$90,10,FALSE),"")</f>
        <v>612-1962-1</v>
      </c>
      <c r="M57" s="143"/>
      <c r="N57" s="143"/>
      <c r="O57" s="10"/>
      <c r="P57" s="10"/>
      <c r="Q57" s="136"/>
      <c r="R57" s="142"/>
      <c r="S57" s="21"/>
    </row>
    <row r="58" spans="1:27" ht="15" hidden="1" x14ac:dyDescent="0.25">
      <c r="A58" s="230">
        <f t="shared" si="4"/>
        <v>0</v>
      </c>
      <c r="B58" s="136">
        <f>IF('WORKCELL CONFIGURATOR'!H$42="Y",1,0)</f>
        <v>1</v>
      </c>
      <c r="C58">
        <f>IF('WORKCELL CONFIGURATOR'!H25="",0,1)</f>
        <v>1</v>
      </c>
      <c r="D58">
        <f>IF('WORKCELL CONFIGURATOR'!H25="N",0,1)</f>
        <v>0</v>
      </c>
      <c r="G58" s="136">
        <f t="shared" si="5"/>
        <v>0</v>
      </c>
      <c r="H58" s="11" t="str">
        <f>+'WORKCELL CONFIGURATOR'!G25</f>
        <v>Station 3</v>
      </c>
      <c r="I58" s="308" t="str">
        <f>+'WORKCELL CONFIGURATOR'!H25</f>
        <v>N</v>
      </c>
      <c r="J58" s="308"/>
      <c r="K58" s="131"/>
      <c r="L58" s="10">
        <f>+IFERROR(VLOOKUP(I58,MENU!B$4:K$90,10,FALSE),"")</f>
        <v>0</v>
      </c>
      <c r="M58" s="143"/>
      <c r="N58" s="143"/>
      <c r="O58" s="10"/>
      <c r="P58" s="10"/>
      <c r="Q58" s="136"/>
      <c r="R58" s="142"/>
      <c r="S58" s="21"/>
    </row>
    <row r="59" spans="1:27" ht="15" hidden="1" x14ac:dyDescent="0.25">
      <c r="A59" s="230">
        <f t="shared" si="4"/>
        <v>0</v>
      </c>
      <c r="B59" s="136">
        <f>IF('WORKCELL CONFIGURATOR'!H$42="Y",1,0)</f>
        <v>1</v>
      </c>
      <c r="C59">
        <f>IF('WORKCELL CONFIGURATOR'!H27="",0,1)</f>
        <v>0</v>
      </c>
      <c r="D59">
        <f>IF('WORKCELL CONFIGURATOR'!H27="N",0,1)</f>
        <v>1</v>
      </c>
      <c r="G59" s="136">
        <f t="shared" si="5"/>
        <v>0</v>
      </c>
      <c r="H59" s="11" t="str">
        <f>+'WORKCELL CONFIGURATOR'!G27</f>
        <v>Station 4</v>
      </c>
      <c r="I59" s="308">
        <f>+'WORKCELL CONFIGURATOR'!H27</f>
        <v>0</v>
      </c>
      <c r="J59" s="308"/>
      <c r="K59" s="131"/>
      <c r="L59" s="10" t="str">
        <f>+IFERROR(VLOOKUP(I59,MENU!B$4:K$90,10,FALSE),"")</f>
        <v/>
      </c>
      <c r="M59" s="143"/>
      <c r="N59" s="143"/>
      <c r="O59" s="10"/>
      <c r="P59" s="10"/>
      <c r="Q59" s="136"/>
      <c r="R59" s="142"/>
      <c r="S59" s="21"/>
    </row>
    <row r="60" spans="1:27" ht="15" thickBot="1" x14ac:dyDescent="0.35">
      <c r="A60" s="38">
        <f>IF(MAX($G$62:$G$66)&gt;0,1,0)</f>
        <v>1</v>
      </c>
      <c r="G60" s="148"/>
      <c r="H60" s="149"/>
      <c r="I60" s="311"/>
      <c r="J60" s="311"/>
      <c r="K60" s="146"/>
      <c r="L60" s="147"/>
      <c r="N60" s="143"/>
      <c r="O60" s="10"/>
      <c r="P60" s="10"/>
      <c r="Q60" s="187"/>
      <c r="R60" s="142"/>
      <c r="S60" s="21"/>
    </row>
    <row r="61" spans="1:27" ht="22.2" thickTop="1" thickBot="1" x14ac:dyDescent="0.45">
      <c r="A61" s="38">
        <f>IF(MAX($G$62:$G$66)&gt;0,1,0)</f>
        <v>1</v>
      </c>
      <c r="G61" s="153" t="s">
        <v>526</v>
      </c>
      <c r="H61" s="150"/>
      <c r="I61" s="312"/>
      <c r="J61" s="312"/>
      <c r="K61" s="144"/>
      <c r="L61" s="145" t="str">
        <f>+IFERROR(VLOOKUP(I61,MENU!B$4:I$90,$U$9,FALSE),"")</f>
        <v/>
      </c>
      <c r="M61" s="187"/>
      <c r="N61" s="143"/>
      <c r="O61" s="10"/>
      <c r="P61" s="10"/>
      <c r="Q61" s="187"/>
      <c r="R61" s="142"/>
      <c r="S61" s="21"/>
    </row>
    <row r="62" spans="1:27" ht="15" hidden="1" x14ac:dyDescent="0.25">
      <c r="A62" s="37">
        <f>+G62</f>
        <v>0</v>
      </c>
      <c r="G62" s="38">
        <f>IF('WORKCELL CONFIGURATOR'!$H$43="Y",1,0)</f>
        <v>0</v>
      </c>
      <c r="H62" s="11" t="str">
        <f>+MENU!B91</f>
        <v>Fume Extractor</v>
      </c>
      <c r="I62" s="308"/>
      <c r="J62" s="308"/>
      <c r="K62" s="186"/>
      <c r="L62" s="24" t="str">
        <f>+MENU!G91</f>
        <v>612-2358-1</v>
      </c>
      <c r="M62" s="143"/>
      <c r="N62" s="143"/>
      <c r="O62" s="10"/>
      <c r="P62" s="10"/>
      <c r="Q62" s="187"/>
      <c r="R62" s="142">
        <f>+MENU!V91</f>
        <v>4940</v>
      </c>
      <c r="S62" s="21">
        <f>+G62*R62</f>
        <v>0</v>
      </c>
      <c r="T62" s="187"/>
    </row>
    <row r="63" spans="1:27" ht="15" thickTop="1" x14ac:dyDescent="0.3">
      <c r="A63" s="37">
        <f t="shared" ref="A63:A66" si="6">+G63</f>
        <v>1</v>
      </c>
      <c r="G63" s="136">
        <f>+IF(OR(I63="N",I63=0),0,1)</f>
        <v>1</v>
      </c>
      <c r="H63" s="11" t="str">
        <f>+'WORKCELL CONFIGURATOR'!G44</f>
        <v>Unmounted 1</v>
      </c>
      <c r="I63" s="308" t="str">
        <f>+'WORKCELL CONFIGURATOR'!H44</f>
        <v>FCS300-ES</v>
      </c>
      <c r="J63" s="308"/>
      <c r="K63" s="131"/>
      <c r="L63" s="10" t="str">
        <f>+IFERROR(VLOOKUP($I63,MENU!$B93:$I100,$U$9,FALSE),"")</f>
        <v>612-2483-1</v>
      </c>
      <c r="M63" s="143"/>
      <c r="N63" s="143"/>
      <c r="O63" s="10"/>
      <c r="P63" s="10"/>
      <c r="Q63" s="192"/>
      <c r="R63" s="142" t="str">
        <f>+IFERROR(VLOOKUP($I63,MENU!$B93:$V100,22,FALSE),"")</f>
        <v/>
      </c>
      <c r="S63" s="21">
        <f>IFERROR(G63*R63,0)</f>
        <v>0</v>
      </c>
      <c r="T63" s="192"/>
    </row>
    <row r="64" spans="1:27" ht="15" hidden="1" x14ac:dyDescent="0.25">
      <c r="A64" s="37">
        <f t="shared" si="6"/>
        <v>0</v>
      </c>
      <c r="G64" s="192">
        <f t="shared" ref="G64:G66" si="7">+IF(OR(I64="N",I64=0),0,1)</f>
        <v>0</v>
      </c>
      <c r="H64" s="11" t="str">
        <f>+'WORKCELL CONFIGURATOR'!G45</f>
        <v>Unmounted 2</v>
      </c>
      <c r="I64" s="308" t="str">
        <f>+'WORKCELL CONFIGURATOR'!H45</f>
        <v>N</v>
      </c>
      <c r="J64" s="308"/>
      <c r="K64" s="131"/>
      <c r="L64" s="10" t="str">
        <f>+IFERROR(VLOOKUP($I64,MENU!$B94:$I101,$U$9,FALSE),"")</f>
        <v/>
      </c>
      <c r="M64" s="143"/>
      <c r="N64" s="143"/>
      <c r="O64" s="10"/>
      <c r="P64" s="10"/>
      <c r="Q64" s="192"/>
      <c r="R64" s="142" t="str">
        <f>+IFERROR(VLOOKUP($I64,MENU!$B94:$V101,22,FALSE),"")</f>
        <v/>
      </c>
      <c r="S64" s="21">
        <f t="shared" ref="S64:S66" si="8">IFERROR(G64*R64,0)</f>
        <v>0</v>
      </c>
      <c r="T64" s="192"/>
    </row>
    <row r="65" spans="1:20" ht="15" hidden="1" x14ac:dyDescent="0.25">
      <c r="A65" s="37">
        <f t="shared" si="6"/>
        <v>0</v>
      </c>
      <c r="G65" s="192">
        <f t="shared" si="7"/>
        <v>0</v>
      </c>
      <c r="H65" s="11" t="str">
        <f>+'WORKCELL CONFIGURATOR'!G46</f>
        <v>Unmounted 3</v>
      </c>
      <c r="I65" s="308">
        <f>+'WORKCELL CONFIGURATOR'!H46</f>
        <v>0</v>
      </c>
      <c r="J65" s="308"/>
      <c r="K65" s="131"/>
      <c r="L65" s="10" t="str">
        <f>+IFERROR(VLOOKUP($I65,MENU!$B95:$I101,$U$9,FALSE),"")</f>
        <v/>
      </c>
      <c r="M65" s="143"/>
      <c r="N65" s="143"/>
      <c r="O65" s="10"/>
      <c r="P65" s="10"/>
      <c r="Q65" s="192"/>
      <c r="R65" s="142" t="str">
        <f>+IFERROR(VLOOKUP($I65,MENU!$B95:$V101,22,FALSE),"")</f>
        <v/>
      </c>
      <c r="S65" s="21">
        <f t="shared" si="8"/>
        <v>0</v>
      </c>
      <c r="T65" s="192"/>
    </row>
    <row r="66" spans="1:20" ht="15" hidden="1" x14ac:dyDescent="0.25">
      <c r="A66" s="37">
        <f t="shared" si="6"/>
        <v>0</v>
      </c>
      <c r="G66" s="192">
        <f t="shared" si="7"/>
        <v>0</v>
      </c>
      <c r="H66" s="11" t="str">
        <f>+'WORKCELL CONFIGURATOR'!G47</f>
        <v>Unmounted 4</v>
      </c>
      <c r="I66" s="308">
        <f>+'WORKCELL CONFIGURATOR'!H47</f>
        <v>0</v>
      </c>
      <c r="J66" s="308"/>
      <c r="K66" s="131"/>
      <c r="L66" s="10" t="str">
        <f>+IFERROR(VLOOKUP($I66,MENU!$B96:$I101,$U$9,FALSE),"")</f>
        <v/>
      </c>
      <c r="M66" s="143"/>
      <c r="N66" s="143"/>
      <c r="O66" s="10"/>
      <c r="P66" s="10"/>
      <c r="Q66" s="192"/>
      <c r="R66" s="142" t="str">
        <f>+IFERROR(VLOOKUP($I66,MENU!$B96:$V101,22,FALSE),"")</f>
        <v/>
      </c>
      <c r="S66" s="21">
        <f t="shared" si="8"/>
        <v>0</v>
      </c>
      <c r="T66" s="192"/>
    </row>
    <row r="67" spans="1:20" x14ac:dyDescent="0.3">
      <c r="A67" s="38">
        <v>1</v>
      </c>
      <c r="G67" s="136"/>
      <c r="H67" s="11"/>
      <c r="I67" s="308"/>
      <c r="J67" s="308"/>
      <c r="K67" s="131"/>
      <c r="L67" s="10"/>
      <c r="N67" s="143"/>
      <c r="O67" s="10"/>
      <c r="P67" s="10"/>
      <c r="Q67" s="136"/>
      <c r="R67" s="142"/>
      <c r="S67" s="21"/>
    </row>
    <row r="68" spans="1:20" x14ac:dyDescent="0.3">
      <c r="G68" s="313" t="s">
        <v>333</v>
      </c>
      <c r="H68" s="313"/>
      <c r="I68" s="313"/>
      <c r="J68" s="313"/>
      <c r="K68" s="313" t="s">
        <v>218</v>
      </c>
      <c r="L68" s="313"/>
      <c r="M68" s="231">
        <f>SUM(M9:M49)</f>
        <v>476</v>
      </c>
      <c r="N68" s="231">
        <f t="shared" ref="N68:P68" si="9">SUM(N9:N49)</f>
        <v>575</v>
      </c>
      <c r="O68" s="231">
        <f t="shared" si="9"/>
        <v>270</v>
      </c>
      <c r="P68" s="231">
        <f t="shared" si="9"/>
        <v>4</v>
      </c>
      <c r="Q68" s="231">
        <f>+SUM(Q9:Q49)</f>
        <v>4</v>
      </c>
      <c r="R68" s="21"/>
      <c r="S68" s="22">
        <f>SUM(S9:S67)</f>
        <v>70375</v>
      </c>
    </row>
    <row r="69" spans="1:20" x14ac:dyDescent="0.3">
      <c r="G69" s="313"/>
      <c r="H69" s="313"/>
      <c r="I69" s="313"/>
      <c r="J69" s="313"/>
      <c r="K69" s="313"/>
      <c r="L69" s="313"/>
      <c r="R69" s="21"/>
      <c r="S69" s="21"/>
    </row>
    <row r="70" spans="1:20" x14ac:dyDescent="0.3">
      <c r="G70" s="313" t="s">
        <v>334</v>
      </c>
      <c r="H70" s="313"/>
      <c r="I70" s="313"/>
      <c r="J70" s="313"/>
      <c r="K70" s="313" t="s">
        <v>218</v>
      </c>
      <c r="L70" s="313"/>
      <c r="O70" s="232" t="s">
        <v>612</v>
      </c>
      <c r="P70" s="233">
        <f>IF(P68&gt;4,8,4)</f>
        <v>4</v>
      </c>
      <c r="R70" s="21"/>
      <c r="S70" s="21"/>
    </row>
    <row r="71" spans="1:20" x14ac:dyDescent="0.3">
      <c r="G71" s="313"/>
      <c r="H71" s="313"/>
      <c r="I71" s="313"/>
      <c r="J71" s="313"/>
      <c r="K71" s="313"/>
      <c r="L71" s="313"/>
      <c r="R71" s="21"/>
      <c r="S71" s="21"/>
    </row>
    <row r="72" spans="1:20" x14ac:dyDescent="0.3">
      <c r="G72" s="313" t="s">
        <v>332</v>
      </c>
      <c r="H72" s="313"/>
      <c r="I72" s="313"/>
      <c r="J72" s="313"/>
      <c r="K72" s="313" t="s">
        <v>218</v>
      </c>
      <c r="L72" s="313"/>
      <c r="R72" s="21"/>
      <c r="S72" s="21"/>
    </row>
    <row r="73" spans="1:20" x14ac:dyDescent="0.3">
      <c r="G73" s="313"/>
      <c r="H73" s="313"/>
      <c r="I73" s="313"/>
      <c r="J73" s="313"/>
      <c r="K73" s="313"/>
      <c r="L73" s="313"/>
      <c r="R73" s="21"/>
      <c r="S73" s="21"/>
    </row>
    <row r="74" spans="1:20" ht="15" x14ac:dyDescent="0.25">
      <c r="G74" s="20"/>
      <c r="H74" s="11"/>
      <c r="I74" s="10"/>
      <c r="R74" s="21"/>
      <c r="S74" s="21"/>
    </row>
    <row r="75" spans="1:20" ht="15" x14ac:dyDescent="0.25">
      <c r="G75" s="20"/>
      <c r="H75" s="11"/>
      <c r="I75" s="10"/>
      <c r="R75" s="21"/>
      <c r="S75" s="21"/>
    </row>
    <row r="76" spans="1:20" ht="15" x14ac:dyDescent="0.25">
      <c r="G76" s="20"/>
      <c r="H76" s="11"/>
      <c r="I76" s="10"/>
      <c r="R76" s="21"/>
      <c r="S76" s="21"/>
    </row>
    <row r="77" spans="1:20" ht="15" x14ac:dyDescent="0.25">
      <c r="G77" s="20"/>
      <c r="H77" s="11"/>
      <c r="I77" s="10"/>
      <c r="R77" s="21"/>
      <c r="S77" s="21"/>
    </row>
    <row r="78" spans="1:20" ht="15" x14ac:dyDescent="0.25">
      <c r="G78" s="20"/>
      <c r="H78" s="11"/>
      <c r="I78" s="10"/>
      <c r="R78" s="21"/>
      <c r="S78" s="21"/>
    </row>
    <row r="79" spans="1:20" ht="15" x14ac:dyDescent="0.25">
      <c r="G79" s="20"/>
      <c r="H79" s="11"/>
      <c r="I79" s="10"/>
      <c r="R79" s="21"/>
      <c r="S79" s="21"/>
    </row>
    <row r="80" spans="1:20" ht="15" x14ac:dyDescent="0.25">
      <c r="G80" s="20"/>
      <c r="H80" s="11"/>
      <c r="I80" s="10"/>
      <c r="R80" s="21"/>
      <c r="S80" s="21"/>
    </row>
    <row r="81" spans="7:19" ht="15" x14ac:dyDescent="0.25">
      <c r="G81" s="20"/>
      <c r="H81" s="11"/>
      <c r="I81" s="10"/>
      <c r="R81" s="21"/>
      <c r="S81" s="21"/>
    </row>
    <row r="82" spans="7:19" ht="15" x14ac:dyDescent="0.25">
      <c r="G82" s="20"/>
      <c r="H82" s="11"/>
      <c r="I82" s="10"/>
      <c r="R82" s="21"/>
      <c r="S82" s="21"/>
    </row>
    <row r="83" spans="7:19" x14ac:dyDescent="0.3">
      <c r="G83" s="20"/>
      <c r="H83" s="11"/>
      <c r="I83" s="10"/>
      <c r="R83" s="21"/>
      <c r="S83" s="21"/>
    </row>
    <row r="84" spans="7:19" x14ac:dyDescent="0.3">
      <c r="G84" s="20"/>
      <c r="H84" s="11"/>
      <c r="I84" s="10"/>
      <c r="R84" s="21"/>
      <c r="S84" s="21"/>
    </row>
    <row r="85" spans="7:19" x14ac:dyDescent="0.3">
      <c r="G85" s="20"/>
      <c r="H85" s="11"/>
      <c r="I85" s="10"/>
      <c r="R85" s="21"/>
      <c r="S85" s="21"/>
    </row>
    <row r="86" spans="7:19" x14ac:dyDescent="0.3">
      <c r="G86" s="20"/>
      <c r="H86" s="11"/>
      <c r="I86" s="10"/>
      <c r="R86" s="21"/>
      <c r="S86" s="21"/>
    </row>
    <row r="87" spans="7:19" x14ac:dyDescent="0.3">
      <c r="G87" s="20"/>
      <c r="H87" s="11"/>
      <c r="I87" s="10"/>
      <c r="R87" s="21"/>
      <c r="S87" s="21"/>
    </row>
    <row r="88" spans="7:19" x14ac:dyDescent="0.3">
      <c r="H88" s="11"/>
      <c r="I88" s="10"/>
      <c r="R88" s="21"/>
      <c r="S88" s="21"/>
    </row>
    <row r="89" spans="7:19" x14ac:dyDescent="0.3">
      <c r="H89" s="11"/>
      <c r="I89" s="10"/>
      <c r="R89" s="21"/>
      <c r="S89" s="21"/>
    </row>
    <row r="90" spans="7:19" x14ac:dyDescent="0.3">
      <c r="H90" s="11"/>
      <c r="I90" s="10"/>
      <c r="R90" s="21"/>
      <c r="S90" s="21"/>
    </row>
    <row r="91" spans="7:19" x14ac:dyDescent="0.3">
      <c r="I91" s="10"/>
      <c r="R91" s="21"/>
      <c r="S91" s="21"/>
    </row>
    <row r="92" spans="7:19" x14ac:dyDescent="0.3">
      <c r="I92" s="10"/>
      <c r="R92" s="21"/>
      <c r="S92" s="21"/>
    </row>
    <row r="93" spans="7:19" x14ac:dyDescent="0.3">
      <c r="I93" s="10"/>
      <c r="R93" s="21"/>
      <c r="S93" s="21"/>
    </row>
    <row r="94" spans="7:19" x14ac:dyDescent="0.3">
      <c r="I94" s="10"/>
      <c r="R94" s="21"/>
      <c r="S94" s="21"/>
    </row>
    <row r="95" spans="7:19" x14ac:dyDescent="0.3">
      <c r="I95" s="10"/>
      <c r="R95" s="21"/>
      <c r="S95" s="21"/>
    </row>
    <row r="96" spans="7:19" x14ac:dyDescent="0.3">
      <c r="I96" s="10"/>
      <c r="R96" s="21"/>
      <c r="S96" s="21"/>
    </row>
    <row r="97" spans="9:19" x14ac:dyDescent="0.3">
      <c r="I97" s="10"/>
      <c r="R97" s="21"/>
      <c r="S97" s="21"/>
    </row>
    <row r="98" spans="9:19" x14ac:dyDescent="0.3">
      <c r="I98" s="10"/>
      <c r="R98" s="21"/>
      <c r="S98" s="21"/>
    </row>
    <row r="99" spans="9:19" x14ac:dyDescent="0.3">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4.4" x14ac:dyDescent="0.3"/>
  <cols>
    <col min="6" max="6" width="9.109375" customWidth="1"/>
  </cols>
  <sheetData>
    <row r="1" spans="1:22" ht="15" customHeight="1" x14ac:dyDescent="0.3">
      <c r="A1" s="385" t="s">
        <v>210</v>
      </c>
      <c r="B1" s="386"/>
      <c r="C1" s="386"/>
      <c r="D1" s="386"/>
      <c r="E1" s="386"/>
      <c r="F1" s="386"/>
      <c r="G1" s="386"/>
      <c r="H1" s="386"/>
      <c r="I1" s="386"/>
      <c r="J1" s="386"/>
      <c r="K1" s="387"/>
      <c r="L1" s="381" t="s">
        <v>298</v>
      </c>
      <c r="M1" s="381"/>
      <c r="N1" s="381"/>
      <c r="O1" s="381"/>
      <c r="P1" s="381"/>
      <c r="Q1" s="381"/>
      <c r="R1" s="381"/>
      <c r="S1" s="381"/>
      <c r="T1" s="381"/>
      <c r="U1" s="381"/>
      <c r="V1" s="381"/>
    </row>
    <row r="2" spans="1:22" ht="15" customHeight="1" x14ac:dyDescent="0.3">
      <c r="A2" s="388"/>
      <c r="B2" s="389"/>
      <c r="C2" s="389"/>
      <c r="D2" s="389"/>
      <c r="E2" s="389"/>
      <c r="F2" s="389"/>
      <c r="G2" s="389"/>
      <c r="H2" s="389"/>
      <c r="I2" s="389"/>
      <c r="J2" s="389"/>
      <c r="K2" s="390"/>
      <c r="L2" s="381"/>
      <c r="M2" s="381"/>
      <c r="N2" s="381"/>
      <c r="O2" s="381"/>
      <c r="P2" s="381"/>
      <c r="Q2" s="381"/>
      <c r="R2" s="381"/>
      <c r="S2" s="381"/>
      <c r="T2" s="381"/>
      <c r="U2" s="381"/>
      <c r="V2" s="381"/>
    </row>
    <row r="3" spans="1:22" ht="15" x14ac:dyDescent="0.25">
      <c r="A3" s="49" t="s">
        <v>212</v>
      </c>
      <c r="B3" s="374" t="str">
        <f>+'WORKCELL CONFIGURATOR'!$H$4</f>
        <v>Delta 8</v>
      </c>
      <c r="C3" s="374"/>
      <c r="D3" s="374"/>
      <c r="E3" s="374"/>
      <c r="F3" s="50" t="s">
        <v>214</v>
      </c>
      <c r="G3" s="374">
        <f>+'WORKCELL CONFIGURATOR'!$H$57</f>
        <v>0</v>
      </c>
      <c r="H3" s="374"/>
      <c r="I3" s="374"/>
      <c r="J3" s="374"/>
      <c r="K3" s="374"/>
      <c r="L3" s="49" t="s">
        <v>212</v>
      </c>
      <c r="M3" s="374" t="str">
        <f>+'WORKCELL CONFIGURATOR'!$H$4</f>
        <v>Delta 8</v>
      </c>
      <c r="N3" s="374"/>
      <c r="O3" s="374"/>
      <c r="P3" s="374"/>
      <c r="Q3" s="50" t="s">
        <v>214</v>
      </c>
      <c r="R3" s="374">
        <f>+'WORKCELL CONFIGURATOR'!$H$57</f>
        <v>0</v>
      </c>
      <c r="S3" s="374"/>
      <c r="T3" s="374"/>
      <c r="U3" s="374"/>
      <c r="V3" s="374"/>
    </row>
    <row r="4" spans="1:22" ht="15" x14ac:dyDescent="0.25">
      <c r="A4" s="49" t="s">
        <v>213</v>
      </c>
      <c r="B4" s="374" t="str">
        <f>+'WORKCELL BOM'!$L$2</f>
        <v>JBIL4735</v>
      </c>
      <c r="C4" s="374"/>
      <c r="D4" s="374"/>
      <c r="E4" s="374"/>
      <c r="F4" s="50" t="s">
        <v>215</v>
      </c>
      <c r="G4" s="374" t="str">
        <f>+'WORKCELL BOM'!$L$3</f>
        <v>A1028</v>
      </c>
      <c r="H4" s="374"/>
      <c r="I4" s="374"/>
      <c r="J4" s="374"/>
      <c r="K4" s="374"/>
      <c r="L4" s="49" t="s">
        <v>213</v>
      </c>
      <c r="M4" s="374" t="s">
        <v>660</v>
      </c>
      <c r="N4" s="374"/>
      <c r="O4" s="374"/>
      <c r="P4" s="374"/>
      <c r="Q4" s="50" t="s">
        <v>215</v>
      </c>
      <c r="R4" s="374" t="str">
        <f>+'WORKCELL BOM'!$L$3</f>
        <v>A1028</v>
      </c>
      <c r="S4" s="374"/>
      <c r="T4" s="374"/>
      <c r="U4" s="374"/>
      <c r="V4" s="374"/>
    </row>
    <row r="6" spans="1:22" x14ac:dyDescent="0.3">
      <c r="A6" s="57" t="s">
        <v>564</v>
      </c>
      <c r="B6" s="58"/>
      <c r="C6" s="58"/>
      <c r="D6" s="58"/>
      <c r="E6" s="58"/>
      <c r="F6" s="58"/>
      <c r="G6" s="58"/>
      <c r="H6" s="58"/>
      <c r="I6" s="58"/>
      <c r="J6" s="58"/>
      <c r="K6" s="59"/>
      <c r="L6" s="381" t="s">
        <v>220</v>
      </c>
      <c r="M6" s="381"/>
      <c r="N6" s="381"/>
      <c r="O6" s="381"/>
      <c r="P6" s="381"/>
      <c r="Q6" s="381"/>
      <c r="R6" s="381"/>
      <c r="S6" s="381"/>
      <c r="T6" s="381"/>
      <c r="U6" s="381"/>
      <c r="V6" s="381"/>
    </row>
    <row r="7" spans="1:22" x14ac:dyDescent="0.3">
      <c r="A7" s="54" t="s">
        <v>222</v>
      </c>
      <c r="B7" s="375" t="s">
        <v>223</v>
      </c>
      <c r="C7" s="375"/>
      <c r="D7" s="375"/>
      <c r="E7" s="375"/>
      <c r="F7" s="56" t="s">
        <v>222</v>
      </c>
      <c r="G7" s="375" t="s">
        <v>227</v>
      </c>
      <c r="H7" s="375"/>
      <c r="I7" s="375"/>
      <c r="J7" s="375"/>
      <c r="K7" s="28"/>
      <c r="L7" s="381"/>
      <c r="M7" s="381"/>
      <c r="N7" s="381"/>
      <c r="O7" s="381"/>
      <c r="P7" s="381"/>
      <c r="Q7" s="381"/>
      <c r="R7" s="381"/>
      <c r="S7" s="381"/>
      <c r="T7" s="381"/>
      <c r="U7" s="381"/>
      <c r="V7" s="381"/>
    </row>
    <row r="8" spans="1:22" ht="15" x14ac:dyDescent="0.25">
      <c r="A8" s="54" t="s">
        <v>222</v>
      </c>
      <c r="B8" s="375" t="s">
        <v>224</v>
      </c>
      <c r="C8" s="375"/>
      <c r="D8" s="375"/>
      <c r="E8" s="375"/>
      <c r="F8" s="56" t="s">
        <v>222</v>
      </c>
      <c r="G8" s="375" t="s">
        <v>228</v>
      </c>
      <c r="H8" s="375"/>
      <c r="I8" s="375"/>
      <c r="J8" s="375"/>
      <c r="K8" s="28"/>
      <c r="L8" s="48" t="s">
        <v>217</v>
      </c>
      <c r="M8" s="48" t="s">
        <v>218</v>
      </c>
      <c r="N8" s="48" t="s">
        <v>549</v>
      </c>
      <c r="O8" s="382" t="s">
        <v>106</v>
      </c>
      <c r="P8" s="383"/>
      <c r="Q8" s="383"/>
      <c r="R8" s="383"/>
      <c r="S8" s="383"/>
      <c r="T8" s="384"/>
      <c r="U8" s="48" t="s">
        <v>219</v>
      </c>
      <c r="V8" s="48" t="s">
        <v>218</v>
      </c>
    </row>
    <row r="9" spans="1:22" ht="15" x14ac:dyDescent="0.25">
      <c r="A9" s="54" t="s">
        <v>222</v>
      </c>
      <c r="B9" s="375" t="s">
        <v>225</v>
      </c>
      <c r="C9" s="375"/>
      <c r="D9" s="375"/>
      <c r="E9" s="375"/>
      <c r="F9" s="56" t="s">
        <v>222</v>
      </c>
      <c r="G9" s="375" t="s">
        <v>229</v>
      </c>
      <c r="H9" s="375"/>
      <c r="I9" s="375"/>
      <c r="J9" s="375"/>
      <c r="K9" s="28"/>
      <c r="L9" s="47"/>
      <c r="M9" s="47"/>
      <c r="N9" s="194"/>
      <c r="O9" s="282"/>
      <c r="P9" s="283"/>
      <c r="Q9" s="283"/>
      <c r="R9" s="283"/>
      <c r="S9" s="283"/>
      <c r="T9" s="284"/>
      <c r="U9" s="47"/>
      <c r="V9" s="47"/>
    </row>
    <row r="10" spans="1:22" ht="15" x14ac:dyDescent="0.25">
      <c r="A10" s="54" t="s">
        <v>222</v>
      </c>
      <c r="B10" s="375" t="s">
        <v>226</v>
      </c>
      <c r="C10" s="375"/>
      <c r="D10" s="375"/>
      <c r="E10" s="375"/>
      <c r="F10" s="56" t="s">
        <v>222</v>
      </c>
      <c r="G10" s="375" t="s">
        <v>230</v>
      </c>
      <c r="H10" s="375"/>
      <c r="I10" s="375"/>
      <c r="J10" s="375"/>
      <c r="K10" s="28"/>
      <c r="L10" s="47"/>
      <c r="M10" s="47"/>
      <c r="N10" s="194"/>
      <c r="O10" s="282"/>
      <c r="P10" s="283"/>
      <c r="Q10" s="283"/>
      <c r="R10" s="283"/>
      <c r="S10" s="283"/>
      <c r="T10" s="284"/>
      <c r="U10" s="47"/>
      <c r="V10" s="47"/>
    </row>
    <row r="11" spans="1:22" ht="15" x14ac:dyDescent="0.25">
      <c r="A11" s="60" t="s">
        <v>306</v>
      </c>
      <c r="B11" s="61"/>
      <c r="C11" s="61"/>
      <c r="D11" s="61"/>
      <c r="E11" s="61"/>
      <c r="F11" s="58"/>
      <c r="G11" s="58"/>
      <c r="H11" s="58"/>
      <c r="I11" s="58"/>
      <c r="J11" s="58"/>
      <c r="K11" s="59"/>
      <c r="L11" s="47"/>
      <c r="M11" s="47"/>
      <c r="N11" s="194"/>
      <c r="O11" s="282"/>
      <c r="P11" s="283"/>
      <c r="Q11" s="283"/>
      <c r="R11" s="283"/>
      <c r="S11" s="283"/>
      <c r="T11" s="284"/>
      <c r="U11" s="47"/>
      <c r="V11" s="47"/>
    </row>
    <row r="12" spans="1:22" x14ac:dyDescent="0.3">
      <c r="A12" s="391" t="s">
        <v>232</v>
      </c>
      <c r="B12" s="392" t="s">
        <v>234</v>
      </c>
      <c r="C12" s="392"/>
      <c r="D12" s="392"/>
      <c r="E12" s="392"/>
      <c r="G12" s="391" t="s">
        <v>235</v>
      </c>
      <c r="H12" s="392" t="s">
        <v>234</v>
      </c>
      <c r="I12" s="392"/>
      <c r="J12" s="392"/>
      <c r="K12" s="392"/>
      <c r="L12" s="47"/>
      <c r="M12" s="47"/>
      <c r="N12" s="194"/>
      <c r="O12" s="282"/>
      <c r="P12" s="283"/>
      <c r="Q12" s="283"/>
      <c r="R12" s="283"/>
      <c r="S12" s="283"/>
      <c r="T12" s="284"/>
      <c r="U12" s="47"/>
      <c r="V12" s="47"/>
    </row>
    <row r="13" spans="1:22" x14ac:dyDescent="0.3">
      <c r="A13" s="391"/>
      <c r="B13" s="392"/>
      <c r="C13" s="392"/>
      <c r="D13" s="392"/>
      <c r="E13" s="392"/>
      <c r="G13" s="391"/>
      <c r="H13" s="392"/>
      <c r="I13" s="392"/>
      <c r="J13" s="392"/>
      <c r="K13" s="392"/>
      <c r="L13" s="47"/>
      <c r="M13" s="47"/>
      <c r="N13" s="194"/>
      <c r="O13" s="282"/>
      <c r="P13" s="283"/>
      <c r="Q13" s="283"/>
      <c r="R13" s="283"/>
      <c r="S13" s="283"/>
      <c r="T13" s="284"/>
      <c r="U13" s="47"/>
      <c r="V13" s="47"/>
    </row>
    <row r="14" spans="1:22" x14ac:dyDescent="0.3">
      <c r="A14" s="391" t="s">
        <v>233</v>
      </c>
      <c r="B14" s="392" t="s">
        <v>234</v>
      </c>
      <c r="C14" s="392"/>
      <c r="D14" s="392"/>
      <c r="E14" s="392"/>
      <c r="G14" s="391" t="s">
        <v>236</v>
      </c>
      <c r="H14" s="392" t="s">
        <v>234</v>
      </c>
      <c r="I14" s="392"/>
      <c r="J14" s="392"/>
      <c r="K14" s="392"/>
      <c r="L14" s="47"/>
      <c r="M14" s="47"/>
      <c r="N14" s="194"/>
      <c r="O14" s="282"/>
      <c r="P14" s="283"/>
      <c r="Q14" s="283"/>
      <c r="R14" s="283"/>
      <c r="S14" s="283"/>
      <c r="T14" s="284"/>
      <c r="U14" s="47"/>
      <c r="V14" s="47"/>
    </row>
    <row r="15" spans="1:22" x14ac:dyDescent="0.3">
      <c r="A15" s="391"/>
      <c r="B15" s="392"/>
      <c r="C15" s="392"/>
      <c r="D15" s="392"/>
      <c r="E15" s="392"/>
      <c r="G15" s="391"/>
      <c r="H15" s="392"/>
      <c r="I15" s="392"/>
      <c r="J15" s="392"/>
      <c r="K15" s="392"/>
      <c r="L15" s="47"/>
      <c r="M15" s="47"/>
      <c r="N15" s="194"/>
      <c r="O15" s="282"/>
      <c r="P15" s="283"/>
      <c r="Q15" s="283"/>
      <c r="R15" s="283"/>
      <c r="S15" s="283"/>
      <c r="T15" s="284"/>
      <c r="U15" s="47"/>
      <c r="V15" s="47"/>
    </row>
    <row r="16" spans="1:22" x14ac:dyDescent="0.3">
      <c r="A16" s="326" t="s">
        <v>231</v>
      </c>
      <c r="B16" s="327"/>
      <c r="C16" s="327"/>
      <c r="D16" s="327"/>
      <c r="E16" s="327"/>
      <c r="F16" s="327"/>
      <c r="G16" s="327"/>
      <c r="H16" s="328"/>
      <c r="I16" s="326" t="s">
        <v>168</v>
      </c>
      <c r="J16" s="327"/>
      <c r="K16" s="328"/>
      <c r="L16" s="47"/>
      <c r="M16" s="47"/>
      <c r="N16" s="194"/>
      <c r="O16" s="282"/>
      <c r="P16" s="283"/>
      <c r="Q16" s="283"/>
      <c r="R16" s="283"/>
      <c r="S16" s="283"/>
      <c r="T16" s="284"/>
      <c r="U16" s="47"/>
      <c r="V16" s="47"/>
    </row>
    <row r="17" spans="1:22" x14ac:dyDescent="0.3">
      <c r="A17" s="329"/>
      <c r="B17" s="330"/>
      <c r="C17" s="330"/>
      <c r="D17" s="330"/>
      <c r="E17" s="330"/>
      <c r="F17" s="330"/>
      <c r="G17" s="330"/>
      <c r="H17" s="331"/>
      <c r="I17" s="329"/>
      <c r="J17" s="330"/>
      <c r="K17" s="331"/>
      <c r="L17" s="47"/>
      <c r="M17" s="47"/>
      <c r="N17" s="194"/>
      <c r="O17" s="282"/>
      <c r="P17" s="283"/>
      <c r="Q17" s="283"/>
      <c r="R17" s="283"/>
      <c r="S17" s="283"/>
      <c r="T17" s="284"/>
      <c r="U17" s="47"/>
      <c r="V17" s="47"/>
    </row>
    <row r="18" spans="1:22" ht="15" x14ac:dyDescent="0.25">
      <c r="L18" s="47"/>
      <c r="M18" s="47"/>
      <c r="N18" s="194"/>
      <c r="O18" s="282"/>
      <c r="P18" s="283"/>
      <c r="Q18" s="283"/>
      <c r="R18" s="283"/>
      <c r="S18" s="283"/>
      <c r="T18" s="284"/>
      <c r="U18" s="47"/>
      <c r="V18" s="47"/>
    </row>
    <row r="19" spans="1:22" ht="15" x14ac:dyDescent="0.25">
      <c r="A19" s="66" t="s">
        <v>243</v>
      </c>
      <c r="B19" s="67"/>
      <c r="C19" s="67"/>
      <c r="D19" s="67"/>
      <c r="E19" s="67"/>
      <c r="F19" s="67"/>
      <c r="G19" s="67"/>
      <c r="H19" s="67"/>
      <c r="I19" s="67"/>
      <c r="J19" s="67"/>
      <c r="K19" s="68"/>
      <c r="L19" s="47"/>
      <c r="M19" s="47"/>
      <c r="N19" s="194"/>
      <c r="O19" s="282"/>
      <c r="P19" s="283"/>
      <c r="Q19" s="283"/>
      <c r="R19" s="283"/>
      <c r="S19" s="283"/>
      <c r="T19" s="284"/>
      <c r="U19" s="47"/>
      <c r="V19" s="47"/>
    </row>
    <row r="20" spans="1:22" ht="15" x14ac:dyDescent="0.25">
      <c r="A20" s="54" t="s">
        <v>222</v>
      </c>
      <c r="B20" s="393" t="s">
        <v>253</v>
      </c>
      <c r="C20" s="393"/>
      <c r="D20" s="393"/>
      <c r="E20" s="393"/>
      <c r="F20" s="56" t="s">
        <v>222</v>
      </c>
      <c r="G20" s="55" t="s">
        <v>248</v>
      </c>
      <c r="H20" s="55"/>
      <c r="I20" s="55"/>
      <c r="J20" s="55"/>
      <c r="K20" s="28"/>
      <c r="L20" s="47"/>
      <c r="M20" s="47"/>
      <c r="N20" s="194"/>
      <c r="O20" s="282"/>
      <c r="P20" s="283"/>
      <c r="Q20" s="283"/>
      <c r="R20" s="283"/>
      <c r="S20" s="283"/>
      <c r="T20" s="284"/>
      <c r="U20" s="47"/>
      <c r="V20" s="47"/>
    </row>
    <row r="21" spans="1:22" ht="15" x14ac:dyDescent="0.25">
      <c r="A21" s="54" t="s">
        <v>222</v>
      </c>
      <c r="B21" s="375" t="s">
        <v>245</v>
      </c>
      <c r="C21" s="375"/>
      <c r="D21" s="375"/>
      <c r="E21" s="375"/>
      <c r="F21" s="56" t="s">
        <v>222</v>
      </c>
      <c r="G21" s="375" t="s">
        <v>249</v>
      </c>
      <c r="H21" s="375"/>
      <c r="I21" s="375"/>
      <c r="J21" s="375"/>
      <c r="K21" s="28"/>
      <c r="L21" s="47"/>
      <c r="M21" s="47"/>
      <c r="N21" s="194"/>
      <c r="O21" s="282"/>
      <c r="P21" s="283"/>
      <c r="Q21" s="283"/>
      <c r="R21" s="283"/>
      <c r="S21" s="283"/>
      <c r="T21" s="284"/>
      <c r="U21" s="47"/>
      <c r="V21" s="47"/>
    </row>
    <row r="22" spans="1:22" ht="15" x14ac:dyDescent="0.25">
      <c r="A22" s="54" t="s">
        <v>222</v>
      </c>
      <c r="B22" s="375" t="s">
        <v>246</v>
      </c>
      <c r="C22" s="375"/>
      <c r="D22" s="375"/>
      <c r="E22" s="375"/>
      <c r="F22" s="56" t="s">
        <v>222</v>
      </c>
      <c r="G22" s="55" t="s">
        <v>250</v>
      </c>
      <c r="H22" s="55"/>
      <c r="I22" s="55"/>
      <c r="J22" s="55"/>
      <c r="K22" s="28"/>
      <c r="L22" s="47"/>
      <c r="M22" s="47"/>
      <c r="N22" s="194"/>
      <c r="O22" s="282"/>
      <c r="P22" s="283"/>
      <c r="Q22" s="283"/>
      <c r="R22" s="283"/>
      <c r="S22" s="283"/>
      <c r="T22" s="284"/>
      <c r="U22" s="47"/>
      <c r="V22" s="47"/>
    </row>
    <row r="23" spans="1:22" ht="15" x14ac:dyDescent="0.25">
      <c r="A23" s="54" t="s">
        <v>222</v>
      </c>
      <c r="B23" s="375" t="s">
        <v>247</v>
      </c>
      <c r="C23" s="375"/>
      <c r="D23" s="375"/>
      <c r="E23" s="375"/>
      <c r="F23" s="56" t="s">
        <v>222</v>
      </c>
      <c r="G23" s="55" t="s">
        <v>275</v>
      </c>
      <c r="H23" s="55"/>
      <c r="I23" s="55"/>
      <c r="J23" s="55"/>
      <c r="K23" s="28"/>
      <c r="L23" s="47"/>
      <c r="M23" s="47"/>
      <c r="N23" s="194"/>
      <c r="O23" s="282"/>
      <c r="P23" s="283"/>
      <c r="Q23" s="283"/>
      <c r="R23" s="283"/>
      <c r="S23" s="283"/>
      <c r="T23" s="284"/>
      <c r="U23" s="47"/>
      <c r="V23" s="47"/>
    </row>
    <row r="24" spans="1:22" ht="15" x14ac:dyDescent="0.25">
      <c r="A24" s="54" t="s">
        <v>222</v>
      </c>
      <c r="B24" s="375" t="s">
        <v>251</v>
      </c>
      <c r="C24" s="375"/>
      <c r="D24" s="375"/>
      <c r="E24" s="375"/>
      <c r="F24" s="56" t="s">
        <v>222</v>
      </c>
      <c r="G24" s="55" t="s">
        <v>252</v>
      </c>
      <c r="H24" s="55"/>
      <c r="I24" s="55"/>
      <c r="J24" s="55"/>
      <c r="K24" s="28"/>
      <c r="L24" s="47"/>
      <c r="M24" s="47"/>
      <c r="N24" s="194"/>
      <c r="O24" s="282"/>
      <c r="P24" s="283"/>
      <c r="Q24" s="283"/>
      <c r="R24" s="283"/>
      <c r="S24" s="283"/>
      <c r="T24" s="284"/>
      <c r="U24" s="47"/>
      <c r="V24" s="47"/>
    </row>
    <row r="25" spans="1:22" ht="15" x14ac:dyDescent="0.25">
      <c r="A25" s="66" t="s">
        <v>244</v>
      </c>
      <c r="B25" s="67"/>
      <c r="C25" s="67"/>
      <c r="D25" s="67"/>
      <c r="E25" s="67"/>
      <c r="F25" s="67"/>
      <c r="G25" s="67"/>
      <c r="H25" s="67"/>
      <c r="I25" s="67"/>
      <c r="J25" s="67"/>
      <c r="K25" s="68"/>
      <c r="L25" s="47"/>
      <c r="M25" s="47"/>
      <c r="N25" s="194"/>
      <c r="O25" s="282"/>
      <c r="P25" s="283"/>
      <c r="Q25" s="283"/>
      <c r="R25" s="283"/>
      <c r="S25" s="283"/>
      <c r="T25" s="284"/>
      <c r="U25" s="47"/>
      <c r="V25" s="47"/>
    </row>
    <row r="26" spans="1:22" ht="15" x14ac:dyDescent="0.25">
      <c r="A26" s="54" t="s">
        <v>222</v>
      </c>
      <c r="B26" s="55" t="s">
        <v>254</v>
      </c>
      <c r="C26" s="55"/>
      <c r="D26" s="55"/>
      <c r="E26" s="55"/>
      <c r="F26" s="56" t="s">
        <v>222</v>
      </c>
      <c r="G26" s="55" t="s">
        <v>277</v>
      </c>
      <c r="H26" s="55"/>
      <c r="I26" s="55"/>
      <c r="J26" s="55"/>
      <c r="K26" s="28"/>
      <c r="L26" s="47"/>
      <c r="M26" s="47"/>
      <c r="N26" s="194"/>
      <c r="O26" s="282"/>
      <c r="P26" s="283"/>
      <c r="Q26" s="283"/>
      <c r="R26" s="283"/>
      <c r="S26" s="283"/>
      <c r="T26" s="284"/>
      <c r="U26" s="47"/>
      <c r="V26" s="47"/>
    </row>
    <row r="27" spans="1:22" ht="15" x14ac:dyDescent="0.25">
      <c r="A27" s="54" t="s">
        <v>222</v>
      </c>
      <c r="B27" s="69" t="s">
        <v>255</v>
      </c>
      <c r="C27" s="55"/>
      <c r="D27" s="55"/>
      <c r="E27" s="55"/>
      <c r="F27" s="56" t="s">
        <v>222</v>
      </c>
      <c r="G27" s="55" t="s">
        <v>257</v>
      </c>
      <c r="H27" s="55"/>
      <c r="I27" s="55"/>
      <c r="J27" s="55"/>
      <c r="K27" s="28"/>
      <c r="L27" s="47"/>
      <c r="M27" s="47"/>
      <c r="N27" s="194"/>
      <c r="O27" s="282"/>
      <c r="P27" s="283"/>
      <c r="Q27" s="283"/>
      <c r="R27" s="283"/>
      <c r="S27" s="283"/>
      <c r="T27" s="284"/>
      <c r="U27" s="47"/>
      <c r="V27" s="47"/>
    </row>
    <row r="28" spans="1:22" ht="15" x14ac:dyDescent="0.25">
      <c r="A28" s="54" t="s">
        <v>222</v>
      </c>
      <c r="B28" s="69" t="s">
        <v>278</v>
      </c>
      <c r="C28" s="55"/>
      <c r="D28" s="55"/>
      <c r="E28" s="55"/>
      <c r="F28" s="56" t="s">
        <v>222</v>
      </c>
      <c r="G28" s="69" t="s">
        <v>258</v>
      </c>
      <c r="H28" s="55"/>
      <c r="I28" s="55"/>
      <c r="J28" s="55"/>
      <c r="K28" s="28"/>
      <c r="L28" s="47"/>
      <c r="M28" s="47"/>
      <c r="N28" s="194"/>
      <c r="O28" s="282"/>
      <c r="P28" s="283"/>
      <c r="Q28" s="283"/>
      <c r="R28" s="283"/>
      <c r="S28" s="283"/>
      <c r="T28" s="284"/>
      <c r="U28" s="47"/>
      <c r="V28" s="47"/>
    </row>
    <row r="29" spans="1:22" ht="15" x14ac:dyDescent="0.25">
      <c r="A29" s="56" t="s">
        <v>222</v>
      </c>
      <c r="B29" s="55" t="s">
        <v>256</v>
      </c>
      <c r="C29" s="55"/>
      <c r="D29" s="55"/>
      <c r="E29" s="55"/>
      <c r="F29" s="56" t="s">
        <v>222</v>
      </c>
      <c r="G29" s="69" t="s">
        <v>259</v>
      </c>
      <c r="H29" s="55"/>
      <c r="I29" s="55"/>
      <c r="J29" s="55"/>
      <c r="K29" s="28"/>
      <c r="L29" s="47"/>
      <c r="M29" s="47"/>
      <c r="N29" s="194"/>
      <c r="O29" s="282"/>
      <c r="P29" s="283"/>
      <c r="Q29" s="283"/>
      <c r="R29" s="283"/>
      <c r="S29" s="283"/>
      <c r="T29" s="284"/>
      <c r="U29" s="47"/>
      <c r="V29" s="47"/>
    </row>
    <row r="30" spans="1:22" x14ac:dyDescent="0.3">
      <c r="A30" s="56" t="s">
        <v>222</v>
      </c>
      <c r="B30" s="55" t="s">
        <v>276</v>
      </c>
      <c r="C30" s="7"/>
      <c r="D30" s="7"/>
      <c r="E30" s="7"/>
      <c r="H30" s="7"/>
      <c r="I30" s="7"/>
      <c r="J30" s="7"/>
      <c r="K30" s="28"/>
      <c r="L30" s="332" t="s">
        <v>280</v>
      </c>
      <c r="M30" s="332"/>
      <c r="N30" s="332"/>
      <c r="O30" s="332"/>
      <c r="P30" s="332"/>
      <c r="Q30" s="332"/>
      <c r="R30" s="332"/>
      <c r="S30" s="332"/>
      <c r="T30" s="332" t="s">
        <v>218</v>
      </c>
      <c r="U30" s="332"/>
      <c r="V30" s="332"/>
    </row>
    <row r="31" spans="1:22" x14ac:dyDescent="0.3">
      <c r="C31" s="7"/>
      <c r="D31" s="7"/>
      <c r="E31" s="7"/>
      <c r="H31" s="7"/>
      <c r="I31" s="7"/>
      <c r="J31" s="7"/>
      <c r="K31" s="28"/>
      <c r="L31" s="332"/>
      <c r="M31" s="332"/>
      <c r="N31" s="332"/>
      <c r="O31" s="332"/>
      <c r="P31" s="332"/>
      <c r="Q31" s="332"/>
      <c r="R31" s="332"/>
      <c r="S31" s="332"/>
      <c r="T31" s="332"/>
      <c r="U31" s="332"/>
      <c r="V31" s="332"/>
    </row>
    <row r="32" spans="1:22" x14ac:dyDescent="0.3">
      <c r="A32" s="365" t="s">
        <v>260</v>
      </c>
      <c r="B32" s="366"/>
      <c r="C32" s="372" t="s">
        <v>261</v>
      </c>
      <c r="D32" s="372"/>
      <c r="E32" s="372"/>
      <c r="F32" s="372"/>
      <c r="G32" s="372"/>
      <c r="H32" s="372"/>
      <c r="I32" s="326" t="s">
        <v>168</v>
      </c>
      <c r="J32" s="327"/>
      <c r="K32" s="328"/>
      <c r="L32" s="332" t="s">
        <v>281</v>
      </c>
      <c r="M32" s="332"/>
      <c r="N32" s="332"/>
      <c r="O32" s="332"/>
      <c r="P32" s="332"/>
      <c r="Q32" s="332"/>
      <c r="R32" s="332"/>
      <c r="S32" s="332"/>
      <c r="T32" s="332" t="s">
        <v>218</v>
      </c>
      <c r="U32" s="332"/>
      <c r="V32" s="332"/>
    </row>
    <row r="33" spans="1:22" x14ac:dyDescent="0.3">
      <c r="A33" s="365"/>
      <c r="B33" s="366"/>
      <c r="C33" s="372"/>
      <c r="D33" s="372"/>
      <c r="E33" s="372"/>
      <c r="F33" s="372"/>
      <c r="G33" s="372"/>
      <c r="H33" s="372"/>
      <c r="I33" s="329"/>
      <c r="J33" s="330"/>
      <c r="K33" s="331"/>
      <c r="L33" s="332"/>
      <c r="M33" s="332"/>
      <c r="N33" s="332"/>
      <c r="O33" s="332"/>
      <c r="P33" s="332"/>
      <c r="Q33" s="332"/>
      <c r="R33" s="332"/>
      <c r="S33" s="332"/>
      <c r="T33" s="332"/>
      <c r="U33" s="332"/>
      <c r="V33" s="332"/>
    </row>
    <row r="34" spans="1:22" x14ac:dyDescent="0.3">
      <c r="A34" s="326" t="s">
        <v>262</v>
      </c>
      <c r="B34" s="327"/>
      <c r="C34" s="327"/>
      <c r="D34" s="327"/>
      <c r="E34" s="327"/>
      <c r="F34" s="327"/>
      <c r="G34" s="327"/>
      <c r="H34" s="328"/>
      <c r="I34" s="326" t="s">
        <v>168</v>
      </c>
      <c r="J34" s="327"/>
      <c r="K34" s="328"/>
      <c r="L34" s="332" t="s">
        <v>303</v>
      </c>
      <c r="M34" s="332"/>
      <c r="N34" s="332"/>
      <c r="O34" s="332"/>
      <c r="P34" s="332"/>
      <c r="Q34" s="332"/>
      <c r="R34" s="332"/>
      <c r="S34" s="332"/>
      <c r="T34" s="332" t="s">
        <v>218</v>
      </c>
      <c r="U34" s="332"/>
      <c r="V34" s="332"/>
    </row>
    <row r="35" spans="1:22" x14ac:dyDescent="0.3">
      <c r="A35" s="329"/>
      <c r="B35" s="330"/>
      <c r="C35" s="330"/>
      <c r="D35" s="330"/>
      <c r="E35" s="330"/>
      <c r="F35" s="330"/>
      <c r="G35" s="330"/>
      <c r="H35" s="331"/>
      <c r="I35" s="329"/>
      <c r="J35" s="330"/>
      <c r="K35" s="331"/>
      <c r="L35" s="332"/>
      <c r="M35" s="332"/>
      <c r="N35" s="332"/>
      <c r="O35" s="332"/>
      <c r="P35" s="332"/>
      <c r="Q35" s="332"/>
      <c r="R35" s="332"/>
      <c r="S35" s="332"/>
      <c r="T35" s="332"/>
      <c r="U35" s="332"/>
      <c r="V35" s="332"/>
    </row>
    <row r="36" spans="1:22" x14ac:dyDescent="0.3">
      <c r="L36" s="71" t="s">
        <v>299</v>
      </c>
      <c r="M36" s="72"/>
      <c r="N36" s="72"/>
      <c r="O36" s="80"/>
      <c r="P36" s="80"/>
      <c r="Q36" s="80"/>
      <c r="R36" s="80"/>
      <c r="S36" s="80"/>
      <c r="T36" s="80"/>
      <c r="U36" s="72"/>
      <c r="V36" s="73"/>
    </row>
    <row r="37" spans="1:22" ht="15" customHeight="1" x14ac:dyDescent="0.3">
      <c r="A37" s="62" t="s">
        <v>221</v>
      </c>
      <c r="B37" s="63"/>
      <c r="C37" s="63"/>
      <c r="D37" s="63"/>
      <c r="E37" s="63"/>
      <c r="F37" s="63"/>
      <c r="G37" s="63"/>
      <c r="H37" s="63"/>
      <c r="I37" s="63"/>
      <c r="J37" s="63"/>
      <c r="K37" s="64"/>
      <c r="L37" s="333" t="s">
        <v>305</v>
      </c>
      <c r="M37" s="334"/>
      <c r="N37" s="334"/>
      <c r="O37" s="334"/>
      <c r="P37" s="334"/>
      <c r="Q37" s="334"/>
      <c r="R37" s="334"/>
      <c r="S37" s="334"/>
      <c r="T37" s="334"/>
      <c r="U37" s="334"/>
      <c r="V37" s="335"/>
    </row>
    <row r="38" spans="1:22" ht="15" customHeight="1" x14ac:dyDescent="0.3">
      <c r="A38" s="54" t="s">
        <v>222</v>
      </c>
      <c r="B38" s="375" t="s">
        <v>237</v>
      </c>
      <c r="C38" s="375"/>
      <c r="D38" s="375"/>
      <c r="E38" s="375"/>
      <c r="F38" s="56" t="s">
        <v>222</v>
      </c>
      <c r="G38" s="375" t="s">
        <v>240</v>
      </c>
      <c r="H38" s="375"/>
      <c r="I38" s="375"/>
      <c r="J38" s="375"/>
      <c r="K38" s="28"/>
      <c r="L38" s="336"/>
      <c r="M38" s="337"/>
      <c r="N38" s="337"/>
      <c r="O38" s="337"/>
      <c r="P38" s="337"/>
      <c r="Q38" s="337"/>
      <c r="R38" s="337"/>
      <c r="S38" s="337"/>
      <c r="T38" s="337"/>
      <c r="U38" s="337"/>
      <c r="V38" s="338"/>
    </row>
    <row r="39" spans="1:22" ht="15" customHeight="1" x14ac:dyDescent="0.3">
      <c r="A39" s="54" t="s">
        <v>222</v>
      </c>
      <c r="B39" s="375" t="s">
        <v>238</v>
      </c>
      <c r="C39" s="375"/>
      <c r="D39" s="375"/>
      <c r="E39" s="375"/>
      <c r="F39" s="56" t="s">
        <v>222</v>
      </c>
      <c r="G39" s="375" t="s">
        <v>242</v>
      </c>
      <c r="H39" s="375"/>
      <c r="I39" s="375"/>
      <c r="J39" s="375"/>
      <c r="K39" s="28"/>
      <c r="L39" s="336"/>
      <c r="M39" s="337"/>
      <c r="N39" s="337"/>
      <c r="O39" s="337"/>
      <c r="P39" s="337"/>
      <c r="Q39" s="337"/>
      <c r="R39" s="337"/>
      <c r="S39" s="337"/>
      <c r="T39" s="337"/>
      <c r="U39" s="337"/>
      <c r="V39" s="338"/>
    </row>
    <row r="40" spans="1:22" x14ac:dyDescent="0.3">
      <c r="A40" s="76" t="s">
        <v>222</v>
      </c>
      <c r="B40" s="376" t="s">
        <v>239</v>
      </c>
      <c r="C40" s="376"/>
      <c r="D40" s="376"/>
      <c r="E40" s="376"/>
      <c r="F40" s="77" t="s">
        <v>222</v>
      </c>
      <c r="G40" s="376" t="s">
        <v>241</v>
      </c>
      <c r="H40" s="376"/>
      <c r="I40" s="376"/>
      <c r="J40" s="376"/>
      <c r="K40" s="31"/>
      <c r="L40" s="339"/>
      <c r="M40" s="340"/>
      <c r="N40" s="340"/>
      <c r="O40" s="340"/>
      <c r="P40" s="340"/>
      <c r="Q40" s="340"/>
      <c r="R40" s="340"/>
      <c r="S40" s="340"/>
      <c r="T40" s="340"/>
      <c r="U40" s="340"/>
      <c r="V40" s="341"/>
    </row>
    <row r="41" spans="1:22" x14ac:dyDescent="0.3">
      <c r="A41" s="326" t="s">
        <v>231</v>
      </c>
      <c r="B41" s="327"/>
      <c r="C41" s="327"/>
      <c r="D41" s="327"/>
      <c r="E41" s="327"/>
      <c r="F41" s="327"/>
      <c r="G41" s="327"/>
      <c r="H41" s="328"/>
      <c r="I41" s="326" t="s">
        <v>168</v>
      </c>
      <c r="J41" s="327"/>
      <c r="K41" s="328"/>
      <c r="L41" s="342" t="s">
        <v>214</v>
      </c>
      <c r="M41" s="344">
        <f>+'WORKCELL CONFIGURATOR'!$H$57</f>
        <v>0</v>
      </c>
      <c r="N41" s="344"/>
      <c r="O41" s="344"/>
      <c r="P41" s="344"/>
      <c r="Q41" s="344"/>
      <c r="R41" s="351" t="s">
        <v>300</v>
      </c>
      <c r="S41" s="351"/>
      <c r="T41" s="351"/>
      <c r="U41" s="351"/>
      <c r="V41" s="351"/>
    </row>
    <row r="42" spans="1:22" x14ac:dyDescent="0.3">
      <c r="A42" s="329"/>
      <c r="B42" s="330"/>
      <c r="C42" s="330"/>
      <c r="D42" s="330"/>
      <c r="E42" s="330"/>
      <c r="F42" s="330"/>
      <c r="G42" s="330"/>
      <c r="H42" s="331"/>
      <c r="I42" s="329"/>
      <c r="J42" s="330"/>
      <c r="K42" s="331"/>
      <c r="L42" s="343"/>
      <c r="M42" s="344"/>
      <c r="N42" s="344"/>
      <c r="O42" s="344"/>
      <c r="P42" s="344"/>
      <c r="Q42" s="344"/>
      <c r="R42" s="351"/>
      <c r="S42" s="351"/>
      <c r="T42" s="351"/>
      <c r="U42" s="351"/>
      <c r="V42" s="351"/>
    </row>
    <row r="43" spans="1:22" x14ac:dyDescent="0.3">
      <c r="L43" s="345" t="s">
        <v>484</v>
      </c>
      <c r="M43" s="346"/>
      <c r="N43" s="346"/>
      <c r="O43" s="346"/>
      <c r="P43" s="346"/>
      <c r="Q43" s="347"/>
      <c r="R43" s="351" t="s">
        <v>301</v>
      </c>
      <c r="S43" s="351"/>
      <c r="T43" s="351"/>
      <c r="U43" s="351"/>
      <c r="V43" s="351"/>
    </row>
    <row r="44" spans="1:22" x14ac:dyDescent="0.3">
      <c r="L44" s="348"/>
      <c r="M44" s="349"/>
      <c r="N44" s="349"/>
      <c r="O44" s="349"/>
      <c r="P44" s="349"/>
      <c r="Q44" s="350"/>
      <c r="R44" s="351"/>
      <c r="S44" s="351"/>
      <c r="T44" s="351"/>
      <c r="U44" s="351"/>
      <c r="V44" s="351"/>
    </row>
    <row r="45" spans="1:22" x14ac:dyDescent="0.3">
      <c r="L45" s="345" t="s">
        <v>218</v>
      </c>
      <c r="M45" s="346"/>
      <c r="N45" s="346"/>
      <c r="O45" s="346"/>
      <c r="P45" s="346"/>
      <c r="Q45" s="347"/>
      <c r="R45" s="351" t="s">
        <v>302</v>
      </c>
      <c r="S45" s="351"/>
      <c r="T45" s="351"/>
      <c r="U45" s="351"/>
      <c r="V45" s="351"/>
    </row>
    <row r="46" spans="1:22" x14ac:dyDescent="0.3">
      <c r="A46" s="65"/>
      <c r="B46" s="65"/>
      <c r="C46" s="65"/>
      <c r="D46" s="65"/>
      <c r="E46" s="65"/>
      <c r="F46" s="65"/>
      <c r="G46" s="65"/>
      <c r="H46" s="65"/>
      <c r="I46" s="65"/>
      <c r="J46" s="65"/>
      <c r="K46" s="65"/>
      <c r="L46" s="348"/>
      <c r="M46" s="349"/>
      <c r="N46" s="349"/>
      <c r="O46" s="349"/>
      <c r="P46" s="349"/>
      <c r="Q46" s="350"/>
      <c r="R46" s="351"/>
      <c r="S46" s="351"/>
      <c r="T46" s="351"/>
      <c r="U46" s="351"/>
      <c r="V46" s="351"/>
    </row>
    <row r="47" spans="1:22" x14ac:dyDescent="0.3">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3">
      <c r="A48" s="379" t="s">
        <v>211</v>
      </c>
      <c r="B48" s="379"/>
      <c r="C48" s="379"/>
      <c r="D48" s="379"/>
      <c r="E48" s="379"/>
      <c r="F48" s="379"/>
      <c r="G48" s="379"/>
      <c r="H48" s="379"/>
      <c r="I48" s="379"/>
      <c r="J48" s="379"/>
      <c r="K48" s="379"/>
      <c r="L48" s="380" t="s">
        <v>309</v>
      </c>
      <c r="M48" s="380"/>
      <c r="N48" s="380"/>
      <c r="O48" s="380"/>
      <c r="P48" s="380"/>
      <c r="Q48" s="380"/>
      <c r="R48" s="380"/>
      <c r="S48" s="380"/>
      <c r="T48" s="380"/>
      <c r="U48" s="380"/>
      <c r="V48" s="380"/>
    </row>
    <row r="49" spans="1:22" ht="15" customHeight="1" x14ac:dyDescent="0.3">
      <c r="A49" s="379"/>
      <c r="B49" s="379"/>
      <c r="C49" s="379"/>
      <c r="D49" s="379"/>
      <c r="E49" s="379"/>
      <c r="F49" s="379"/>
      <c r="G49" s="379"/>
      <c r="H49" s="379"/>
      <c r="I49" s="379"/>
      <c r="J49" s="379"/>
      <c r="K49" s="379"/>
      <c r="L49" s="380"/>
      <c r="M49" s="380"/>
      <c r="N49" s="380"/>
      <c r="O49" s="380"/>
      <c r="P49" s="380"/>
      <c r="Q49" s="380"/>
      <c r="R49" s="380"/>
      <c r="S49" s="380"/>
      <c r="T49" s="380"/>
      <c r="U49" s="380"/>
      <c r="V49" s="380"/>
    </row>
    <row r="50" spans="1:22" x14ac:dyDescent="0.3">
      <c r="A50" s="49" t="s">
        <v>212</v>
      </c>
      <c r="B50" s="374" t="str">
        <f>+'WORKCELL CONFIGURATOR'!$H$4</f>
        <v>Delta 8</v>
      </c>
      <c r="C50" s="374"/>
      <c r="D50" s="374"/>
      <c r="E50" s="374"/>
      <c r="F50" s="50" t="s">
        <v>214</v>
      </c>
      <c r="G50" s="374">
        <f>+'WORKCELL CONFIGURATOR'!$H$57</f>
        <v>0</v>
      </c>
      <c r="H50" s="374"/>
      <c r="I50" s="374"/>
      <c r="J50" s="374"/>
      <c r="K50" s="374"/>
      <c r="L50" s="49" t="s">
        <v>212</v>
      </c>
      <c r="M50" s="374" t="str">
        <f>+'WORKCELL CONFIGURATOR'!$H$4</f>
        <v>Delta 8</v>
      </c>
      <c r="N50" s="374"/>
      <c r="O50" s="374"/>
      <c r="P50" s="374"/>
      <c r="Q50" s="50" t="s">
        <v>214</v>
      </c>
      <c r="R50" s="374">
        <f>+'WORKCELL CONFIGURATOR'!$H$57</f>
        <v>0</v>
      </c>
      <c r="S50" s="374"/>
      <c r="T50" s="374"/>
      <c r="U50" s="374"/>
      <c r="V50" s="374"/>
    </row>
    <row r="51" spans="1:22" x14ac:dyDescent="0.3">
      <c r="A51" s="49" t="s">
        <v>213</v>
      </c>
      <c r="B51" s="374" t="str">
        <f>+'WORKCELL BOM'!$L$2</f>
        <v>JBIL4735</v>
      </c>
      <c r="C51" s="374"/>
      <c r="D51" s="374"/>
      <c r="E51" s="374"/>
      <c r="F51" s="50" t="s">
        <v>215</v>
      </c>
      <c r="G51" s="374" t="str">
        <f>+'WORKCELL BOM'!$L$3</f>
        <v>A1028</v>
      </c>
      <c r="H51" s="374"/>
      <c r="I51" s="374"/>
      <c r="J51" s="374"/>
      <c r="K51" s="374"/>
      <c r="L51" s="49" t="s">
        <v>213</v>
      </c>
      <c r="M51" s="374" t="str">
        <f>+'WORKCELL BOM'!$L$2</f>
        <v>JBIL4735</v>
      </c>
      <c r="N51" s="374"/>
      <c r="O51" s="374"/>
      <c r="P51" s="374"/>
      <c r="Q51" s="50" t="s">
        <v>215</v>
      </c>
      <c r="R51" s="374" t="str">
        <f>+'WORKCELL BOM'!$L$3</f>
        <v>A1028</v>
      </c>
      <c r="S51" s="374"/>
      <c r="T51" s="374"/>
      <c r="U51" s="374"/>
      <c r="V51" s="374"/>
    </row>
    <row r="53" spans="1:22" x14ac:dyDescent="0.3">
      <c r="A53" s="57" t="s">
        <v>307</v>
      </c>
      <c r="B53" s="61"/>
      <c r="C53" s="61"/>
      <c r="D53" s="61"/>
      <c r="E53" s="61"/>
      <c r="F53" s="58"/>
      <c r="G53" s="58"/>
      <c r="H53" s="58"/>
      <c r="I53" s="58"/>
      <c r="J53" s="58"/>
      <c r="K53" s="59"/>
    </row>
    <row r="54" spans="1:22" x14ac:dyDescent="0.3">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3">
      <c r="A55" s="54" t="s">
        <v>222</v>
      </c>
      <c r="B55" s="375" t="s">
        <v>282</v>
      </c>
      <c r="C55" s="375"/>
      <c r="D55" s="375"/>
      <c r="E55" s="375"/>
      <c r="F55" s="56" t="s">
        <v>222</v>
      </c>
      <c r="G55" s="375" t="s">
        <v>289</v>
      </c>
      <c r="H55" s="375"/>
      <c r="I55" s="375"/>
      <c r="J55" s="375"/>
      <c r="K55" s="28"/>
      <c r="L55" s="352" t="s">
        <v>314</v>
      </c>
      <c r="M55" s="353"/>
      <c r="N55" s="353"/>
      <c r="O55" s="353"/>
      <c r="P55" s="353"/>
      <c r="Q55" s="353"/>
      <c r="R55" s="353"/>
      <c r="S55" s="354"/>
      <c r="T55" s="352" t="s">
        <v>218</v>
      </c>
      <c r="U55" s="353"/>
      <c r="V55" s="354"/>
    </row>
    <row r="56" spans="1:22" x14ac:dyDescent="0.3">
      <c r="A56" s="54" t="s">
        <v>222</v>
      </c>
      <c r="B56" s="55" t="s">
        <v>283</v>
      </c>
      <c r="C56" s="55"/>
      <c r="D56" s="55"/>
      <c r="E56" s="55"/>
      <c r="F56" s="56" t="s">
        <v>222</v>
      </c>
      <c r="G56" s="55" t="s">
        <v>284</v>
      </c>
      <c r="H56" s="55"/>
      <c r="I56" s="55"/>
      <c r="J56" s="55"/>
      <c r="K56" s="28"/>
      <c r="L56" s="355"/>
      <c r="M56" s="356"/>
      <c r="N56" s="356"/>
      <c r="O56" s="356"/>
      <c r="P56" s="356"/>
      <c r="Q56" s="356"/>
      <c r="R56" s="356"/>
      <c r="S56" s="357"/>
      <c r="T56" s="355"/>
      <c r="U56" s="356"/>
      <c r="V56" s="357"/>
    </row>
    <row r="57" spans="1:22" x14ac:dyDescent="0.3">
      <c r="A57" s="54" t="s">
        <v>222</v>
      </c>
      <c r="B57" s="55" t="s">
        <v>288</v>
      </c>
      <c r="C57" s="55"/>
      <c r="D57" s="55"/>
      <c r="E57" s="55"/>
      <c r="F57" s="56" t="s">
        <v>222</v>
      </c>
      <c r="G57" s="55" t="s">
        <v>285</v>
      </c>
      <c r="H57" s="7"/>
      <c r="I57" s="7"/>
      <c r="J57" s="7"/>
      <c r="K57" s="28"/>
      <c r="L57" s="352" t="s">
        <v>315</v>
      </c>
      <c r="M57" s="353"/>
      <c r="N57" s="353"/>
      <c r="O57" s="353"/>
      <c r="P57" s="353"/>
      <c r="Q57" s="353"/>
      <c r="R57" s="353"/>
      <c r="S57" s="354"/>
      <c r="T57" s="352" t="s">
        <v>218</v>
      </c>
      <c r="U57" s="353"/>
      <c r="V57" s="354"/>
    </row>
    <row r="58" spans="1:22" x14ac:dyDescent="0.3">
      <c r="A58" s="54" t="s">
        <v>222</v>
      </c>
      <c r="B58" s="55" t="s">
        <v>297</v>
      </c>
      <c r="C58" s="55"/>
      <c r="D58" s="55"/>
      <c r="E58" s="55"/>
      <c r="F58" s="7"/>
      <c r="G58" s="7"/>
      <c r="H58" s="7"/>
      <c r="I58" s="7"/>
      <c r="J58" s="7"/>
      <c r="K58" s="28"/>
      <c r="L58" s="355"/>
      <c r="M58" s="356"/>
      <c r="N58" s="356"/>
      <c r="O58" s="356"/>
      <c r="P58" s="356"/>
      <c r="Q58" s="356"/>
      <c r="R58" s="356"/>
      <c r="S58" s="357"/>
      <c r="T58" s="355"/>
      <c r="U58" s="356"/>
      <c r="V58" s="357"/>
    </row>
    <row r="59" spans="1:22" x14ac:dyDescent="0.3">
      <c r="A59" s="27"/>
      <c r="B59" s="7"/>
      <c r="C59" s="7"/>
      <c r="D59" s="7"/>
      <c r="E59" s="7"/>
      <c r="F59" s="7"/>
      <c r="G59" s="7"/>
      <c r="H59" s="7"/>
      <c r="I59" s="7"/>
      <c r="J59" s="7"/>
      <c r="K59" s="28"/>
    </row>
    <row r="60" spans="1:22" x14ac:dyDescent="0.3">
      <c r="A60" s="326" t="s">
        <v>231</v>
      </c>
      <c r="B60" s="327"/>
      <c r="C60" s="327"/>
      <c r="D60" s="327"/>
      <c r="E60" s="327"/>
      <c r="F60" s="327"/>
      <c r="G60" s="327"/>
      <c r="H60" s="328"/>
      <c r="I60" s="326" t="s">
        <v>168</v>
      </c>
      <c r="J60" s="327"/>
      <c r="K60" s="328"/>
    </row>
    <row r="61" spans="1:22" x14ac:dyDescent="0.3">
      <c r="A61" s="329"/>
      <c r="B61" s="330"/>
      <c r="C61" s="330"/>
      <c r="D61" s="330"/>
      <c r="E61" s="330"/>
      <c r="F61" s="330"/>
      <c r="G61" s="330"/>
      <c r="H61" s="331"/>
      <c r="I61" s="329"/>
      <c r="J61" s="330"/>
      <c r="K61" s="331"/>
      <c r="L61" s="84" t="s">
        <v>310</v>
      </c>
      <c r="M61" s="85"/>
      <c r="N61" s="85"/>
      <c r="O61" s="85"/>
      <c r="P61" s="85"/>
      <c r="Q61" s="86"/>
      <c r="R61" s="86"/>
      <c r="S61" s="86"/>
      <c r="T61" s="86"/>
      <c r="U61" s="86"/>
      <c r="V61" s="87"/>
    </row>
    <row r="62" spans="1:22" x14ac:dyDescent="0.3">
      <c r="L62" s="83" t="s">
        <v>265</v>
      </c>
      <c r="M62" s="72"/>
      <c r="N62" s="72"/>
      <c r="O62" s="72"/>
      <c r="P62" s="73"/>
      <c r="Q62" s="7"/>
      <c r="R62" s="83" t="s">
        <v>268</v>
      </c>
      <c r="S62" s="72"/>
      <c r="T62" s="72"/>
      <c r="U62" s="72"/>
      <c r="V62" s="73"/>
    </row>
    <row r="63" spans="1:22" x14ac:dyDescent="0.3">
      <c r="A63" s="66" t="s">
        <v>308</v>
      </c>
      <c r="B63" s="67"/>
      <c r="C63" s="67"/>
      <c r="D63" s="67"/>
      <c r="E63" s="67"/>
      <c r="F63" s="67"/>
      <c r="G63" s="67"/>
      <c r="H63" s="67"/>
      <c r="I63" s="67"/>
      <c r="J63" s="67"/>
      <c r="K63" s="68"/>
      <c r="L63" s="82" t="s">
        <v>263</v>
      </c>
      <c r="M63" s="368" t="s">
        <v>264</v>
      </c>
      <c r="N63" s="368"/>
      <c r="O63" s="368" t="s">
        <v>215</v>
      </c>
      <c r="P63" s="368"/>
      <c r="Q63" s="7"/>
      <c r="R63" s="368" t="s">
        <v>269</v>
      </c>
      <c r="S63" s="368" t="s">
        <v>274</v>
      </c>
      <c r="T63" s="368"/>
      <c r="U63" s="371" t="s">
        <v>279</v>
      </c>
      <c r="V63" s="371"/>
    </row>
    <row r="64" spans="1:22" x14ac:dyDescent="0.3">
      <c r="A64" s="365" t="s">
        <v>290</v>
      </c>
      <c r="B64" s="366"/>
      <c r="C64" s="367"/>
      <c r="D64" s="367"/>
      <c r="E64" s="367"/>
      <c r="F64" s="7"/>
      <c r="G64" s="377" t="s">
        <v>292</v>
      </c>
      <c r="H64" s="378"/>
      <c r="I64" s="367"/>
      <c r="J64" s="367"/>
      <c r="K64" s="367"/>
      <c r="L64" s="81">
        <v>1</v>
      </c>
      <c r="M64" s="344"/>
      <c r="N64" s="344"/>
      <c r="O64" s="344" t="str">
        <f>+IF(M64="N/A","N/A","")</f>
        <v/>
      </c>
      <c r="P64" s="344"/>
      <c r="Q64" s="7"/>
      <c r="R64" s="366"/>
      <c r="S64" s="366"/>
      <c r="T64" s="366"/>
      <c r="U64" s="365"/>
      <c r="V64" s="365"/>
    </row>
    <row r="65" spans="1:22" x14ac:dyDescent="0.3">
      <c r="A65" s="366"/>
      <c r="B65" s="366"/>
      <c r="C65" s="367"/>
      <c r="D65" s="367"/>
      <c r="E65" s="367"/>
      <c r="F65" s="7"/>
      <c r="G65" s="378"/>
      <c r="H65" s="378"/>
      <c r="I65" s="367"/>
      <c r="J65" s="367"/>
      <c r="K65" s="367"/>
      <c r="L65" s="81">
        <v>2</v>
      </c>
      <c r="M65" s="344"/>
      <c r="N65" s="344"/>
      <c r="O65" s="344"/>
      <c r="P65" s="344"/>
      <c r="Q65" s="7"/>
      <c r="R65" s="81" t="s">
        <v>270</v>
      </c>
      <c r="S65" s="372"/>
      <c r="T65" s="372"/>
      <c r="U65" s="369" t="str">
        <f>+IF('WORKCELL CONFIGURATOR'!H9="Y","","N/A")</f>
        <v>N/A</v>
      </c>
      <c r="V65" s="370"/>
    </row>
    <row r="66" spans="1:22" x14ac:dyDescent="0.3">
      <c r="A66" s="365" t="s">
        <v>291</v>
      </c>
      <c r="B66" s="366"/>
      <c r="C66" s="367"/>
      <c r="D66" s="367"/>
      <c r="E66" s="367"/>
      <c r="F66" s="7"/>
      <c r="G66" s="7"/>
      <c r="H66" s="7"/>
      <c r="I66" s="7"/>
      <c r="J66" s="7"/>
      <c r="K66" s="28"/>
      <c r="L66" s="81">
        <v>3</v>
      </c>
      <c r="M66" s="344"/>
      <c r="N66" s="344"/>
      <c r="O66" s="344"/>
      <c r="P66" s="344"/>
      <c r="Q66" s="7"/>
      <c r="R66" s="81" t="s">
        <v>271</v>
      </c>
      <c r="S66" s="366"/>
      <c r="T66" s="366"/>
      <c r="U66" s="369" t="str">
        <f>+IF('WORKCELL CONFIGURATOR'!H14="Y","","N/A")</f>
        <v>N/A</v>
      </c>
      <c r="V66" s="370"/>
    </row>
    <row r="67" spans="1:22" x14ac:dyDescent="0.3">
      <c r="A67" s="366"/>
      <c r="B67" s="366"/>
      <c r="C67" s="367"/>
      <c r="D67" s="367"/>
      <c r="E67" s="367"/>
      <c r="F67" s="7"/>
      <c r="G67" s="7"/>
      <c r="H67" s="7"/>
      <c r="I67" s="7"/>
      <c r="J67" s="7"/>
      <c r="K67" s="28"/>
      <c r="L67" s="152">
        <v>4</v>
      </c>
      <c r="M67" s="344"/>
      <c r="N67" s="344"/>
      <c r="O67" s="344"/>
      <c r="P67" s="344"/>
      <c r="Q67" s="7"/>
      <c r="R67" s="81" t="s">
        <v>272</v>
      </c>
      <c r="S67" s="366"/>
      <c r="T67" s="366"/>
      <c r="U67" s="70"/>
      <c r="V67" s="79"/>
    </row>
    <row r="68" spans="1:22" x14ac:dyDescent="0.3">
      <c r="A68" s="27"/>
      <c r="B68" s="7"/>
      <c r="C68" s="7"/>
      <c r="D68" s="7"/>
      <c r="E68" s="7"/>
      <c r="F68" s="7"/>
      <c r="G68" s="7"/>
      <c r="H68" s="7"/>
      <c r="I68" s="7"/>
      <c r="J68" s="7"/>
      <c r="K68" s="28"/>
      <c r="L68" s="27"/>
      <c r="M68" s="7"/>
      <c r="N68" s="7"/>
      <c r="O68" s="7"/>
      <c r="P68" s="7"/>
      <c r="Q68" s="7"/>
      <c r="R68" s="81" t="s">
        <v>273</v>
      </c>
      <c r="S68" s="367" t="str">
        <f>+IF('WORKCELL CONFIGURATOR'!H4=3,"N/A","")</f>
        <v/>
      </c>
      <c r="T68" s="367"/>
      <c r="U68" s="12"/>
      <c r="V68" s="88"/>
    </row>
    <row r="69" spans="1:22" x14ac:dyDescent="0.3">
      <c r="A69" s="54" t="s">
        <v>222</v>
      </c>
      <c r="B69" s="55" t="s">
        <v>293</v>
      </c>
      <c r="C69" s="55"/>
      <c r="D69" s="55"/>
      <c r="E69" s="7"/>
      <c r="F69" s="56" t="s">
        <v>222</v>
      </c>
      <c r="G69" s="55" t="s">
        <v>296</v>
      </c>
      <c r="H69" s="7"/>
      <c r="I69" s="55"/>
      <c r="J69" s="55"/>
      <c r="K69" s="28"/>
      <c r="L69" s="83" t="s">
        <v>266</v>
      </c>
      <c r="M69" s="72"/>
      <c r="N69" s="72"/>
      <c r="O69" s="72"/>
      <c r="P69" s="73"/>
      <c r="Q69" s="7"/>
      <c r="R69" s="218" t="s">
        <v>584</v>
      </c>
      <c r="S69" s="367" t="str">
        <f>+IF('WORKCELL CONFIGURATOR'!H5=3,"N/A","")</f>
        <v/>
      </c>
      <c r="T69" s="367"/>
      <c r="U69" s="12"/>
      <c r="V69" s="88"/>
    </row>
    <row r="70" spans="1:22" x14ac:dyDescent="0.3">
      <c r="A70" s="54"/>
      <c r="B70" s="55"/>
      <c r="C70" s="55"/>
      <c r="D70" s="55"/>
      <c r="E70" s="7"/>
      <c r="F70" s="7"/>
      <c r="G70" s="7"/>
      <c r="H70" s="7"/>
      <c r="I70" s="7"/>
      <c r="J70" s="7"/>
      <c r="K70" s="28"/>
      <c r="L70" s="82" t="s">
        <v>263</v>
      </c>
      <c r="M70" s="368" t="s">
        <v>264</v>
      </c>
      <c r="N70" s="368"/>
      <c r="O70" s="368" t="s">
        <v>215</v>
      </c>
      <c r="P70" s="368"/>
      <c r="Q70" s="7"/>
      <c r="R70" s="218" t="s">
        <v>585</v>
      </c>
      <c r="S70" s="367" t="str">
        <f>+IF('WORKCELL CONFIGURATOR'!H6=3,"N/A","")</f>
        <v/>
      </c>
      <c r="T70" s="367"/>
      <c r="U70" s="12"/>
      <c r="V70" s="88"/>
    </row>
    <row r="71" spans="1:22" x14ac:dyDescent="0.3">
      <c r="A71" s="326" t="s">
        <v>231</v>
      </c>
      <c r="B71" s="327"/>
      <c r="C71" s="327"/>
      <c r="D71" s="327"/>
      <c r="E71" s="327"/>
      <c r="F71" s="327"/>
      <c r="G71" s="327"/>
      <c r="H71" s="328"/>
      <c r="I71" s="326" t="s">
        <v>168</v>
      </c>
      <c r="J71" s="327"/>
      <c r="K71" s="328"/>
      <c r="L71" s="81">
        <v>1</v>
      </c>
      <c r="M71" s="344"/>
      <c r="N71" s="344"/>
      <c r="O71" s="344"/>
      <c r="P71" s="344"/>
      <c r="Q71" s="7"/>
      <c r="R71" s="12"/>
      <c r="S71" s="12"/>
      <c r="T71" s="12"/>
      <c r="U71" s="12"/>
      <c r="V71" s="88"/>
    </row>
    <row r="72" spans="1:22" x14ac:dyDescent="0.3">
      <c r="A72" s="329"/>
      <c r="B72" s="330"/>
      <c r="C72" s="330"/>
      <c r="D72" s="330"/>
      <c r="E72" s="330"/>
      <c r="F72" s="330"/>
      <c r="G72" s="330"/>
      <c r="H72" s="331"/>
      <c r="I72" s="329"/>
      <c r="J72" s="330"/>
      <c r="K72" s="331"/>
      <c r="L72" s="81">
        <v>2</v>
      </c>
      <c r="M72" s="344"/>
      <c r="N72" s="344"/>
      <c r="O72" s="344"/>
      <c r="P72" s="344"/>
      <c r="Q72" s="7"/>
      <c r="R72" s="7"/>
      <c r="S72" s="7"/>
      <c r="T72" s="7"/>
      <c r="U72" s="7"/>
      <c r="V72" s="28"/>
    </row>
    <row r="73" spans="1:22" x14ac:dyDescent="0.3">
      <c r="L73" s="81">
        <v>3</v>
      </c>
      <c r="M73" s="344"/>
      <c r="N73" s="344"/>
      <c r="O73" s="344"/>
      <c r="P73" s="344"/>
      <c r="Q73" s="7"/>
      <c r="R73" s="7"/>
      <c r="S73" s="7"/>
      <c r="T73" s="7"/>
      <c r="U73" s="7"/>
      <c r="V73" s="28"/>
    </row>
    <row r="74" spans="1:22" x14ac:dyDescent="0.3">
      <c r="A74" s="74" t="s">
        <v>355</v>
      </c>
      <c r="B74" s="75"/>
      <c r="C74" s="75"/>
      <c r="D74" s="75"/>
      <c r="E74" s="75"/>
      <c r="F74" s="75"/>
      <c r="G74" s="75"/>
      <c r="H74" s="75"/>
      <c r="I74" s="75"/>
      <c r="J74" s="75"/>
      <c r="K74" s="78"/>
      <c r="L74" s="152">
        <v>4</v>
      </c>
      <c r="M74" s="344"/>
      <c r="N74" s="344"/>
      <c r="O74" s="344"/>
      <c r="P74" s="344"/>
      <c r="Q74" s="7"/>
      <c r="R74" s="83" t="s">
        <v>10</v>
      </c>
      <c r="S74" s="72"/>
      <c r="T74" s="72"/>
      <c r="U74" s="72"/>
      <c r="V74" s="73"/>
    </row>
    <row r="75" spans="1:22" x14ac:dyDescent="0.3">
      <c r="A75" s="27"/>
      <c r="B75" s="7"/>
      <c r="C75" s="7"/>
      <c r="D75" s="7"/>
      <c r="E75" s="7"/>
      <c r="F75" s="7"/>
      <c r="G75" s="7"/>
      <c r="H75" s="7"/>
      <c r="I75" s="7"/>
      <c r="J75" s="7"/>
      <c r="K75" s="28"/>
      <c r="L75" s="27"/>
      <c r="M75" s="7"/>
      <c r="N75" s="7"/>
      <c r="O75" s="7"/>
      <c r="P75" s="7"/>
      <c r="Q75" s="7"/>
      <c r="R75" s="358" t="s">
        <v>294</v>
      </c>
      <c r="S75" s="358"/>
      <c r="T75" s="359" t="str">
        <f>+IF('WORKCELL CONFIGURATOR'!H35="N","N/A","")</f>
        <v>N/A</v>
      </c>
      <c r="U75" s="360"/>
      <c r="V75" s="361"/>
    </row>
    <row r="76" spans="1:22" x14ac:dyDescent="0.3">
      <c r="A76" s="54" t="s">
        <v>222</v>
      </c>
      <c r="B76" s="55" t="s">
        <v>287</v>
      </c>
      <c r="C76" s="55"/>
      <c r="D76" s="55"/>
      <c r="E76" s="55"/>
      <c r="F76" s="56" t="s">
        <v>222</v>
      </c>
      <c r="G76" s="70" t="s">
        <v>286</v>
      </c>
      <c r="H76" s="7"/>
      <c r="I76" s="70"/>
      <c r="J76" s="7"/>
      <c r="K76" s="28"/>
      <c r="L76" s="83" t="s">
        <v>267</v>
      </c>
      <c r="M76" s="72"/>
      <c r="N76" s="72"/>
      <c r="O76" s="72"/>
      <c r="P76" s="73"/>
      <c r="Q76" s="7"/>
      <c r="R76" s="358"/>
      <c r="S76" s="358"/>
      <c r="T76" s="362"/>
      <c r="U76" s="363"/>
      <c r="V76" s="364"/>
    </row>
    <row r="77" spans="1:22" x14ac:dyDescent="0.3">
      <c r="A77" s="54" t="s">
        <v>222</v>
      </c>
      <c r="B77" s="55" t="s">
        <v>304</v>
      </c>
      <c r="C77" s="55"/>
      <c r="D77" s="55"/>
      <c r="E77" s="55"/>
      <c r="F77" s="54"/>
      <c r="G77" s="55"/>
      <c r="H77" s="55"/>
      <c r="I77" s="55"/>
      <c r="J77" s="7"/>
      <c r="K77" s="79"/>
      <c r="L77" s="82" t="s">
        <v>187</v>
      </c>
      <c r="M77" s="373" t="s">
        <v>215</v>
      </c>
      <c r="N77" s="373"/>
      <c r="O77" s="373"/>
      <c r="P77" s="373"/>
      <c r="Q77" s="7"/>
      <c r="R77" s="358" t="s">
        <v>295</v>
      </c>
      <c r="S77" s="358"/>
      <c r="T77" s="359" t="str">
        <f>+IF('WORKCELL CONFIGURATOR'!H35="N","N/A","")</f>
        <v>N/A</v>
      </c>
      <c r="U77" s="360"/>
      <c r="V77" s="361"/>
    </row>
    <row r="78" spans="1:22" x14ac:dyDescent="0.3">
      <c r="A78" s="27"/>
      <c r="B78" s="7"/>
      <c r="C78" s="7"/>
      <c r="D78" s="7"/>
      <c r="E78" s="7"/>
      <c r="F78" s="7"/>
      <c r="G78" s="7"/>
      <c r="H78" s="7"/>
      <c r="I78" s="7"/>
      <c r="J78" s="70"/>
      <c r="K78" s="28"/>
      <c r="L78" s="81"/>
      <c r="M78" s="366"/>
      <c r="N78" s="366"/>
      <c r="O78" s="366"/>
      <c r="P78" s="366"/>
      <c r="Q78" s="33"/>
      <c r="R78" s="358"/>
      <c r="S78" s="358"/>
      <c r="T78" s="362"/>
      <c r="U78" s="363"/>
      <c r="V78" s="364"/>
    </row>
    <row r="79" spans="1:22" x14ac:dyDescent="0.3">
      <c r="A79" s="326" t="s">
        <v>231</v>
      </c>
      <c r="B79" s="327"/>
      <c r="C79" s="327"/>
      <c r="D79" s="327"/>
      <c r="E79" s="327"/>
      <c r="F79" s="327"/>
      <c r="G79" s="327"/>
      <c r="H79" s="328"/>
      <c r="I79" s="326" t="s">
        <v>168</v>
      </c>
      <c r="J79" s="327"/>
      <c r="K79" s="328"/>
    </row>
    <row r="80" spans="1:22" x14ac:dyDescent="0.3">
      <c r="A80" s="329"/>
      <c r="B80" s="330"/>
      <c r="C80" s="330"/>
      <c r="D80" s="330"/>
      <c r="E80" s="330"/>
      <c r="F80" s="330"/>
      <c r="G80" s="330"/>
      <c r="H80" s="331"/>
      <c r="I80" s="329"/>
      <c r="J80" s="330"/>
      <c r="K80" s="331"/>
    </row>
    <row r="94" spans="1:22" x14ac:dyDescent="0.3">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pageSetUpPr fitToPage="1"/>
  </sheetPr>
  <dimension ref="A1:K27"/>
  <sheetViews>
    <sheetView tabSelected="1" topLeftCell="A7" workbookViewId="0">
      <selection activeCell="R24" sqref="R24"/>
    </sheetView>
  </sheetViews>
  <sheetFormatPr defaultRowHeight="14.4" x14ac:dyDescent="0.3"/>
  <cols>
    <col min="1" max="1" width="12.109375" customWidth="1"/>
    <col min="2" max="3" width="9.109375" customWidth="1"/>
    <col min="4" max="4" width="10.5546875" customWidth="1"/>
    <col min="7" max="7" width="9.109375" customWidth="1"/>
    <col min="8" max="8" width="14.6640625" customWidth="1"/>
    <col min="9" max="9" width="10.88671875" customWidth="1"/>
    <col min="10" max="10" width="9.109375" customWidth="1"/>
    <col min="11" max="11" width="9.88671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3">
      <c r="A4" s="3" t="str">
        <f>+'WORKCELL BOM'!L2</f>
        <v>JBIL4735</v>
      </c>
      <c r="B4" s="3" t="str">
        <f>+'WORKCELL BOM'!L3</f>
        <v>A1028</v>
      </c>
      <c r="C4" s="3" t="str">
        <f>+'WORKCELL CONFIGURATOR'!H4</f>
        <v>Delta 8</v>
      </c>
      <c r="D4" s="3" t="str">
        <f>+CONCATENATE("123-",'WORKCELL CONFIGURATOR'!I53)</f>
        <v>123-A1028</v>
      </c>
      <c r="E4" s="92">
        <f ca="1">+TODAY()</f>
        <v>42800</v>
      </c>
      <c r="F4" s="3" t="str">
        <f>+IF('WORKCELL CONFIGURATOR'!H5=Data!C5,"200-240V","100-120V")</f>
        <v>200-240V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665</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426720</xdr:colOff>
                <xdr:row>18</xdr:row>
                <xdr:rowOff>7620</xdr:rowOff>
              </from>
              <to>
                <xdr:col>5</xdr:col>
                <xdr:colOff>121920</xdr:colOff>
                <xdr:row>21</xdr:row>
                <xdr:rowOff>60960</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601980</xdr:colOff>
                <xdr:row>11</xdr:row>
                <xdr:rowOff>144780</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83820</xdr:rowOff>
              </from>
              <to>
                <xdr:col>6</xdr:col>
                <xdr:colOff>60960</xdr:colOff>
                <xdr:row>30</xdr:row>
                <xdr:rowOff>30480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4.4" x14ac:dyDescent="0.3"/>
  <cols>
    <col min="1" max="2" width="24.44140625" customWidth="1"/>
    <col min="3" max="3" width="22" bestFit="1" customWidth="1"/>
    <col min="4" max="4" width="22.6640625" bestFit="1" customWidth="1"/>
    <col min="5" max="6" width="21" customWidth="1"/>
    <col min="7" max="7" width="29.332031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ht="15" x14ac:dyDescent="0.25">
      <c r="A3" s="6" t="s">
        <v>25</v>
      </c>
      <c r="B3" s="6" t="s">
        <v>102</v>
      </c>
      <c r="C3" s="6" t="s">
        <v>21</v>
      </c>
      <c r="D3" s="13" t="s">
        <v>24</v>
      </c>
      <c r="E3" t="s">
        <v>23</v>
      </c>
      <c r="G3" s="6"/>
    </row>
    <row r="4" spans="1:7" ht="15" x14ac:dyDescent="0.25">
      <c r="A4" s="6" t="s">
        <v>37</v>
      </c>
      <c r="B4" s="6" t="s">
        <v>37</v>
      </c>
      <c r="C4" s="6" t="s">
        <v>21</v>
      </c>
      <c r="D4" s="13" t="s">
        <v>100</v>
      </c>
      <c r="G4" s="6"/>
    </row>
    <row r="5" spans="1:7" ht="15" x14ac:dyDescent="0.25">
      <c r="A5" s="6" t="s">
        <v>101</v>
      </c>
      <c r="B5" s="6" t="s">
        <v>103</v>
      </c>
      <c r="C5" s="6" t="s">
        <v>25</v>
      </c>
      <c r="D5" s="13" t="s">
        <v>26</v>
      </c>
      <c r="E5" t="s">
        <v>27</v>
      </c>
      <c r="G5" s="6"/>
    </row>
    <row r="6" spans="1:7" ht="15" x14ac:dyDescent="0.25">
      <c r="A6" s="6" t="s">
        <v>50</v>
      </c>
      <c r="B6" s="6" t="s">
        <v>50</v>
      </c>
      <c r="C6" s="6" t="s">
        <v>25</v>
      </c>
      <c r="D6" s="13" t="s">
        <v>28</v>
      </c>
      <c r="E6" t="s">
        <v>27</v>
      </c>
      <c r="G6" s="6"/>
    </row>
    <row r="7" spans="1:7" ht="15" x14ac:dyDescent="0.25">
      <c r="A7" s="6" t="s">
        <v>57</v>
      </c>
      <c r="B7" s="6" t="s">
        <v>104</v>
      </c>
      <c r="C7" s="6" t="s">
        <v>25</v>
      </c>
      <c r="D7" s="13" t="s">
        <v>29</v>
      </c>
      <c r="E7" t="s">
        <v>27</v>
      </c>
      <c r="G7" s="6"/>
    </row>
    <row r="8" spans="1:7" ht="15" x14ac:dyDescent="0.25">
      <c r="A8" t="s">
        <v>60</v>
      </c>
      <c r="B8" t="s">
        <v>60</v>
      </c>
      <c r="C8" s="6" t="s">
        <v>25</v>
      </c>
      <c r="D8" s="13" t="s">
        <v>30</v>
      </c>
      <c r="E8" t="s">
        <v>27</v>
      </c>
      <c r="G8" s="6"/>
    </row>
    <row r="9" spans="1:7" ht="15" x14ac:dyDescent="0.25">
      <c r="A9" t="s">
        <v>88</v>
      </c>
      <c r="B9" t="s">
        <v>88</v>
      </c>
      <c r="C9" s="6" t="s">
        <v>25</v>
      </c>
      <c r="D9" s="13" t="s">
        <v>31</v>
      </c>
      <c r="E9" t="s">
        <v>32</v>
      </c>
      <c r="G9" s="6" t="s">
        <v>33</v>
      </c>
    </row>
    <row r="10" spans="1:7" ht="15" x14ac:dyDescent="0.25">
      <c r="A10" t="s">
        <v>100</v>
      </c>
      <c r="B10" t="s">
        <v>100</v>
      </c>
      <c r="C10" s="6" t="s">
        <v>25</v>
      </c>
      <c r="D10" s="13" t="s">
        <v>34</v>
      </c>
      <c r="E10" t="s">
        <v>27</v>
      </c>
      <c r="G10" s="6" t="s">
        <v>35</v>
      </c>
    </row>
    <row r="11" spans="1:7" ht="15" x14ac:dyDescent="0.25">
      <c r="A11" s="6"/>
      <c r="B11" s="6"/>
      <c r="C11" s="6" t="s">
        <v>25</v>
      </c>
      <c r="D11" s="13" t="s">
        <v>36</v>
      </c>
      <c r="E11" t="s">
        <v>27</v>
      </c>
      <c r="G11" s="6" t="s">
        <v>35</v>
      </c>
    </row>
    <row r="12" spans="1:7" ht="15" x14ac:dyDescent="0.25">
      <c r="B12" s="6"/>
      <c r="C12" s="6" t="s">
        <v>25</v>
      </c>
      <c r="D12" s="13" t="s">
        <v>100</v>
      </c>
      <c r="G12" s="6"/>
    </row>
    <row r="13" spans="1:7" ht="15" x14ac:dyDescent="0.25">
      <c r="C13" s="6" t="s">
        <v>37</v>
      </c>
      <c r="D13" s="13" t="s">
        <v>38</v>
      </c>
      <c r="E13" t="s">
        <v>27</v>
      </c>
      <c r="G13" s="6"/>
    </row>
    <row r="14" spans="1:7" ht="15" x14ac:dyDescent="0.25">
      <c r="B14" s="6"/>
      <c r="C14" s="6" t="s">
        <v>37</v>
      </c>
      <c r="D14" s="13" t="s">
        <v>39</v>
      </c>
      <c r="E14" t="s">
        <v>27</v>
      </c>
      <c r="G14" s="6"/>
    </row>
    <row r="15" spans="1:7" ht="15" x14ac:dyDescent="0.25">
      <c r="B15" s="6"/>
      <c r="C15" s="6" t="s">
        <v>37</v>
      </c>
      <c r="D15" s="13" t="s">
        <v>40</v>
      </c>
      <c r="E15" t="s">
        <v>27</v>
      </c>
      <c r="G15" s="6"/>
    </row>
    <row r="16" spans="1:7" ht="15" x14ac:dyDescent="0.25">
      <c r="B16" s="6"/>
      <c r="C16" s="6" t="s">
        <v>37</v>
      </c>
      <c r="D16" s="13" t="s">
        <v>41</v>
      </c>
      <c r="E16" t="s">
        <v>27</v>
      </c>
      <c r="G16" s="6"/>
    </row>
    <row r="17" spans="1:7" ht="15" x14ac:dyDescent="0.25">
      <c r="B17" s="6"/>
      <c r="C17" s="6" t="s">
        <v>37</v>
      </c>
      <c r="D17" s="13" t="s">
        <v>42</v>
      </c>
      <c r="E17" t="s">
        <v>27</v>
      </c>
      <c r="G17" s="6"/>
    </row>
    <row r="18" spans="1:7" ht="15" x14ac:dyDescent="0.25">
      <c r="A18" s="6"/>
      <c r="B18" s="6"/>
      <c r="C18" s="6" t="s">
        <v>37</v>
      </c>
      <c r="D18" s="13" t="s">
        <v>43</v>
      </c>
      <c r="E18" t="s">
        <v>27</v>
      </c>
      <c r="G18" s="6"/>
    </row>
    <row r="19" spans="1:7" ht="15" x14ac:dyDescent="0.25">
      <c r="B19" s="6"/>
      <c r="C19" s="6" t="s">
        <v>37</v>
      </c>
      <c r="D19" s="13" t="s">
        <v>44</v>
      </c>
      <c r="E19" t="s">
        <v>27</v>
      </c>
      <c r="G19" s="6"/>
    </row>
    <row r="20" spans="1:7" ht="15" x14ac:dyDescent="0.25">
      <c r="B20" s="6"/>
      <c r="C20" s="6" t="s">
        <v>37</v>
      </c>
      <c r="D20" s="13" t="s">
        <v>100</v>
      </c>
      <c r="G20" s="6"/>
    </row>
    <row r="21" spans="1:7" ht="15" x14ac:dyDescent="0.25">
      <c r="C21" s="6" t="s">
        <v>101</v>
      </c>
      <c r="D21" s="13" t="s">
        <v>45</v>
      </c>
      <c r="E21" t="s">
        <v>23</v>
      </c>
      <c r="G21" s="6"/>
    </row>
    <row r="22" spans="1:7" ht="15" x14ac:dyDescent="0.25">
      <c r="B22" s="6"/>
      <c r="C22" s="6" t="s">
        <v>101</v>
      </c>
      <c r="D22" s="13" t="s">
        <v>46</v>
      </c>
      <c r="E22" t="s">
        <v>23</v>
      </c>
      <c r="G22" s="6"/>
    </row>
    <row r="23" spans="1:7" ht="15" x14ac:dyDescent="0.25">
      <c r="A23" s="6"/>
      <c r="B23" s="6"/>
      <c r="C23" s="6" t="s">
        <v>101</v>
      </c>
      <c r="D23" s="13" t="s">
        <v>47</v>
      </c>
      <c r="E23" t="s">
        <v>23</v>
      </c>
      <c r="G23" s="6"/>
    </row>
    <row r="24" spans="1:7" ht="15" x14ac:dyDescent="0.25">
      <c r="B24" s="6"/>
      <c r="C24" s="6" t="s">
        <v>101</v>
      </c>
      <c r="D24" s="13" t="s">
        <v>48</v>
      </c>
      <c r="E24" t="s">
        <v>23</v>
      </c>
      <c r="G24" s="6"/>
    </row>
    <row r="25" spans="1:7" ht="15" x14ac:dyDescent="0.25">
      <c r="B25" s="6"/>
      <c r="C25" s="6" t="s">
        <v>101</v>
      </c>
      <c r="D25" s="13" t="s">
        <v>49</v>
      </c>
      <c r="E25" t="s">
        <v>23</v>
      </c>
      <c r="G25" s="6"/>
    </row>
    <row r="26" spans="1:7" ht="15" x14ac:dyDescent="0.25">
      <c r="B26" s="6"/>
      <c r="C26" s="6" t="s">
        <v>101</v>
      </c>
      <c r="D26" s="13" t="s">
        <v>100</v>
      </c>
      <c r="G26" s="6"/>
    </row>
    <row r="27" spans="1:7" ht="15" x14ac:dyDescent="0.25">
      <c r="C27" s="6" t="s">
        <v>50</v>
      </c>
      <c r="D27" s="13" t="s">
        <v>51</v>
      </c>
      <c r="E27" t="s">
        <v>23</v>
      </c>
      <c r="G27" s="6"/>
    </row>
    <row r="28" spans="1:7" ht="15" x14ac:dyDescent="0.25">
      <c r="B28" s="6"/>
      <c r="C28" s="6" t="s">
        <v>50</v>
      </c>
      <c r="D28" s="13" t="s">
        <v>52</v>
      </c>
      <c r="E28" t="s">
        <v>23</v>
      </c>
      <c r="G28" s="6"/>
    </row>
    <row r="29" spans="1:7" x14ac:dyDescent="0.3">
      <c r="A29" s="6"/>
      <c r="B29" s="6"/>
      <c r="C29" s="6" t="s">
        <v>50</v>
      </c>
      <c r="D29" s="13" t="s">
        <v>53</v>
      </c>
      <c r="E29" t="s">
        <v>27</v>
      </c>
      <c r="G29" s="6"/>
    </row>
    <row r="30" spans="1:7" x14ac:dyDescent="0.3">
      <c r="B30" s="6"/>
      <c r="C30" s="6" t="s">
        <v>50</v>
      </c>
      <c r="D30" s="13" t="s">
        <v>54</v>
      </c>
      <c r="E30" t="s">
        <v>23</v>
      </c>
      <c r="G30" s="6"/>
    </row>
    <row r="31" spans="1:7" x14ac:dyDescent="0.3">
      <c r="B31" s="6"/>
      <c r="C31" s="6" t="s">
        <v>50</v>
      </c>
      <c r="D31" s="13" t="s">
        <v>55</v>
      </c>
      <c r="E31" t="s">
        <v>27</v>
      </c>
      <c r="G31" s="6"/>
    </row>
    <row r="32" spans="1:7" x14ac:dyDescent="0.3">
      <c r="B32" s="6"/>
      <c r="C32" s="6" t="s">
        <v>50</v>
      </c>
      <c r="D32" s="13" t="s">
        <v>56</v>
      </c>
      <c r="E32" t="s">
        <v>27</v>
      </c>
      <c r="G32" s="6"/>
    </row>
    <row r="33" spans="2:7" x14ac:dyDescent="0.3">
      <c r="B33" s="6"/>
      <c r="C33" s="6" t="s">
        <v>50</v>
      </c>
      <c r="D33" s="13" t="s">
        <v>206</v>
      </c>
      <c r="E33" t="s">
        <v>27</v>
      </c>
      <c r="G33" s="6"/>
    </row>
    <row r="34" spans="2:7" x14ac:dyDescent="0.3">
      <c r="B34" s="6"/>
      <c r="C34" s="6" t="s">
        <v>50</v>
      </c>
      <c r="D34" s="13" t="s">
        <v>100</v>
      </c>
      <c r="G34" s="6"/>
    </row>
    <row r="35" spans="2:7" x14ac:dyDescent="0.3">
      <c r="C35" s="6" t="s">
        <v>57</v>
      </c>
      <c r="D35" s="14">
        <v>5293</v>
      </c>
      <c r="E35" t="s">
        <v>27</v>
      </c>
      <c r="G35" s="6"/>
    </row>
    <row r="36" spans="2:7" x14ac:dyDescent="0.3">
      <c r="B36" s="6"/>
      <c r="C36" s="6" t="s">
        <v>57</v>
      </c>
      <c r="D36" s="13" t="s">
        <v>58</v>
      </c>
      <c r="E36" t="s">
        <v>27</v>
      </c>
      <c r="G36" s="6"/>
    </row>
    <row r="37" spans="2:7" x14ac:dyDescent="0.3">
      <c r="B37" s="6"/>
      <c r="C37" s="6" t="s">
        <v>57</v>
      </c>
      <c r="D37" s="13" t="s">
        <v>59</v>
      </c>
      <c r="E37" t="s">
        <v>27</v>
      </c>
      <c r="G37" s="6"/>
    </row>
    <row r="38" spans="2:7" x14ac:dyDescent="0.3">
      <c r="B38" s="6"/>
      <c r="C38" s="6" t="s">
        <v>57</v>
      </c>
      <c r="D38" s="13" t="s">
        <v>100</v>
      </c>
      <c r="G38" s="6"/>
    </row>
    <row r="39" spans="2:7" x14ac:dyDescent="0.3">
      <c r="C39" t="s">
        <v>60</v>
      </c>
      <c r="D39" s="15" t="s">
        <v>61</v>
      </c>
      <c r="E39" t="s">
        <v>23</v>
      </c>
    </row>
    <row r="40" spans="2:7" x14ac:dyDescent="0.3">
      <c r="C40" t="s">
        <v>60</v>
      </c>
      <c r="D40" s="15" t="s">
        <v>62</v>
      </c>
      <c r="E40" t="s">
        <v>23</v>
      </c>
    </row>
    <row r="41" spans="2:7" x14ac:dyDescent="0.3">
      <c r="C41" t="s">
        <v>60</v>
      </c>
      <c r="D41" s="15" t="s">
        <v>63</v>
      </c>
      <c r="E41" t="s">
        <v>23</v>
      </c>
    </row>
    <row r="42" spans="2:7" x14ac:dyDescent="0.3">
      <c r="C42" t="s">
        <v>60</v>
      </c>
      <c r="D42" s="15" t="s">
        <v>64</v>
      </c>
      <c r="E42" t="s">
        <v>32</v>
      </c>
      <c r="G42" t="s">
        <v>65</v>
      </c>
    </row>
    <row r="43" spans="2:7" x14ac:dyDescent="0.3">
      <c r="C43" t="s">
        <v>60</v>
      </c>
      <c r="D43" s="16" t="s">
        <v>66</v>
      </c>
      <c r="E43" t="s">
        <v>67</v>
      </c>
    </row>
    <row r="44" spans="2:7" x14ac:dyDescent="0.3">
      <c r="C44" t="s">
        <v>60</v>
      </c>
      <c r="D44" s="16" t="s">
        <v>68</v>
      </c>
      <c r="E44" t="s">
        <v>32</v>
      </c>
      <c r="G44" t="s">
        <v>69</v>
      </c>
    </row>
    <row r="45" spans="2:7" x14ac:dyDescent="0.3">
      <c r="C45" t="s">
        <v>60</v>
      </c>
      <c r="D45" s="16" t="s">
        <v>70</v>
      </c>
      <c r="E45" t="s">
        <v>67</v>
      </c>
    </row>
    <row r="46" spans="2:7" x14ac:dyDescent="0.3">
      <c r="C46" t="s">
        <v>60</v>
      </c>
      <c r="D46" s="16" t="s">
        <v>71</v>
      </c>
      <c r="E46" t="s">
        <v>67</v>
      </c>
    </row>
    <row r="47" spans="2:7" x14ac:dyDescent="0.3">
      <c r="C47" t="s">
        <v>60</v>
      </c>
      <c r="D47" s="16" t="s">
        <v>72</v>
      </c>
      <c r="E47" t="s">
        <v>67</v>
      </c>
    </row>
    <row r="48" spans="2:7" x14ac:dyDescent="0.3">
      <c r="C48" t="s">
        <v>60</v>
      </c>
      <c r="D48" s="16" t="s">
        <v>73</v>
      </c>
      <c r="E48" t="s">
        <v>67</v>
      </c>
    </row>
    <row r="49" spans="3:7" x14ac:dyDescent="0.3">
      <c r="C49" t="s">
        <v>60</v>
      </c>
      <c r="D49" s="16" t="s">
        <v>74</v>
      </c>
      <c r="E49" t="s">
        <v>67</v>
      </c>
    </row>
    <row r="50" spans="3:7" x14ac:dyDescent="0.3">
      <c r="C50" t="s">
        <v>60</v>
      </c>
      <c r="D50" s="16" t="s">
        <v>75</v>
      </c>
      <c r="E50" t="s">
        <v>76</v>
      </c>
      <c r="G50" t="s">
        <v>69</v>
      </c>
    </row>
    <row r="51" spans="3:7" x14ac:dyDescent="0.3">
      <c r="C51" t="s">
        <v>60</v>
      </c>
      <c r="D51" s="15" t="s">
        <v>77</v>
      </c>
      <c r="E51" t="s">
        <v>23</v>
      </c>
    </row>
    <row r="52" spans="3:7" x14ac:dyDescent="0.3">
      <c r="C52" t="s">
        <v>60</v>
      </c>
      <c r="D52" s="15" t="s">
        <v>78</v>
      </c>
      <c r="E52" t="s">
        <v>23</v>
      </c>
    </row>
    <row r="53" spans="3:7" x14ac:dyDescent="0.3">
      <c r="C53" t="s">
        <v>60</v>
      </c>
      <c r="D53" s="15" t="s">
        <v>79</v>
      </c>
      <c r="E53" t="s">
        <v>27</v>
      </c>
    </row>
    <row r="54" spans="3:7" x14ac:dyDescent="0.3">
      <c r="C54" t="s">
        <v>60</v>
      </c>
      <c r="D54" s="15" t="s">
        <v>80</v>
      </c>
      <c r="E54" t="s">
        <v>27</v>
      </c>
      <c r="G54" t="s">
        <v>81</v>
      </c>
    </row>
    <row r="55" spans="3:7" x14ac:dyDescent="0.3">
      <c r="C55" t="s">
        <v>60</v>
      </c>
      <c r="D55" s="15" t="s">
        <v>82</v>
      </c>
      <c r="E55" t="s">
        <v>27</v>
      </c>
      <c r="G55" t="s">
        <v>83</v>
      </c>
    </row>
    <row r="56" spans="3:7" x14ac:dyDescent="0.3">
      <c r="C56" t="s">
        <v>60</v>
      </c>
      <c r="D56" s="15" t="s">
        <v>84</v>
      </c>
      <c r="E56" t="s">
        <v>27</v>
      </c>
    </row>
    <row r="57" spans="3:7" x14ac:dyDescent="0.3">
      <c r="C57" t="s">
        <v>60</v>
      </c>
      <c r="D57" s="15" t="s">
        <v>85</v>
      </c>
      <c r="E57" t="s">
        <v>32</v>
      </c>
      <c r="G57" t="s">
        <v>69</v>
      </c>
    </row>
    <row r="58" spans="3:7" x14ac:dyDescent="0.3">
      <c r="C58" t="s">
        <v>60</v>
      </c>
      <c r="D58" s="15" t="s">
        <v>86</v>
      </c>
      <c r="E58" t="s">
        <v>27</v>
      </c>
    </row>
    <row r="59" spans="3:7" x14ac:dyDescent="0.3">
      <c r="C59" t="s">
        <v>60</v>
      </c>
      <c r="D59" s="15" t="s">
        <v>87</v>
      </c>
      <c r="E59" t="s">
        <v>27</v>
      </c>
    </row>
    <row r="60" spans="3:7" x14ac:dyDescent="0.3">
      <c r="C60" t="s">
        <v>60</v>
      </c>
      <c r="D60" s="15" t="s">
        <v>100</v>
      </c>
    </row>
    <row r="61" spans="3:7" x14ac:dyDescent="0.3">
      <c r="C61" t="s">
        <v>88</v>
      </c>
      <c r="D61" s="16" t="s">
        <v>89</v>
      </c>
      <c r="E61" t="s">
        <v>23</v>
      </c>
    </row>
    <row r="62" spans="3:7" x14ac:dyDescent="0.3">
      <c r="C62" t="s">
        <v>88</v>
      </c>
      <c r="D62" s="16" t="s">
        <v>90</v>
      </c>
      <c r="E62" t="s">
        <v>23</v>
      </c>
    </row>
    <row r="63" spans="3:7" x14ac:dyDescent="0.3">
      <c r="C63" t="s">
        <v>88</v>
      </c>
      <c r="D63" s="16" t="s">
        <v>91</v>
      </c>
      <c r="E63" t="s">
        <v>27</v>
      </c>
    </row>
    <row r="64" spans="3:7" x14ac:dyDescent="0.3">
      <c r="C64" t="s">
        <v>88</v>
      </c>
      <c r="D64" s="16" t="s">
        <v>92</v>
      </c>
      <c r="E64" t="s">
        <v>23</v>
      </c>
    </row>
    <row r="65" spans="3:7" x14ac:dyDescent="0.3">
      <c r="C65" t="s">
        <v>88</v>
      </c>
      <c r="D65" s="16" t="s">
        <v>93</v>
      </c>
      <c r="E65" t="s">
        <v>76</v>
      </c>
      <c r="G65" t="s">
        <v>69</v>
      </c>
    </row>
    <row r="66" spans="3:7" x14ac:dyDescent="0.3">
      <c r="C66" t="s">
        <v>88</v>
      </c>
      <c r="D66" s="16" t="s">
        <v>94</v>
      </c>
      <c r="E66" t="s">
        <v>23</v>
      </c>
    </row>
    <row r="67" spans="3:7" x14ac:dyDescent="0.3">
      <c r="C67" t="s">
        <v>88</v>
      </c>
      <c r="D67" s="16" t="s">
        <v>95</v>
      </c>
      <c r="E67" t="s">
        <v>27</v>
      </c>
    </row>
    <row r="68" spans="3:7" x14ac:dyDescent="0.3">
      <c r="C68" t="s">
        <v>88</v>
      </c>
      <c r="D68" s="16" t="s">
        <v>96</v>
      </c>
      <c r="E68" t="s">
        <v>27</v>
      </c>
    </row>
    <row r="69" spans="3:7" x14ac:dyDescent="0.3">
      <c r="C69" t="s">
        <v>88</v>
      </c>
      <c r="D69" s="16" t="s">
        <v>97</v>
      </c>
      <c r="E69" t="s">
        <v>27</v>
      </c>
    </row>
    <row r="70" spans="3:7" x14ac:dyDescent="0.3">
      <c r="C70" t="s">
        <v>88</v>
      </c>
      <c r="D70" s="16" t="s">
        <v>100</v>
      </c>
    </row>
    <row r="71" spans="3:7" x14ac:dyDescent="0.3">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09375" defaultRowHeight="14.4" x14ac:dyDescent="0.3"/>
  <cols>
    <col min="1" max="1" width="9.109375" style="3"/>
    <col min="2" max="2" width="13.33203125" style="3" bestFit="1" customWidth="1"/>
    <col min="3" max="3" width="19.44140625" style="3" bestFit="1" customWidth="1"/>
    <col min="4" max="4" width="39.44140625" style="3" customWidth="1"/>
    <col min="5" max="5" width="18.33203125" style="3" bestFit="1" customWidth="1"/>
    <col min="6" max="8" width="9.109375" style="3"/>
    <col min="9" max="9" width="19.33203125" style="3" bestFit="1" customWidth="1"/>
    <col min="10" max="10" width="14.88671875" style="3" customWidth="1"/>
    <col min="11" max="16384" width="9.10937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81" t="s">
        <v>464</v>
      </c>
      <c r="C11" s="281"/>
      <c r="E11" s="281" t="s">
        <v>465</v>
      </c>
      <c r="F11" s="281"/>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63" t="s">
        <v>475</v>
      </c>
      <c r="C16" s="363"/>
      <c r="D16" s="363"/>
      <c r="E16" s="363"/>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4.4" x14ac:dyDescent="0.3"/>
  <cols>
    <col min="1" max="1" width="10.44140625" customWidth="1"/>
    <col min="2" max="2" width="60.6640625" style="10" customWidth="1"/>
    <col min="3" max="3" width="11.441406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t="15" hidden="1" x14ac:dyDescent="0.25">
      <c r="A3" s="98">
        <v>1</v>
      </c>
      <c r="B3" s="10" t="s">
        <v>421</v>
      </c>
      <c r="C3" s="89" t="s">
        <v>313</v>
      </c>
    </row>
    <row r="4" spans="1:3" ht="15"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t="15" hidden="1" x14ac:dyDescent="0.25">
      <c r="A7" s="180">
        <v>1</v>
      </c>
      <c r="B7" s="10" t="s">
        <v>514</v>
      </c>
      <c r="C7" s="89" t="s">
        <v>313</v>
      </c>
    </row>
    <row r="8" spans="1:3" ht="15" hidden="1" x14ac:dyDescent="0.25">
      <c r="A8" s="180">
        <v>2</v>
      </c>
      <c r="B8" s="10" t="s">
        <v>516</v>
      </c>
      <c r="C8" s="89" t="s">
        <v>313</v>
      </c>
    </row>
    <row r="9" spans="1:3" ht="15" hidden="1" x14ac:dyDescent="0.25">
      <c r="A9" s="180">
        <v>3</v>
      </c>
      <c r="B9" s="10" t="s">
        <v>517</v>
      </c>
      <c r="C9" s="89" t="s">
        <v>313</v>
      </c>
    </row>
    <row r="10" spans="1:3" ht="15"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t="15" hidden="1" x14ac:dyDescent="0.25">
      <c r="A13" s="188">
        <v>1</v>
      </c>
      <c r="B13" s="10" t="s">
        <v>529</v>
      </c>
      <c r="C13" s="89" t="s">
        <v>313</v>
      </c>
    </row>
    <row r="14" spans="1:3" ht="15" hidden="1" x14ac:dyDescent="0.25">
      <c r="A14" s="188">
        <v>2</v>
      </c>
      <c r="B14" s="10" t="s">
        <v>530</v>
      </c>
      <c r="C14" s="89" t="s">
        <v>313</v>
      </c>
    </row>
    <row r="15" spans="1:3" ht="15"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t="15" hidden="1" x14ac:dyDescent="0.25">
      <c r="A18" s="136">
        <v>1</v>
      </c>
      <c r="B18" s="10" t="s">
        <v>558</v>
      </c>
      <c r="C18" s="89" t="s">
        <v>313</v>
      </c>
    </row>
    <row r="19" spans="1:3" ht="15" hidden="1" x14ac:dyDescent="0.25">
      <c r="A19" s="136">
        <v>2</v>
      </c>
      <c r="B19" s="10" t="s">
        <v>559</v>
      </c>
      <c r="C19" s="89" t="s">
        <v>313</v>
      </c>
    </row>
    <row r="20" spans="1:3" ht="15" hidden="1" x14ac:dyDescent="0.25">
      <c r="A20" s="136">
        <v>3</v>
      </c>
      <c r="B20" s="10" t="s">
        <v>560</v>
      </c>
      <c r="C20" s="89" t="s">
        <v>313</v>
      </c>
    </row>
    <row r="21" spans="1:3" ht="15" hidden="1" x14ac:dyDescent="0.25">
      <c r="A21" s="179">
        <v>4</v>
      </c>
      <c r="B21" s="10" t="s">
        <v>561</v>
      </c>
      <c r="C21" s="89" t="s">
        <v>313</v>
      </c>
    </row>
    <row r="22" spans="1:3" ht="15" hidden="1" x14ac:dyDescent="0.25">
      <c r="A22" s="179">
        <v>5</v>
      </c>
      <c r="B22" s="10" t="s">
        <v>535</v>
      </c>
      <c r="C22" s="89" t="s">
        <v>313</v>
      </c>
    </row>
    <row r="23" spans="1:3" ht="15" hidden="1" x14ac:dyDescent="0.25">
      <c r="A23" s="180">
        <v>6</v>
      </c>
      <c r="B23" s="10" t="s">
        <v>536</v>
      </c>
      <c r="C23" s="89" t="s">
        <v>313</v>
      </c>
    </row>
    <row r="24" spans="1:3" ht="15" hidden="1" x14ac:dyDescent="0.25">
      <c r="A24" s="193">
        <v>7</v>
      </c>
      <c r="B24" s="10" t="s">
        <v>562</v>
      </c>
      <c r="C24" s="89" t="s">
        <v>313</v>
      </c>
    </row>
    <row r="25" spans="1:3" ht="15" hidden="1" x14ac:dyDescent="0.25">
      <c r="A25" s="193">
        <v>8</v>
      </c>
      <c r="B25" s="10" t="s">
        <v>556</v>
      </c>
      <c r="C25" s="89" t="s">
        <v>313</v>
      </c>
    </row>
    <row r="26" spans="1:3" ht="15" hidden="1" x14ac:dyDescent="0.25">
      <c r="A26" s="193">
        <v>9</v>
      </c>
      <c r="B26" s="10" t="s">
        <v>557</v>
      </c>
      <c r="C26" s="89" t="s">
        <v>313</v>
      </c>
    </row>
    <row r="27" spans="1:3" ht="15"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t="15" hidden="1" x14ac:dyDescent="0.25">
      <c r="A30" s="205">
        <v>1</v>
      </c>
      <c r="B30" s="10" t="s">
        <v>566</v>
      </c>
      <c r="C30" s="89" t="s">
        <v>313</v>
      </c>
    </row>
    <row r="31" spans="1:3" ht="15"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t="15" hidden="1" x14ac:dyDescent="0.25">
      <c r="A34" s="210">
        <v>1</v>
      </c>
      <c r="B34" s="10" t="s">
        <v>568</v>
      </c>
      <c r="C34" s="89" t="s">
        <v>313</v>
      </c>
    </row>
    <row r="35" spans="1:3" ht="15" hidden="1" x14ac:dyDescent="0.25">
      <c r="A35" s="210">
        <v>2</v>
      </c>
      <c r="B35" s="10" t="s">
        <v>572</v>
      </c>
      <c r="C35" s="89" t="s">
        <v>313</v>
      </c>
    </row>
    <row r="36" spans="1:3" ht="15"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t="15" hidden="1" x14ac:dyDescent="0.25">
      <c r="A39" s="213">
        <v>1</v>
      </c>
      <c r="B39" s="10" t="s">
        <v>574</v>
      </c>
      <c r="C39" s="89" t="s">
        <v>313</v>
      </c>
    </row>
    <row r="40" spans="1:3" ht="15"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t="15" hidden="1" x14ac:dyDescent="0.25">
      <c r="A43" s="214">
        <v>1</v>
      </c>
      <c r="B43" s="10" t="s">
        <v>576</v>
      </c>
      <c r="C43" s="89" t="s">
        <v>313</v>
      </c>
    </row>
    <row r="44" spans="1:3" ht="15"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3">
      <c r="A47" s="215">
        <v>1</v>
      </c>
      <c r="B47" s="10" t="s">
        <v>578</v>
      </c>
      <c r="C47" s="89" t="s">
        <v>313</v>
      </c>
    </row>
    <row r="48" spans="1:3" x14ac:dyDescent="0.3">
      <c r="A48" s="215">
        <v>2</v>
      </c>
      <c r="B48" s="10" t="s">
        <v>649</v>
      </c>
      <c r="C48" s="89" t="s">
        <v>313</v>
      </c>
    </row>
    <row r="49" spans="1:3" x14ac:dyDescent="0.3">
      <c r="A49" s="215">
        <v>3</v>
      </c>
      <c r="B49" s="10" t="s">
        <v>579</v>
      </c>
      <c r="C49" s="89" t="s">
        <v>313</v>
      </c>
    </row>
    <row r="50" spans="1:3" x14ac:dyDescent="0.3">
      <c r="A50" s="215">
        <v>4</v>
      </c>
      <c r="B50" s="10" t="s">
        <v>583</v>
      </c>
      <c r="C50" s="89" t="s">
        <v>313</v>
      </c>
    </row>
    <row r="51" spans="1:3" x14ac:dyDescent="0.3">
      <c r="A51" s="215">
        <v>5</v>
      </c>
      <c r="B51" s="10" t="s">
        <v>587</v>
      </c>
      <c r="C51" s="89" t="s">
        <v>313</v>
      </c>
    </row>
    <row r="52" spans="1:3" x14ac:dyDescent="0.3">
      <c r="A52" s="215">
        <v>6</v>
      </c>
      <c r="B52" s="10" t="s">
        <v>650</v>
      </c>
      <c r="C52" s="89" t="s">
        <v>313</v>
      </c>
    </row>
    <row r="53" spans="1:3" x14ac:dyDescent="0.3">
      <c r="A53" s="215">
        <v>7</v>
      </c>
      <c r="B53" s="10" t="s">
        <v>591</v>
      </c>
      <c r="C53" s="89" t="s">
        <v>313</v>
      </c>
    </row>
    <row r="54" spans="1:3" x14ac:dyDescent="0.3">
      <c r="A54" s="215">
        <v>8</v>
      </c>
      <c r="B54" s="10" t="s">
        <v>614</v>
      </c>
      <c r="C54" s="89" t="s">
        <v>313</v>
      </c>
    </row>
    <row r="55" spans="1:3" x14ac:dyDescent="0.3">
      <c r="A55" s="215">
        <v>9</v>
      </c>
      <c r="B55" s="10" t="s">
        <v>615</v>
      </c>
      <c r="C55" s="89" t="s">
        <v>313</v>
      </c>
    </row>
    <row r="56" spans="1:3" x14ac:dyDescent="0.3">
      <c r="A56" s="215">
        <v>10</v>
      </c>
      <c r="B56" s="10" t="s">
        <v>616</v>
      </c>
      <c r="C56" s="89" t="s">
        <v>313</v>
      </c>
    </row>
    <row r="57" spans="1:3" x14ac:dyDescent="0.3">
      <c r="A57" s="215">
        <v>11</v>
      </c>
      <c r="B57" s="10" t="s">
        <v>651</v>
      </c>
      <c r="C57" s="89" t="s">
        <v>313</v>
      </c>
    </row>
    <row r="58" spans="1:3" x14ac:dyDescent="0.3">
      <c r="A58" s="215">
        <v>12</v>
      </c>
      <c r="B58" s="10" t="s">
        <v>620</v>
      </c>
      <c r="C58" s="89" t="s">
        <v>313</v>
      </c>
    </row>
    <row r="59" spans="1:3" x14ac:dyDescent="0.3">
      <c r="A59" s="215">
        <v>13</v>
      </c>
      <c r="B59" s="10" t="s">
        <v>628</v>
      </c>
      <c r="C59" s="89" t="s">
        <v>313</v>
      </c>
    </row>
    <row r="60" spans="1:3" x14ac:dyDescent="0.3">
      <c r="A60" s="215">
        <v>14</v>
      </c>
      <c r="B60" s="10" t="s">
        <v>629</v>
      </c>
      <c r="C60" s="89" t="s">
        <v>313</v>
      </c>
    </row>
    <row r="61" spans="1:3" x14ac:dyDescent="0.3">
      <c r="A61" s="215">
        <v>15</v>
      </c>
      <c r="B61" s="10" t="s">
        <v>635</v>
      </c>
      <c r="C61" s="89" t="s">
        <v>313</v>
      </c>
    </row>
    <row r="62" spans="1:3" x14ac:dyDescent="0.3">
      <c r="A62" s="215">
        <v>16</v>
      </c>
      <c r="B62" s="10" t="s">
        <v>654</v>
      </c>
      <c r="C62" s="89" t="s">
        <v>313</v>
      </c>
    </row>
    <row r="63" spans="1:3" x14ac:dyDescent="0.3">
      <c r="A63" s="215">
        <v>17</v>
      </c>
      <c r="B63" s="10" t="s">
        <v>655</v>
      </c>
      <c r="C63" s="89" t="s">
        <v>313</v>
      </c>
    </row>
    <row r="64" spans="1:3" ht="15"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ht="15" x14ac:dyDescent="0.25">
      <c r="A67" s="101">
        <v>1</v>
      </c>
      <c r="B67" s="10" t="s">
        <v>656</v>
      </c>
      <c r="C67" s="215">
        <v>1</v>
      </c>
    </row>
    <row r="68" spans="1:3" ht="15" x14ac:dyDescent="0.25">
      <c r="A68" s="101">
        <v>2</v>
      </c>
      <c r="B68" s="10" t="s">
        <v>385</v>
      </c>
      <c r="C68" s="215">
        <v>2</v>
      </c>
    </row>
    <row r="69" spans="1:3" ht="15" x14ac:dyDescent="0.25">
      <c r="A69" s="101">
        <v>3</v>
      </c>
      <c r="B69" s="10" t="s">
        <v>384</v>
      </c>
      <c r="C69" s="215">
        <v>3</v>
      </c>
    </row>
    <row r="70" spans="1:3" ht="15" x14ac:dyDescent="0.25">
      <c r="A70" s="101">
        <v>4</v>
      </c>
      <c r="B70" s="10" t="s">
        <v>394</v>
      </c>
      <c r="C70" s="215">
        <v>4</v>
      </c>
    </row>
    <row r="71" spans="1:3" ht="15" x14ac:dyDescent="0.25">
      <c r="A71" s="101">
        <v>5</v>
      </c>
      <c r="B71" s="10" t="s">
        <v>647</v>
      </c>
      <c r="C71" s="204">
        <v>5</v>
      </c>
    </row>
    <row r="72" spans="1:3" ht="15" x14ac:dyDescent="0.25">
      <c r="A72" s="101">
        <v>6</v>
      </c>
    </row>
    <row r="73" spans="1:3" ht="15" x14ac:dyDescent="0.25">
      <c r="A73" s="105">
        <v>7</v>
      </c>
    </row>
    <row r="74" spans="1:3" ht="15" x14ac:dyDescent="0.25">
      <c r="A74" s="105">
        <v>8</v>
      </c>
      <c r="C74" s="204"/>
    </row>
    <row r="75" spans="1:3" x14ac:dyDescent="0.3">
      <c r="A75" s="105">
        <v>9</v>
      </c>
    </row>
    <row r="76" spans="1:3" x14ac:dyDescent="0.3">
      <c r="A76" s="106">
        <v>10</v>
      </c>
    </row>
    <row r="78" spans="1:3" ht="18.600000000000001" thickBot="1" x14ac:dyDescent="0.4">
      <c r="A78" s="104" t="s">
        <v>383</v>
      </c>
      <c r="B78" s="100"/>
      <c r="C78" s="99"/>
    </row>
    <row r="79" spans="1:3" ht="15" thickBot="1" x14ac:dyDescent="0.35">
      <c r="A79" s="102" t="s">
        <v>378</v>
      </c>
      <c r="B79" s="103" t="s">
        <v>106</v>
      </c>
      <c r="C79" s="102"/>
    </row>
    <row r="80" spans="1:3" x14ac:dyDescent="0.3">
      <c r="A80" s="211">
        <v>1</v>
      </c>
      <c r="B80" s="10" t="s">
        <v>520</v>
      </c>
    </row>
    <row r="81" spans="1:2" x14ac:dyDescent="0.3">
      <c r="A81" s="211">
        <v>2</v>
      </c>
      <c r="B81" s="10" t="s">
        <v>519</v>
      </c>
    </row>
    <row r="82" spans="1:2" x14ac:dyDescent="0.3">
      <c r="A82" s="211">
        <v>3</v>
      </c>
      <c r="B82" s="10" t="s">
        <v>389</v>
      </c>
    </row>
    <row r="83" spans="1:2" x14ac:dyDescent="0.3">
      <c r="A83" s="211">
        <v>4</v>
      </c>
      <c r="B83" s="10" t="s">
        <v>657</v>
      </c>
    </row>
    <row r="84" spans="1:2" x14ac:dyDescent="0.3">
      <c r="A84" s="211">
        <v>5</v>
      </c>
      <c r="B84" s="10" t="s">
        <v>658</v>
      </c>
    </row>
    <row r="85" spans="1:2" x14ac:dyDescent="0.3">
      <c r="A85" s="211">
        <v>6</v>
      </c>
      <c r="B85" s="10" t="s">
        <v>659</v>
      </c>
    </row>
    <row r="86" spans="1:2" x14ac:dyDescent="0.3">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4.4" x14ac:dyDescent="0.3"/>
  <cols>
    <col min="1" max="1" width="61.88671875" style="238" customWidth="1"/>
    <col min="2" max="2" width="51.6640625" customWidth="1"/>
    <col min="3" max="3" width="37.5546875" customWidth="1"/>
  </cols>
  <sheetData>
    <row r="1" spans="1:3" ht="15"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3"/>
    <row r="16" spans="1:3" ht="240" customHeight="1" x14ac:dyDescent="0.3"/>
    <row r="17" ht="240" customHeight="1" x14ac:dyDescent="0.3"/>
    <row r="18" ht="240" customHeight="1" x14ac:dyDescent="0.3"/>
    <row r="19" ht="240" customHeight="1" x14ac:dyDescent="0.3"/>
    <row r="20" ht="240" customHeight="1" x14ac:dyDescent="0.3"/>
    <row r="21" ht="240" customHeight="1" x14ac:dyDescent="0.3"/>
    <row r="22" ht="240" customHeight="1" x14ac:dyDescent="0.3"/>
    <row r="23" ht="240" customHeight="1" x14ac:dyDescent="0.3"/>
    <row r="24" ht="240" customHeight="1" x14ac:dyDescent="0.3"/>
    <row r="25" ht="240" customHeight="1" x14ac:dyDescent="0.3"/>
    <row r="26" ht="240" customHeight="1" x14ac:dyDescent="0.3"/>
    <row r="27" ht="240" customHeight="1" x14ac:dyDescent="0.3"/>
    <row r="28" ht="240" customHeight="1" x14ac:dyDescent="0.3"/>
    <row r="29" ht="240" customHeight="1" x14ac:dyDescent="0.3"/>
    <row r="30" ht="240" customHeigh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1470660</xdr:colOff>
                    <xdr:row>0</xdr:row>
                    <xdr:rowOff>30480</xdr:rowOff>
                  </from>
                  <to>
                    <xdr:col>2</xdr:col>
                    <xdr:colOff>1744980</xdr:colOff>
                    <xdr:row>0</xdr:row>
                    <xdr:rowOff>144780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6640625" defaultRowHeight="14.4" x14ac:dyDescent="0.3"/>
  <cols>
    <col min="1" max="3" width="11.6640625" style="6"/>
    <col min="4" max="4" width="18" style="6" bestFit="1" customWidth="1"/>
    <col min="5" max="16384" width="11.6640625" style="6"/>
  </cols>
  <sheetData>
    <row r="1" spans="1:5" ht="60.75" customHeight="1" x14ac:dyDescent="0.25">
      <c r="A1" s="254"/>
      <c r="B1" s="255"/>
      <c r="C1" s="256"/>
    </row>
    <row r="2" spans="1:5" ht="28.5" customHeight="1" x14ac:dyDescent="0.3">
      <c r="A2" s="254"/>
      <c r="B2" s="394" t="s">
        <v>662</v>
      </c>
      <c r="C2" s="395"/>
      <c r="D2" s="395"/>
      <c r="E2" s="396"/>
    </row>
    <row r="3" spans="1:5" x14ac:dyDescent="0.3">
      <c r="A3" s="254"/>
      <c r="B3" s="397"/>
      <c r="C3" s="398"/>
      <c r="D3" s="398"/>
      <c r="E3" s="399"/>
    </row>
    <row r="4" spans="1:5" ht="15" x14ac:dyDescent="0.25">
      <c r="A4" s="254"/>
      <c r="B4" s="257"/>
      <c r="C4" s="251" t="s">
        <v>168</v>
      </c>
      <c r="D4" s="252">
        <f ca="1">TODAY()</f>
        <v>42800</v>
      </c>
      <c r="E4" s="258"/>
    </row>
    <row r="5" spans="1:5" ht="15" x14ac:dyDescent="0.25">
      <c r="B5" s="257"/>
      <c r="C5" s="251" t="s">
        <v>204</v>
      </c>
      <c r="D5" s="252" t="str">
        <f>'WORKCELL BOM'!L2</f>
        <v>JBIL4735</v>
      </c>
      <c r="E5" s="258"/>
    </row>
    <row r="6" spans="1:5" ht="16.5" customHeight="1" x14ac:dyDescent="0.25">
      <c r="B6" s="257"/>
      <c r="C6" s="251" t="s">
        <v>215</v>
      </c>
      <c r="D6" s="251" t="str">
        <f>'WORKCELL BOM'!L3</f>
        <v>A1028</v>
      </c>
      <c r="E6" s="258"/>
    </row>
    <row r="7" spans="1:5" ht="16.5" customHeight="1" x14ac:dyDescent="0.25">
      <c r="B7" s="257"/>
      <c r="C7" s="251" t="s">
        <v>661</v>
      </c>
      <c r="D7" s="251">
        <f>'WORKCELL FORMS'!R3</f>
        <v>0</v>
      </c>
      <c r="E7" s="258"/>
    </row>
    <row r="8" spans="1:5" ht="16.5" customHeight="1" x14ac:dyDescent="0.25">
      <c r="B8" s="257"/>
      <c r="C8" s="254"/>
      <c r="D8" s="254"/>
      <c r="E8" s="258"/>
    </row>
    <row r="9" spans="1:5" ht="15" x14ac:dyDescent="0.25">
      <c r="B9" s="257"/>
      <c r="C9" s="251"/>
      <c r="D9" s="251"/>
      <c r="E9" s="258"/>
    </row>
    <row r="10" spans="1:5" ht="15" x14ac:dyDescent="0.25">
      <c r="B10" s="257"/>
      <c r="C10" s="251"/>
      <c r="D10" s="251"/>
      <c r="E10" s="258"/>
    </row>
    <row r="11" spans="1:5" ht="15" x14ac:dyDescent="0.25">
      <c r="B11" s="257"/>
      <c r="C11" s="251"/>
      <c r="D11" s="251"/>
      <c r="E11" s="258"/>
    </row>
    <row r="12" spans="1:5" ht="15" x14ac:dyDescent="0.25">
      <c r="B12" s="257"/>
      <c r="C12" s="254"/>
      <c r="D12" s="254"/>
      <c r="E12" s="258"/>
    </row>
    <row r="13" spans="1:5" ht="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175260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S63"/>
  <sheetViews>
    <sheetView topLeftCell="A22" workbookViewId="0">
      <selection activeCell="S63" sqref="A1:S63"/>
    </sheetView>
  </sheetViews>
  <sheetFormatPr defaultRowHeight="14.4" x14ac:dyDescent="0.3"/>
  <cols>
    <col min="1" max="19" width="22.21875" customWidth="1"/>
  </cols>
  <sheetData>
    <row r="1" spans="1:19" ht="15" thickBot="1" x14ac:dyDescent="0.35">
      <c r="A1" s="266">
        <v>42795</v>
      </c>
      <c r="B1" s="267"/>
      <c r="C1" s="268"/>
      <c r="D1" s="268"/>
      <c r="E1" s="268"/>
      <c r="F1" s="268"/>
      <c r="G1" s="268"/>
      <c r="H1" s="269"/>
      <c r="I1" s="268"/>
      <c r="J1" s="268"/>
      <c r="K1" s="268"/>
      <c r="L1" s="268"/>
      <c r="M1" s="268"/>
      <c r="N1" s="269"/>
      <c r="O1" s="268"/>
      <c r="P1" s="268"/>
      <c r="Q1" s="268"/>
      <c r="R1" s="268"/>
      <c r="S1" s="268"/>
    </row>
    <row r="2" spans="1:19" ht="15" thickBot="1" x14ac:dyDescent="0.35">
      <c r="A2" s="270" t="s">
        <v>666</v>
      </c>
      <c r="B2" s="271"/>
      <c r="C2" s="272">
        <v>42793</v>
      </c>
      <c r="D2" s="272">
        <v>42794</v>
      </c>
      <c r="E2" s="273">
        <v>42795</v>
      </c>
      <c r="F2" s="272">
        <v>42796</v>
      </c>
      <c r="G2" s="272">
        <v>42797</v>
      </c>
      <c r="H2" s="271"/>
      <c r="I2" s="272">
        <v>42800</v>
      </c>
      <c r="J2" s="272">
        <v>42801</v>
      </c>
      <c r="K2" s="272">
        <v>42802</v>
      </c>
      <c r="L2" s="272">
        <v>42803</v>
      </c>
      <c r="M2" s="272">
        <v>42804</v>
      </c>
      <c r="N2" s="271"/>
      <c r="O2" s="272">
        <v>42807</v>
      </c>
      <c r="P2" s="272">
        <v>42808</v>
      </c>
      <c r="Q2" s="272">
        <v>42809</v>
      </c>
      <c r="R2" s="272">
        <v>42810</v>
      </c>
      <c r="S2" s="272">
        <v>42811</v>
      </c>
    </row>
    <row r="3" spans="1:19" ht="15" thickBot="1" x14ac:dyDescent="0.35">
      <c r="A3" s="274"/>
      <c r="B3" s="271"/>
      <c r="C3" s="271"/>
      <c r="D3" s="271"/>
      <c r="E3" s="271"/>
      <c r="F3" s="271"/>
      <c r="G3" s="271"/>
      <c r="H3" s="271"/>
      <c r="I3" s="271"/>
      <c r="J3" s="271"/>
      <c r="K3" s="271"/>
      <c r="L3" s="271"/>
      <c r="M3" s="271"/>
      <c r="N3" s="271"/>
      <c r="O3" s="271"/>
      <c r="P3" s="271"/>
      <c r="Q3" s="271"/>
      <c r="R3" s="271"/>
      <c r="S3" s="271"/>
    </row>
    <row r="4" spans="1:19" x14ac:dyDescent="0.3">
      <c r="A4" s="400" t="s">
        <v>667</v>
      </c>
      <c r="B4" s="271"/>
      <c r="C4" s="275" t="s">
        <v>668</v>
      </c>
      <c r="D4" s="275" t="s">
        <v>668</v>
      </c>
      <c r="E4" s="275" t="s">
        <v>668</v>
      </c>
      <c r="F4" s="275" t="s">
        <v>668</v>
      </c>
      <c r="G4" s="275" t="s">
        <v>668</v>
      </c>
      <c r="H4" s="271"/>
      <c r="I4" s="275" t="s">
        <v>668</v>
      </c>
      <c r="J4" s="275" t="s">
        <v>668</v>
      </c>
      <c r="K4" s="275" t="s">
        <v>668</v>
      </c>
      <c r="L4" s="275" t="s">
        <v>668</v>
      </c>
      <c r="M4" s="275" t="s">
        <v>668</v>
      </c>
      <c r="N4" s="271"/>
      <c r="O4" s="276"/>
      <c r="P4" s="276"/>
      <c r="Q4" s="276"/>
      <c r="R4" s="276"/>
      <c r="S4" s="276"/>
    </row>
    <row r="5" spans="1:19" x14ac:dyDescent="0.3">
      <c r="A5" s="401"/>
      <c r="B5" s="271"/>
      <c r="C5" s="277"/>
      <c r="D5" s="277"/>
      <c r="E5" s="277"/>
      <c r="F5" s="277"/>
      <c r="G5" s="278" t="s">
        <v>669</v>
      </c>
      <c r="H5" s="271"/>
      <c r="I5" s="277"/>
      <c r="J5" s="277"/>
      <c r="K5" s="277"/>
      <c r="L5" s="277"/>
      <c r="M5" s="277"/>
      <c r="N5" s="271"/>
      <c r="O5" s="277"/>
      <c r="P5" s="277"/>
      <c r="Q5" s="277"/>
      <c r="R5" s="277"/>
      <c r="S5" s="277"/>
    </row>
    <row r="6" spans="1:19" x14ac:dyDescent="0.3">
      <c r="A6" s="401"/>
      <c r="B6" s="271"/>
      <c r="C6" s="277"/>
      <c r="D6" s="277"/>
      <c r="E6" s="277"/>
      <c r="F6" s="277"/>
      <c r="G6" s="277"/>
      <c r="H6" s="271"/>
      <c r="I6" s="277"/>
      <c r="J6" s="277"/>
      <c r="K6" s="277"/>
      <c r="L6" s="277"/>
      <c r="M6" s="277"/>
      <c r="N6" s="271"/>
      <c r="O6" s="277"/>
      <c r="P6" s="277"/>
      <c r="Q6" s="277"/>
      <c r="R6" s="277"/>
      <c r="S6" s="277"/>
    </row>
    <row r="7" spans="1:19" ht="15" thickBot="1" x14ac:dyDescent="0.35">
      <c r="A7" s="402"/>
      <c r="B7" s="271"/>
      <c r="C7" s="277"/>
      <c r="D7" s="277"/>
      <c r="E7" s="277"/>
      <c r="F7" s="277"/>
      <c r="G7" s="277"/>
      <c r="H7" s="271"/>
      <c r="I7" s="277"/>
      <c r="J7" s="277"/>
      <c r="K7" s="277"/>
      <c r="L7" s="277"/>
      <c r="M7" s="277"/>
      <c r="N7" s="271"/>
      <c r="O7" s="277"/>
      <c r="P7" s="277"/>
      <c r="Q7" s="277"/>
      <c r="R7" s="277"/>
      <c r="S7" s="277"/>
    </row>
    <row r="8" spans="1:19" ht="15" thickBot="1" x14ac:dyDescent="0.35">
      <c r="A8" s="274"/>
      <c r="B8" s="271"/>
      <c r="C8" s="271"/>
      <c r="D8" s="271"/>
      <c r="E8" s="271"/>
      <c r="F8" s="271"/>
      <c r="G8" s="271"/>
      <c r="H8" s="271"/>
      <c r="I8" s="271"/>
      <c r="J8" s="271"/>
      <c r="K8" s="271"/>
      <c r="L8" s="271"/>
      <c r="M8" s="271"/>
      <c r="N8" s="271"/>
      <c r="O8" s="271"/>
      <c r="P8" s="271"/>
      <c r="Q8" s="271"/>
      <c r="R8" s="271"/>
      <c r="S8" s="271"/>
    </row>
    <row r="9" spans="1:19" ht="20.399999999999999" x14ac:dyDescent="0.3">
      <c r="A9" s="400" t="s">
        <v>670</v>
      </c>
      <c r="B9" s="271"/>
      <c r="C9" s="275" t="s">
        <v>671</v>
      </c>
      <c r="D9" s="275" t="s">
        <v>672</v>
      </c>
      <c r="E9" s="278" t="s">
        <v>673</v>
      </c>
      <c r="F9" s="275" t="s">
        <v>673</v>
      </c>
      <c r="G9" s="275" t="s">
        <v>673</v>
      </c>
      <c r="H9" s="271"/>
      <c r="I9" s="275" t="s">
        <v>673</v>
      </c>
      <c r="J9" s="275" t="s">
        <v>673</v>
      </c>
      <c r="K9" s="275" t="s">
        <v>673</v>
      </c>
      <c r="L9" s="275" t="s">
        <v>673</v>
      </c>
      <c r="M9" s="275" t="s">
        <v>673</v>
      </c>
      <c r="N9" s="271"/>
      <c r="O9" s="275" t="s">
        <v>673</v>
      </c>
      <c r="P9" s="276"/>
      <c r="Q9" s="276"/>
      <c r="R9" s="276"/>
      <c r="S9" s="276"/>
    </row>
    <row r="10" spans="1:19" ht="20.399999999999999" x14ac:dyDescent="0.3">
      <c r="A10" s="401"/>
      <c r="B10" s="271"/>
      <c r="C10" s="278" t="s">
        <v>672</v>
      </c>
      <c r="D10" s="277"/>
      <c r="E10" s="277"/>
      <c r="F10" s="277"/>
      <c r="G10" s="278" t="s">
        <v>669</v>
      </c>
      <c r="H10" s="271"/>
      <c r="I10" s="277"/>
      <c r="J10" s="277"/>
      <c r="K10" s="277"/>
      <c r="L10" s="277"/>
      <c r="M10" s="277"/>
      <c r="N10" s="271"/>
      <c r="O10" s="277"/>
      <c r="P10" s="277"/>
      <c r="Q10" s="277"/>
      <c r="R10" s="277"/>
      <c r="S10" s="277"/>
    </row>
    <row r="11" spans="1:19" x14ac:dyDescent="0.3">
      <c r="A11" s="401"/>
      <c r="B11" s="271"/>
      <c r="C11" s="277"/>
      <c r="D11" s="277"/>
      <c r="E11" s="277"/>
      <c r="F11" s="277"/>
      <c r="G11" s="277"/>
      <c r="H11" s="271"/>
      <c r="I11" s="277"/>
      <c r="J11" s="277"/>
      <c r="K11" s="277"/>
      <c r="L11" s="277"/>
      <c r="M11" s="277"/>
      <c r="N11" s="271"/>
      <c r="O11" s="277"/>
      <c r="P11" s="277"/>
      <c r="Q11" s="277"/>
      <c r="R11" s="277"/>
      <c r="S11" s="277"/>
    </row>
    <row r="12" spans="1:19" ht="15" thickBot="1" x14ac:dyDescent="0.35">
      <c r="A12" s="402"/>
      <c r="B12" s="271"/>
      <c r="C12" s="277"/>
      <c r="D12" s="277"/>
      <c r="E12" s="277"/>
      <c r="F12" s="277"/>
      <c r="G12" s="277"/>
      <c r="H12" s="271"/>
      <c r="I12" s="277"/>
      <c r="J12" s="277"/>
      <c r="K12" s="277"/>
      <c r="L12" s="277"/>
      <c r="M12" s="277"/>
      <c r="N12" s="271"/>
      <c r="O12" s="277"/>
      <c r="P12" s="277"/>
      <c r="Q12" s="277"/>
      <c r="R12" s="277"/>
      <c r="S12" s="277"/>
    </row>
    <row r="13" spans="1:19" ht="15" thickBot="1" x14ac:dyDescent="0.35">
      <c r="A13" s="274"/>
      <c r="B13" s="271"/>
      <c r="C13" s="271"/>
      <c r="D13" s="271"/>
      <c r="E13" s="271"/>
      <c r="F13" s="271"/>
      <c r="G13" s="271"/>
      <c r="H13" s="271"/>
      <c r="I13" s="271"/>
      <c r="J13" s="271"/>
      <c r="K13" s="271"/>
      <c r="L13" s="271"/>
      <c r="M13" s="271"/>
      <c r="N13" s="271"/>
      <c r="O13" s="271"/>
      <c r="P13" s="271"/>
      <c r="Q13" s="271"/>
      <c r="R13" s="271"/>
      <c r="S13" s="271"/>
    </row>
    <row r="14" spans="1:19" x14ac:dyDescent="0.3">
      <c r="A14" s="400" t="s">
        <v>674</v>
      </c>
      <c r="B14" s="271"/>
      <c r="C14" s="276"/>
      <c r="D14" s="276"/>
      <c r="E14" s="275" t="s">
        <v>675</v>
      </c>
      <c r="F14" s="275" t="s">
        <v>675</v>
      </c>
      <c r="G14" s="275" t="s">
        <v>675</v>
      </c>
      <c r="H14" s="271"/>
      <c r="I14" s="275" t="s">
        <v>675</v>
      </c>
      <c r="J14" s="275" t="s">
        <v>675</v>
      </c>
      <c r="K14" s="275" t="s">
        <v>675</v>
      </c>
      <c r="L14" s="276"/>
      <c r="M14" s="276"/>
      <c r="N14" s="271"/>
      <c r="O14" s="276"/>
      <c r="P14" s="276"/>
      <c r="Q14" s="276"/>
      <c r="R14" s="276"/>
      <c r="S14" s="276"/>
    </row>
    <row r="15" spans="1:19" x14ac:dyDescent="0.3">
      <c r="A15" s="401"/>
      <c r="B15" s="271"/>
      <c r="C15" s="277"/>
      <c r="D15" s="277"/>
      <c r="E15" s="278" t="s">
        <v>676</v>
      </c>
      <c r="F15" s="278" t="s">
        <v>676</v>
      </c>
      <c r="G15" s="278" t="s">
        <v>676</v>
      </c>
      <c r="H15" s="271"/>
      <c r="I15" s="278" t="s">
        <v>676</v>
      </c>
      <c r="J15" s="278" t="s">
        <v>676</v>
      </c>
      <c r="K15" s="278" t="s">
        <v>676</v>
      </c>
      <c r="L15" s="277"/>
      <c r="M15" s="277"/>
      <c r="N15" s="271"/>
      <c r="O15" s="277"/>
      <c r="P15" s="277"/>
      <c r="Q15" s="277"/>
      <c r="R15" s="277"/>
      <c r="S15" s="277"/>
    </row>
    <row r="16" spans="1:19" x14ac:dyDescent="0.3">
      <c r="A16" s="401"/>
      <c r="B16" s="271"/>
      <c r="C16" s="277"/>
      <c r="D16" s="277"/>
      <c r="E16" s="278" t="s">
        <v>677</v>
      </c>
      <c r="F16" s="278" t="s">
        <v>677</v>
      </c>
      <c r="G16" s="278" t="s">
        <v>677</v>
      </c>
      <c r="H16" s="271"/>
      <c r="I16" s="278" t="s">
        <v>677</v>
      </c>
      <c r="J16" s="278" t="s">
        <v>677</v>
      </c>
      <c r="K16" s="278" t="s">
        <v>677</v>
      </c>
      <c r="L16" s="277"/>
      <c r="M16" s="277"/>
      <c r="N16" s="271"/>
      <c r="O16" s="277"/>
      <c r="P16" s="277"/>
      <c r="Q16" s="277"/>
      <c r="R16" s="277"/>
      <c r="S16" s="277"/>
    </row>
    <row r="17" spans="1:19" ht="15" thickBot="1" x14ac:dyDescent="0.35">
      <c r="A17" s="402"/>
      <c r="B17" s="271"/>
      <c r="C17" s="277"/>
      <c r="D17" s="277"/>
      <c r="E17" s="277"/>
      <c r="F17" s="277"/>
      <c r="G17" s="278" t="s">
        <v>669</v>
      </c>
      <c r="H17" s="271"/>
      <c r="I17" s="277"/>
      <c r="J17" s="277"/>
      <c r="K17" s="277"/>
      <c r="L17" s="277"/>
      <c r="M17" s="277"/>
      <c r="N17" s="271"/>
      <c r="O17" s="277"/>
      <c r="P17" s="277"/>
      <c r="Q17" s="277"/>
      <c r="R17" s="277"/>
      <c r="S17" s="277"/>
    </row>
    <row r="18" spans="1:19" ht="15" thickBot="1" x14ac:dyDescent="0.35">
      <c r="A18" s="274"/>
      <c r="B18" s="271"/>
      <c r="C18" s="271"/>
      <c r="D18" s="271"/>
      <c r="E18" s="271"/>
      <c r="F18" s="271"/>
      <c r="G18" s="271"/>
      <c r="H18" s="271"/>
      <c r="I18" s="271"/>
      <c r="J18" s="271"/>
      <c r="K18" s="271"/>
      <c r="L18" s="271"/>
      <c r="M18" s="271"/>
      <c r="N18" s="271"/>
      <c r="O18" s="271"/>
      <c r="P18" s="271"/>
      <c r="Q18" s="271"/>
      <c r="R18" s="271"/>
      <c r="S18" s="271"/>
    </row>
    <row r="19" spans="1:19" x14ac:dyDescent="0.3">
      <c r="A19" s="400" t="s">
        <v>678</v>
      </c>
      <c r="B19" s="271"/>
      <c r="C19" s="275" t="s">
        <v>679</v>
      </c>
      <c r="D19" s="275" t="s">
        <v>679</v>
      </c>
      <c r="E19" s="275" t="s">
        <v>679</v>
      </c>
      <c r="F19" s="275" t="s">
        <v>679</v>
      </c>
      <c r="G19" s="275" t="s">
        <v>679</v>
      </c>
      <c r="H19" s="271"/>
      <c r="I19" s="275" t="s">
        <v>679</v>
      </c>
      <c r="J19" s="275" t="s">
        <v>679</v>
      </c>
      <c r="K19" s="275" t="s">
        <v>679</v>
      </c>
      <c r="L19" s="275" t="s">
        <v>679</v>
      </c>
      <c r="M19" s="275" t="s">
        <v>679</v>
      </c>
      <c r="N19" s="271"/>
      <c r="O19" s="276"/>
      <c r="P19" s="276"/>
      <c r="Q19" s="276"/>
      <c r="R19" s="276"/>
      <c r="S19" s="276"/>
    </row>
    <row r="20" spans="1:19" x14ac:dyDescent="0.3">
      <c r="A20" s="401"/>
      <c r="B20" s="271"/>
      <c r="C20" s="278" t="s">
        <v>680</v>
      </c>
      <c r="D20" s="278" t="s">
        <v>680</v>
      </c>
      <c r="E20" s="278" t="s">
        <v>680</v>
      </c>
      <c r="F20" s="278" t="s">
        <v>680</v>
      </c>
      <c r="G20" s="278" t="s">
        <v>680</v>
      </c>
      <c r="H20" s="271"/>
      <c r="I20" s="278" t="s">
        <v>680</v>
      </c>
      <c r="J20" s="278" t="s">
        <v>680</v>
      </c>
      <c r="K20" s="278" t="s">
        <v>680</v>
      </c>
      <c r="L20" s="278" t="s">
        <v>680</v>
      </c>
      <c r="M20" s="278" t="s">
        <v>680</v>
      </c>
      <c r="N20" s="271"/>
      <c r="O20" s="277"/>
      <c r="P20" s="277"/>
      <c r="Q20" s="277"/>
      <c r="R20" s="277"/>
      <c r="S20" s="277"/>
    </row>
    <row r="21" spans="1:19" x14ac:dyDescent="0.3">
      <c r="A21" s="401"/>
      <c r="B21" s="271"/>
      <c r="C21" s="277"/>
      <c r="D21" s="277"/>
      <c r="E21" s="277"/>
      <c r="F21" s="277"/>
      <c r="G21" s="278" t="s">
        <v>669</v>
      </c>
      <c r="H21" s="271"/>
      <c r="I21" s="277"/>
      <c r="J21" s="277"/>
      <c r="K21" s="277"/>
      <c r="L21" s="277"/>
      <c r="M21" s="277"/>
      <c r="N21" s="271"/>
      <c r="O21" s="277"/>
      <c r="P21" s="277"/>
      <c r="Q21" s="277"/>
      <c r="R21" s="277"/>
      <c r="S21" s="277"/>
    </row>
    <row r="22" spans="1:19" ht="15" thickBot="1" x14ac:dyDescent="0.35">
      <c r="A22" s="402"/>
      <c r="B22" s="271"/>
      <c r="C22" s="277"/>
      <c r="D22" s="277"/>
      <c r="E22" s="277"/>
      <c r="F22" s="277"/>
      <c r="G22" s="277"/>
      <c r="H22" s="271"/>
      <c r="I22" s="277"/>
      <c r="J22" s="277"/>
      <c r="K22" s="277"/>
      <c r="L22" s="277"/>
      <c r="M22" s="277"/>
      <c r="N22" s="271"/>
      <c r="O22" s="277"/>
      <c r="P22" s="277"/>
      <c r="Q22" s="277"/>
      <c r="R22" s="277"/>
      <c r="S22" s="277"/>
    </row>
    <row r="23" spans="1:19" ht="15" thickBot="1" x14ac:dyDescent="0.35">
      <c r="A23" s="274"/>
      <c r="B23" s="271"/>
      <c r="C23" s="271"/>
      <c r="D23" s="271"/>
      <c r="E23" s="271"/>
      <c r="F23" s="271"/>
      <c r="G23" s="271"/>
      <c r="H23" s="271"/>
      <c r="I23" s="271"/>
      <c r="J23" s="271"/>
      <c r="K23" s="271"/>
      <c r="L23" s="271"/>
      <c r="M23" s="271"/>
      <c r="N23" s="271"/>
      <c r="O23" s="271"/>
      <c r="P23" s="271"/>
      <c r="Q23" s="271"/>
      <c r="R23" s="271"/>
      <c r="S23" s="271"/>
    </row>
    <row r="24" spans="1:19" x14ac:dyDescent="0.3">
      <c r="A24" s="400" t="s">
        <v>681</v>
      </c>
      <c r="B24" s="271"/>
      <c r="C24" s="275" t="s">
        <v>682</v>
      </c>
      <c r="D24" s="275" t="s">
        <v>682</v>
      </c>
      <c r="E24" s="275" t="s">
        <v>682</v>
      </c>
      <c r="F24" s="275" t="s">
        <v>682</v>
      </c>
      <c r="G24" s="275" t="s">
        <v>682</v>
      </c>
      <c r="H24" s="271"/>
      <c r="I24" s="276"/>
      <c r="J24" s="276"/>
      <c r="K24" s="276"/>
      <c r="L24" s="276"/>
      <c r="M24" s="276"/>
      <c r="N24" s="271"/>
      <c r="O24" s="276"/>
      <c r="P24" s="276"/>
      <c r="Q24" s="276"/>
      <c r="R24" s="276"/>
      <c r="S24" s="276"/>
    </row>
    <row r="25" spans="1:19" x14ac:dyDescent="0.3">
      <c r="A25" s="401"/>
      <c r="B25" s="271"/>
      <c r="C25" s="277"/>
      <c r="D25" s="277"/>
      <c r="E25" s="277"/>
      <c r="F25" s="277"/>
      <c r="G25" s="278" t="s">
        <v>669</v>
      </c>
      <c r="H25" s="271"/>
      <c r="I25" s="277"/>
      <c r="J25" s="277"/>
      <c r="K25" s="277"/>
      <c r="L25" s="277"/>
      <c r="M25" s="277"/>
      <c r="N25" s="271"/>
      <c r="O25" s="277"/>
      <c r="P25" s="277"/>
      <c r="Q25" s="277"/>
      <c r="R25" s="277"/>
      <c r="S25" s="277"/>
    </row>
    <row r="26" spans="1:19" x14ac:dyDescent="0.3">
      <c r="A26" s="401"/>
      <c r="B26" s="271"/>
      <c r="C26" s="277"/>
      <c r="D26" s="277"/>
      <c r="E26" s="277"/>
      <c r="F26" s="277"/>
      <c r="G26" s="277"/>
      <c r="H26" s="271"/>
      <c r="I26" s="277"/>
      <c r="J26" s="277"/>
      <c r="K26" s="277"/>
      <c r="L26" s="277"/>
      <c r="M26" s="277"/>
      <c r="N26" s="271"/>
      <c r="O26" s="277"/>
      <c r="P26" s="277"/>
      <c r="Q26" s="277"/>
      <c r="R26" s="277"/>
      <c r="S26" s="277"/>
    </row>
    <row r="27" spans="1:19" ht="15" thickBot="1" x14ac:dyDescent="0.35">
      <c r="A27" s="402"/>
      <c r="B27" s="271"/>
      <c r="C27" s="277"/>
      <c r="D27" s="277"/>
      <c r="E27" s="277"/>
      <c r="F27" s="277"/>
      <c r="G27" s="277"/>
      <c r="H27" s="271"/>
      <c r="I27" s="277"/>
      <c r="J27" s="277"/>
      <c r="K27" s="277"/>
      <c r="L27" s="277"/>
      <c r="M27" s="277"/>
      <c r="N27" s="271"/>
      <c r="O27" s="277"/>
      <c r="P27" s="277"/>
      <c r="Q27" s="277"/>
      <c r="R27" s="277"/>
      <c r="S27" s="277"/>
    </row>
    <row r="28" spans="1:19" ht="15" thickBot="1" x14ac:dyDescent="0.35">
      <c r="A28" s="274"/>
      <c r="B28" s="271"/>
      <c r="C28" s="271"/>
      <c r="D28" s="271"/>
      <c r="E28" s="271"/>
      <c r="F28" s="271"/>
      <c r="G28" s="271"/>
      <c r="H28" s="271"/>
      <c r="I28" s="271"/>
      <c r="J28" s="271"/>
      <c r="K28" s="271"/>
      <c r="L28" s="271"/>
      <c r="M28" s="271"/>
      <c r="N28" s="271"/>
      <c r="O28" s="271"/>
      <c r="P28" s="271"/>
      <c r="Q28" s="271"/>
      <c r="R28" s="271"/>
      <c r="S28" s="271"/>
    </row>
    <row r="29" spans="1:19" x14ac:dyDescent="0.3">
      <c r="A29" s="400" t="s">
        <v>683</v>
      </c>
      <c r="B29" s="271"/>
      <c r="C29" s="275" t="s">
        <v>684</v>
      </c>
      <c r="D29" s="275" t="s">
        <v>684</v>
      </c>
      <c r="E29" s="275" t="s">
        <v>684</v>
      </c>
      <c r="F29" s="275" t="s">
        <v>684</v>
      </c>
      <c r="G29" s="275" t="s">
        <v>684</v>
      </c>
      <c r="H29" s="271"/>
      <c r="I29" s="275" t="s">
        <v>685</v>
      </c>
      <c r="J29" s="275" t="s">
        <v>685</v>
      </c>
      <c r="K29" s="275" t="s">
        <v>685</v>
      </c>
      <c r="L29" s="275" t="s">
        <v>685</v>
      </c>
      <c r="M29" s="275" t="s">
        <v>685</v>
      </c>
      <c r="N29" s="271"/>
      <c r="O29" s="276"/>
      <c r="P29" s="276"/>
      <c r="Q29" s="276"/>
      <c r="R29" s="276"/>
      <c r="S29" s="276"/>
    </row>
    <row r="30" spans="1:19" x14ac:dyDescent="0.3">
      <c r="A30" s="401"/>
      <c r="B30" s="271"/>
      <c r="C30" s="277"/>
      <c r="D30" s="277"/>
      <c r="E30" s="277"/>
      <c r="F30" s="278" t="s">
        <v>685</v>
      </c>
      <c r="G30" s="278" t="s">
        <v>685</v>
      </c>
      <c r="H30" s="271"/>
      <c r="I30" s="277"/>
      <c r="J30" s="277"/>
      <c r="K30" s="277"/>
      <c r="L30" s="277"/>
      <c r="M30" s="277"/>
      <c r="N30" s="271"/>
      <c r="O30" s="277"/>
      <c r="P30" s="277"/>
      <c r="Q30" s="277"/>
      <c r="R30" s="277"/>
      <c r="S30" s="277"/>
    </row>
    <row r="31" spans="1:19" x14ac:dyDescent="0.3">
      <c r="A31" s="401"/>
      <c r="B31" s="271"/>
      <c r="C31" s="277"/>
      <c r="D31" s="277"/>
      <c r="E31" s="277"/>
      <c r="F31" s="277"/>
      <c r="G31" s="278" t="s">
        <v>669</v>
      </c>
      <c r="H31" s="271"/>
      <c r="I31" s="277"/>
      <c r="J31" s="277"/>
      <c r="K31" s="277"/>
      <c r="L31" s="277"/>
      <c r="M31" s="277"/>
      <c r="N31" s="271"/>
      <c r="O31" s="277"/>
      <c r="P31" s="277"/>
      <c r="Q31" s="277"/>
      <c r="R31" s="277"/>
      <c r="S31" s="277"/>
    </row>
    <row r="32" spans="1:19" ht="15" thickBot="1" x14ac:dyDescent="0.35">
      <c r="A32" s="402"/>
      <c r="B32" s="271"/>
      <c r="C32" s="277"/>
      <c r="D32" s="277"/>
      <c r="E32" s="277"/>
      <c r="F32" s="277"/>
      <c r="G32" s="277"/>
      <c r="H32" s="271"/>
      <c r="I32" s="277"/>
      <c r="J32" s="277"/>
      <c r="K32" s="277"/>
      <c r="L32" s="277"/>
      <c r="M32" s="277"/>
      <c r="N32" s="271"/>
      <c r="O32" s="277"/>
      <c r="P32" s="277"/>
      <c r="Q32" s="277"/>
      <c r="R32" s="277"/>
      <c r="S32" s="277"/>
    </row>
    <row r="33" spans="1:19" ht="15" thickBot="1" x14ac:dyDescent="0.35">
      <c r="A33" s="274"/>
      <c r="B33" s="271"/>
      <c r="C33" s="271"/>
      <c r="D33" s="271"/>
      <c r="E33" s="271"/>
      <c r="F33" s="271"/>
      <c r="G33" s="271"/>
      <c r="H33" s="271"/>
      <c r="I33" s="271"/>
      <c r="J33" s="271"/>
      <c r="K33" s="271"/>
      <c r="L33" s="271"/>
      <c r="M33" s="271"/>
      <c r="N33" s="271"/>
      <c r="O33" s="271"/>
      <c r="P33" s="271"/>
      <c r="Q33" s="271"/>
      <c r="R33" s="271"/>
      <c r="S33" s="271"/>
    </row>
    <row r="34" spans="1:19" x14ac:dyDescent="0.3">
      <c r="A34" s="400" t="s">
        <v>686</v>
      </c>
      <c r="B34" s="271"/>
      <c r="C34" s="275" t="s">
        <v>687</v>
      </c>
      <c r="D34" s="275" t="s">
        <v>687</v>
      </c>
      <c r="E34" s="275" t="s">
        <v>687</v>
      </c>
      <c r="F34" s="275" t="s">
        <v>687</v>
      </c>
      <c r="G34" s="275" t="s">
        <v>687</v>
      </c>
      <c r="H34" s="271"/>
      <c r="I34" s="275" t="s">
        <v>687</v>
      </c>
      <c r="J34" s="275" t="s">
        <v>687</v>
      </c>
      <c r="K34" s="275" t="s">
        <v>687</v>
      </c>
      <c r="L34" s="275" t="s">
        <v>687</v>
      </c>
      <c r="M34" s="275" t="s">
        <v>687</v>
      </c>
      <c r="N34" s="271"/>
      <c r="O34" s="276"/>
      <c r="P34" s="276"/>
      <c r="Q34" s="276"/>
      <c r="R34" s="276"/>
      <c r="S34" s="276"/>
    </row>
    <row r="35" spans="1:19" x14ac:dyDescent="0.3">
      <c r="A35" s="401"/>
      <c r="B35" s="271"/>
      <c r="C35" s="277"/>
      <c r="D35" s="277"/>
      <c r="E35" s="277"/>
      <c r="F35" s="277"/>
      <c r="G35" s="278" t="s">
        <v>669</v>
      </c>
      <c r="H35" s="271"/>
      <c r="I35" s="277"/>
      <c r="J35" s="277"/>
      <c r="K35" s="277"/>
      <c r="L35" s="277"/>
      <c r="M35" s="277"/>
      <c r="N35" s="271"/>
      <c r="O35" s="277"/>
      <c r="P35" s="277"/>
      <c r="Q35" s="277"/>
      <c r="R35" s="277"/>
      <c r="S35" s="277"/>
    </row>
    <row r="36" spans="1:19" x14ac:dyDescent="0.3">
      <c r="A36" s="401"/>
      <c r="B36" s="271"/>
      <c r="C36" s="277"/>
      <c r="D36" s="277"/>
      <c r="E36" s="277"/>
      <c r="F36" s="277"/>
      <c r="G36" s="277"/>
      <c r="H36" s="271"/>
      <c r="I36" s="277"/>
      <c r="J36" s="277"/>
      <c r="K36" s="277"/>
      <c r="L36" s="277"/>
      <c r="M36" s="277"/>
      <c r="N36" s="271"/>
      <c r="O36" s="277"/>
      <c r="P36" s="277"/>
      <c r="Q36" s="277"/>
      <c r="R36" s="277"/>
      <c r="S36" s="277"/>
    </row>
    <row r="37" spans="1:19" ht="15" thickBot="1" x14ac:dyDescent="0.35">
      <c r="A37" s="402"/>
      <c r="B37" s="271"/>
      <c r="C37" s="277"/>
      <c r="D37" s="277"/>
      <c r="E37" s="277"/>
      <c r="F37" s="277"/>
      <c r="G37" s="277"/>
      <c r="H37" s="271"/>
      <c r="I37" s="277"/>
      <c r="J37" s="277"/>
      <c r="K37" s="277"/>
      <c r="L37" s="277"/>
      <c r="M37" s="277"/>
      <c r="N37" s="271"/>
      <c r="O37" s="277"/>
      <c r="P37" s="277"/>
      <c r="Q37" s="277"/>
      <c r="R37" s="277"/>
      <c r="S37" s="277"/>
    </row>
    <row r="38" spans="1:19" ht="15" thickBot="1" x14ac:dyDescent="0.35">
      <c r="A38" s="274"/>
      <c r="B38" s="271"/>
      <c r="C38" s="271"/>
      <c r="D38" s="271"/>
      <c r="E38" s="271"/>
      <c r="F38" s="271"/>
      <c r="G38" s="271"/>
      <c r="H38" s="271"/>
      <c r="I38" s="271"/>
      <c r="J38" s="271"/>
      <c r="K38" s="271"/>
      <c r="L38" s="271"/>
      <c r="M38" s="271"/>
      <c r="N38" s="271"/>
      <c r="O38" s="271"/>
      <c r="P38" s="271"/>
      <c r="Q38" s="271"/>
      <c r="R38" s="271"/>
      <c r="S38" s="271"/>
    </row>
    <row r="39" spans="1:19" x14ac:dyDescent="0.3">
      <c r="A39" s="400" t="s">
        <v>688</v>
      </c>
      <c r="B39" s="271"/>
      <c r="C39" s="275" t="s">
        <v>689</v>
      </c>
      <c r="D39" s="275" t="s">
        <v>689</v>
      </c>
      <c r="E39" s="275" t="s">
        <v>689</v>
      </c>
      <c r="F39" s="275" t="s">
        <v>689</v>
      </c>
      <c r="G39" s="275" t="s">
        <v>689</v>
      </c>
      <c r="H39" s="271"/>
      <c r="I39" s="275" t="s">
        <v>690</v>
      </c>
      <c r="J39" s="276"/>
      <c r="K39" s="276"/>
      <c r="L39" s="276"/>
      <c r="M39" s="276"/>
      <c r="N39" s="271"/>
      <c r="O39" s="276"/>
      <c r="P39" s="276"/>
      <c r="Q39" s="276"/>
      <c r="R39" s="276"/>
      <c r="S39" s="276"/>
    </row>
    <row r="40" spans="1:19" x14ac:dyDescent="0.3">
      <c r="A40" s="401"/>
      <c r="B40" s="271"/>
      <c r="C40" s="278" t="s">
        <v>690</v>
      </c>
      <c r="D40" s="278" t="s">
        <v>690</v>
      </c>
      <c r="E40" s="278" t="s">
        <v>690</v>
      </c>
      <c r="F40" s="278" t="s">
        <v>690</v>
      </c>
      <c r="G40" s="278" t="s">
        <v>690</v>
      </c>
      <c r="H40" s="271"/>
      <c r="I40" s="277"/>
      <c r="J40" s="277"/>
      <c r="K40" s="277"/>
      <c r="L40" s="277"/>
      <c r="M40" s="277"/>
      <c r="N40" s="271"/>
      <c r="O40" s="277"/>
      <c r="P40" s="277"/>
      <c r="Q40" s="277"/>
      <c r="R40" s="277"/>
      <c r="S40" s="277"/>
    </row>
    <row r="41" spans="1:19" x14ac:dyDescent="0.3">
      <c r="A41" s="401"/>
      <c r="B41" s="271"/>
      <c r="C41" s="277"/>
      <c r="D41" s="277"/>
      <c r="E41" s="277"/>
      <c r="F41" s="277"/>
      <c r="G41" s="278" t="s">
        <v>669</v>
      </c>
      <c r="H41" s="271"/>
      <c r="I41" s="277"/>
      <c r="J41" s="277"/>
      <c r="K41" s="277"/>
      <c r="L41" s="277"/>
      <c r="M41" s="277"/>
      <c r="N41" s="271"/>
      <c r="O41" s="277"/>
      <c r="P41" s="277"/>
      <c r="Q41" s="277"/>
      <c r="R41" s="277"/>
      <c r="S41" s="277"/>
    </row>
    <row r="42" spans="1:19" ht="15" thickBot="1" x14ac:dyDescent="0.35">
      <c r="A42" s="402"/>
      <c r="B42" s="271"/>
      <c r="C42" s="277"/>
      <c r="D42" s="277"/>
      <c r="E42" s="277"/>
      <c r="F42" s="277"/>
      <c r="G42" s="277"/>
      <c r="H42" s="271"/>
      <c r="I42" s="277"/>
      <c r="J42" s="277"/>
      <c r="K42" s="277"/>
      <c r="L42" s="277"/>
      <c r="M42" s="277"/>
      <c r="N42" s="271"/>
      <c r="O42" s="277"/>
      <c r="P42" s="277"/>
      <c r="Q42" s="277"/>
      <c r="R42" s="277"/>
      <c r="S42" s="277"/>
    </row>
    <row r="43" spans="1:19" ht="15" thickBot="1" x14ac:dyDescent="0.35">
      <c r="A43" s="274"/>
      <c r="B43" s="271"/>
      <c r="C43" s="271"/>
      <c r="D43" s="271"/>
      <c r="E43" s="271"/>
      <c r="F43" s="271"/>
      <c r="G43" s="271"/>
      <c r="H43" s="271"/>
      <c r="I43" s="271"/>
      <c r="J43" s="271"/>
      <c r="K43" s="271"/>
      <c r="L43" s="271"/>
      <c r="M43" s="271"/>
      <c r="N43" s="271"/>
      <c r="O43" s="271"/>
      <c r="P43" s="271"/>
      <c r="Q43" s="271"/>
      <c r="R43" s="271"/>
      <c r="S43" s="271"/>
    </row>
    <row r="44" spans="1:19" x14ac:dyDescent="0.3">
      <c r="A44" s="400" t="s">
        <v>691</v>
      </c>
      <c r="B44" s="271"/>
      <c r="C44" s="275" t="s">
        <v>692</v>
      </c>
      <c r="D44" s="275" t="s">
        <v>692</v>
      </c>
      <c r="E44" s="275" t="s">
        <v>692</v>
      </c>
      <c r="F44" s="275" t="s">
        <v>692</v>
      </c>
      <c r="G44" s="275" t="s">
        <v>669</v>
      </c>
      <c r="H44" s="271"/>
      <c r="I44" s="276"/>
      <c r="J44" s="276"/>
      <c r="K44" s="276"/>
      <c r="L44" s="276"/>
      <c r="M44" s="276"/>
      <c r="N44" s="271"/>
      <c r="O44" s="276"/>
      <c r="P44" s="276"/>
      <c r="Q44" s="276"/>
      <c r="R44" s="276"/>
      <c r="S44" s="276"/>
    </row>
    <row r="45" spans="1:19" x14ac:dyDescent="0.3">
      <c r="A45" s="401"/>
      <c r="B45" s="271"/>
      <c r="C45" s="276"/>
      <c r="D45" s="276"/>
      <c r="E45" s="276"/>
      <c r="F45" s="276"/>
      <c r="G45" s="276"/>
      <c r="H45" s="271"/>
      <c r="I45" s="276"/>
      <c r="J45" s="276"/>
      <c r="K45" s="276"/>
      <c r="L45" s="276"/>
      <c r="M45" s="276"/>
      <c r="N45" s="271"/>
      <c r="O45" s="276"/>
      <c r="P45" s="276"/>
      <c r="Q45" s="276"/>
      <c r="R45" s="276"/>
      <c r="S45" s="276"/>
    </row>
    <row r="46" spans="1:19" x14ac:dyDescent="0.3">
      <c r="A46" s="401"/>
      <c r="B46" s="271"/>
      <c r="C46" s="276"/>
      <c r="D46" s="276"/>
      <c r="E46" s="276"/>
      <c r="F46" s="276"/>
      <c r="G46" s="276"/>
      <c r="H46" s="271"/>
      <c r="I46" s="276"/>
      <c r="J46" s="276"/>
      <c r="K46" s="276"/>
      <c r="L46" s="276"/>
      <c r="M46" s="276"/>
      <c r="N46" s="271"/>
      <c r="O46" s="276"/>
      <c r="P46" s="276"/>
      <c r="Q46" s="276"/>
      <c r="R46" s="276"/>
      <c r="S46" s="276"/>
    </row>
    <row r="47" spans="1:19" ht="15" thickBot="1" x14ac:dyDescent="0.35">
      <c r="A47" s="402"/>
      <c r="B47" s="271"/>
      <c r="C47" s="276"/>
      <c r="D47" s="276"/>
      <c r="E47" s="276"/>
      <c r="F47" s="276"/>
      <c r="G47" s="276"/>
      <c r="H47" s="271"/>
      <c r="I47" s="276"/>
      <c r="J47" s="276"/>
      <c r="K47" s="276"/>
      <c r="L47" s="276"/>
      <c r="M47" s="276"/>
      <c r="N47" s="271"/>
      <c r="O47" s="276"/>
      <c r="P47" s="276"/>
      <c r="Q47" s="276"/>
      <c r="R47" s="276"/>
      <c r="S47" s="276"/>
    </row>
    <row r="48" spans="1:19" ht="15" thickBot="1" x14ac:dyDescent="0.35">
      <c r="A48" s="274"/>
      <c r="B48" s="271"/>
      <c r="C48" s="271"/>
      <c r="D48" s="271"/>
      <c r="E48" s="271"/>
      <c r="F48" s="271"/>
      <c r="G48" s="271"/>
      <c r="H48" s="271"/>
      <c r="I48" s="271"/>
      <c r="J48" s="271"/>
      <c r="K48" s="271"/>
      <c r="L48" s="271"/>
      <c r="M48" s="271"/>
      <c r="N48" s="271"/>
      <c r="O48" s="271"/>
      <c r="P48" s="271"/>
      <c r="Q48" s="271"/>
      <c r="R48" s="271"/>
      <c r="S48" s="271"/>
    </row>
    <row r="49" spans="1:19" x14ac:dyDescent="0.3">
      <c r="A49" s="403" t="s">
        <v>693</v>
      </c>
      <c r="B49" s="271"/>
      <c r="C49" s="275" t="s">
        <v>694</v>
      </c>
      <c r="D49" s="275" t="s">
        <v>694</v>
      </c>
      <c r="E49" s="275" t="s">
        <v>694</v>
      </c>
      <c r="F49" s="275" t="s">
        <v>694</v>
      </c>
      <c r="G49" s="275" t="s">
        <v>669</v>
      </c>
      <c r="H49" s="271"/>
      <c r="I49" s="276"/>
      <c r="J49" s="276"/>
      <c r="K49" s="276"/>
      <c r="L49" s="276"/>
      <c r="M49" s="276"/>
      <c r="N49" s="271"/>
      <c r="O49" s="276"/>
      <c r="P49" s="276"/>
      <c r="Q49" s="276"/>
      <c r="R49" s="276"/>
      <c r="S49" s="276"/>
    </row>
    <row r="50" spans="1:19" x14ac:dyDescent="0.3">
      <c r="A50" s="404"/>
      <c r="B50" s="271"/>
      <c r="C50" s="277"/>
      <c r="D50" s="277"/>
      <c r="E50" s="277"/>
      <c r="F50" s="277"/>
      <c r="G50" s="277"/>
      <c r="H50" s="271"/>
      <c r="I50" s="277"/>
      <c r="J50" s="277"/>
      <c r="K50" s="277"/>
      <c r="L50" s="277"/>
      <c r="M50" s="277"/>
      <c r="N50" s="271"/>
      <c r="O50" s="277"/>
      <c r="P50" s="277"/>
      <c r="Q50" s="277"/>
      <c r="R50" s="277"/>
      <c r="S50" s="277"/>
    </row>
    <row r="51" spans="1:19" x14ac:dyDescent="0.3">
      <c r="A51" s="404"/>
      <c r="B51" s="271"/>
      <c r="C51" s="277"/>
      <c r="D51" s="277"/>
      <c r="E51" s="277"/>
      <c r="F51" s="277"/>
      <c r="G51" s="277"/>
      <c r="H51" s="271"/>
      <c r="I51" s="277"/>
      <c r="J51" s="277"/>
      <c r="K51" s="277"/>
      <c r="L51" s="277"/>
      <c r="M51" s="277"/>
      <c r="N51" s="271"/>
      <c r="O51" s="277"/>
      <c r="P51" s="277"/>
      <c r="Q51" s="277"/>
      <c r="R51" s="277"/>
      <c r="S51" s="277"/>
    </row>
    <row r="52" spans="1:19" ht="15" thickBot="1" x14ac:dyDescent="0.35">
      <c r="A52" s="405"/>
      <c r="B52" s="271"/>
      <c r="C52" s="277"/>
      <c r="D52" s="277"/>
      <c r="E52" s="277"/>
      <c r="F52" s="277"/>
      <c r="G52" s="277"/>
      <c r="H52" s="271"/>
      <c r="I52" s="277"/>
      <c r="J52" s="277"/>
      <c r="K52" s="277"/>
      <c r="L52" s="277"/>
      <c r="M52" s="277"/>
      <c r="N52" s="271"/>
      <c r="O52" s="277"/>
      <c r="P52" s="277"/>
      <c r="Q52" s="277"/>
      <c r="R52" s="277"/>
      <c r="S52" s="277"/>
    </row>
    <row r="53" spans="1:19" ht="15" thickBot="1" x14ac:dyDescent="0.35">
      <c r="A53" s="274"/>
      <c r="B53" s="271"/>
      <c r="C53" s="271"/>
      <c r="D53" s="271"/>
      <c r="E53" s="271"/>
      <c r="F53" s="271"/>
      <c r="G53" s="271"/>
      <c r="H53" s="271"/>
      <c r="I53" s="271"/>
      <c r="J53" s="271"/>
      <c r="K53" s="271"/>
      <c r="L53" s="271"/>
      <c r="M53" s="271"/>
      <c r="N53" s="271"/>
      <c r="O53" s="271"/>
      <c r="P53" s="271"/>
      <c r="Q53" s="271"/>
      <c r="R53" s="271"/>
      <c r="S53" s="271"/>
    </row>
    <row r="54" spans="1:19" x14ac:dyDescent="0.3">
      <c r="A54" s="400" t="s">
        <v>695</v>
      </c>
      <c r="B54" s="271"/>
      <c r="C54" s="276"/>
      <c r="D54" s="276"/>
      <c r="E54" s="276"/>
      <c r="F54" s="276"/>
      <c r="G54" s="275" t="s">
        <v>669</v>
      </c>
      <c r="H54" s="271"/>
      <c r="I54" s="276"/>
      <c r="J54" s="276"/>
      <c r="K54" s="276"/>
      <c r="L54" s="276"/>
      <c r="M54" s="276"/>
      <c r="N54" s="271"/>
      <c r="O54" s="276"/>
      <c r="P54" s="276"/>
      <c r="Q54" s="276"/>
      <c r="R54" s="276"/>
      <c r="S54" s="276"/>
    </row>
    <row r="55" spans="1:19" x14ac:dyDescent="0.3">
      <c r="A55" s="401"/>
      <c r="B55" s="271"/>
      <c r="C55" s="277"/>
      <c r="D55" s="277"/>
      <c r="E55" s="277"/>
      <c r="F55" s="277"/>
      <c r="G55" s="277"/>
      <c r="H55" s="271"/>
      <c r="I55" s="277"/>
      <c r="J55" s="277"/>
      <c r="K55" s="277"/>
      <c r="L55" s="277"/>
      <c r="M55" s="277"/>
      <c r="N55" s="271"/>
      <c r="O55" s="277"/>
      <c r="P55" s="277"/>
      <c r="Q55" s="277"/>
      <c r="R55" s="277"/>
      <c r="S55" s="277"/>
    </row>
    <row r="56" spans="1:19" x14ac:dyDescent="0.3">
      <c r="A56" s="401"/>
      <c r="B56" s="271"/>
      <c r="C56" s="277"/>
      <c r="D56" s="277"/>
      <c r="E56" s="277"/>
      <c r="F56" s="277"/>
      <c r="G56" s="277"/>
      <c r="H56" s="271"/>
      <c r="I56" s="277"/>
      <c r="J56" s="277"/>
      <c r="K56" s="277"/>
      <c r="L56" s="277"/>
      <c r="M56" s="277"/>
      <c r="N56" s="271"/>
      <c r="O56" s="277"/>
      <c r="P56" s="277"/>
      <c r="Q56" s="277"/>
      <c r="R56" s="277"/>
      <c r="S56" s="277"/>
    </row>
    <row r="57" spans="1:19" ht="15" thickBot="1" x14ac:dyDescent="0.35">
      <c r="A57" s="402"/>
      <c r="B57" s="271"/>
      <c r="C57" s="277"/>
      <c r="D57" s="277"/>
      <c r="E57" s="277"/>
      <c r="F57" s="277"/>
      <c r="G57" s="277"/>
      <c r="H57" s="271"/>
      <c r="I57" s="277"/>
      <c r="J57" s="277"/>
      <c r="K57" s="277"/>
      <c r="L57" s="277"/>
      <c r="M57" s="277"/>
      <c r="N57" s="271"/>
      <c r="O57" s="277"/>
      <c r="P57" s="277"/>
      <c r="Q57" s="277"/>
      <c r="R57" s="277"/>
      <c r="S57" s="277"/>
    </row>
    <row r="58" spans="1:19" ht="15" thickBot="1" x14ac:dyDescent="0.35">
      <c r="A58" s="274"/>
      <c r="B58" s="271"/>
      <c r="C58" s="271"/>
      <c r="D58" s="271"/>
      <c r="E58" s="271"/>
      <c r="F58" s="271"/>
      <c r="G58" s="271"/>
      <c r="H58" s="271"/>
      <c r="I58" s="271"/>
      <c r="J58" s="271"/>
      <c r="K58" s="271"/>
      <c r="L58" s="271"/>
      <c r="M58" s="271"/>
      <c r="N58" s="271"/>
      <c r="O58" s="271"/>
      <c r="P58" s="271"/>
      <c r="Q58" s="271"/>
      <c r="R58" s="271"/>
      <c r="S58" s="271"/>
    </row>
    <row r="59" spans="1:19" x14ac:dyDescent="0.3">
      <c r="A59" s="400" t="s">
        <v>696</v>
      </c>
      <c r="B59" s="271"/>
      <c r="C59" s="275" t="s">
        <v>697</v>
      </c>
      <c r="D59" s="275" t="s">
        <v>697</v>
      </c>
      <c r="E59" s="275" t="s">
        <v>697</v>
      </c>
      <c r="F59" s="276"/>
      <c r="G59" s="276"/>
      <c r="H59" s="271"/>
      <c r="I59" s="276"/>
      <c r="J59" s="276"/>
      <c r="K59" s="276"/>
      <c r="L59" s="276"/>
      <c r="M59" s="276"/>
      <c r="N59" s="271"/>
      <c r="O59" s="276"/>
      <c r="P59" s="276"/>
      <c r="Q59" s="276"/>
      <c r="R59" s="276"/>
      <c r="S59" s="276"/>
    </row>
    <row r="60" spans="1:19" x14ac:dyDescent="0.3">
      <c r="A60" s="401"/>
      <c r="B60" s="271"/>
      <c r="C60" s="277"/>
      <c r="D60" s="277"/>
      <c r="E60" s="277"/>
      <c r="F60" s="277"/>
      <c r="G60" s="277"/>
      <c r="H60" s="271"/>
      <c r="I60" s="277"/>
      <c r="J60" s="277"/>
      <c r="K60" s="277"/>
      <c r="L60" s="277"/>
      <c r="M60" s="277"/>
      <c r="N60" s="271"/>
      <c r="O60" s="277"/>
      <c r="P60" s="277"/>
      <c r="Q60" s="277"/>
      <c r="R60" s="277"/>
      <c r="S60" s="277"/>
    </row>
    <row r="61" spans="1:19" x14ac:dyDescent="0.3">
      <c r="A61" s="401"/>
      <c r="B61" s="271"/>
      <c r="C61" s="277"/>
      <c r="D61" s="277"/>
      <c r="E61" s="277"/>
      <c r="F61" s="277"/>
      <c r="G61" s="277"/>
      <c r="H61" s="271"/>
      <c r="I61" s="277"/>
      <c r="J61" s="277"/>
      <c r="K61" s="277"/>
      <c r="L61" s="277"/>
      <c r="M61" s="277"/>
      <c r="N61" s="271"/>
      <c r="O61" s="277"/>
      <c r="P61" s="277"/>
      <c r="Q61" s="277"/>
      <c r="R61" s="277"/>
      <c r="S61" s="277"/>
    </row>
    <row r="62" spans="1:19" ht="15" thickBot="1" x14ac:dyDescent="0.35">
      <c r="A62" s="402"/>
      <c r="B62" s="271"/>
      <c r="C62" s="277"/>
      <c r="D62" s="277"/>
      <c r="E62" s="277"/>
      <c r="F62" s="277"/>
      <c r="G62" s="277"/>
      <c r="H62" s="271"/>
      <c r="I62" s="277"/>
      <c r="J62" s="277"/>
      <c r="K62" s="277"/>
      <c r="L62" s="277"/>
      <c r="M62" s="277"/>
      <c r="N62" s="271"/>
      <c r="O62" s="277"/>
      <c r="P62" s="277"/>
      <c r="Q62" s="277"/>
      <c r="R62" s="277"/>
      <c r="S62" s="277"/>
    </row>
    <row r="63" spans="1:19" x14ac:dyDescent="0.3">
      <c r="A63" s="279"/>
      <c r="B63" s="271"/>
      <c r="C63" s="271"/>
      <c r="D63" s="271"/>
      <c r="E63" s="271"/>
      <c r="F63" s="271"/>
      <c r="G63" s="271"/>
      <c r="H63" s="271"/>
      <c r="I63" s="271"/>
      <c r="J63" s="271"/>
      <c r="K63" s="271"/>
      <c r="L63" s="271"/>
      <c r="M63" s="271"/>
      <c r="N63" s="271"/>
      <c r="O63" s="271"/>
      <c r="P63" s="271"/>
      <c r="Q63" s="271"/>
      <c r="R63" s="271"/>
      <c r="S63" s="271"/>
    </row>
  </sheetData>
  <mergeCells count="12">
    <mergeCell ref="A59:A62"/>
    <mergeCell ref="A4:A7"/>
    <mergeCell ref="A9:A12"/>
    <mergeCell ref="A14:A17"/>
    <mergeCell ref="A19:A22"/>
    <mergeCell ref="A24:A27"/>
    <mergeCell ref="A29:A32"/>
    <mergeCell ref="A34:A37"/>
    <mergeCell ref="A39:A42"/>
    <mergeCell ref="A44:A47"/>
    <mergeCell ref="A49:A52"/>
    <mergeCell ref="A54:A57"/>
  </mergeCells>
  <pageMargins left="0.25" right="0.25" top="0.75" bottom="0.75" header="0.3" footer="0.3"/>
  <pageSetup paperSize="3" scale="4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30</vt:i4>
      </vt:variant>
    </vt:vector>
  </HeadingPairs>
  <TitlesOfParts>
    <vt:vector size="41" baseType="lpstr">
      <vt:lpstr>MENU</vt:lpstr>
      <vt:lpstr>WORKCELL CONFIGURATOR</vt:lpstr>
      <vt:lpstr>WORKCELL BOM</vt:lpstr>
      <vt:lpstr>WORKCELL FORMS</vt:lpstr>
      <vt:lpstr>WORKCELL DATA</vt:lpstr>
      <vt:lpstr>Material</vt:lpstr>
      <vt:lpstr>Data</vt:lpstr>
      <vt:lpstr>Revisions</vt:lpstr>
      <vt:lpstr>IMAGES</vt:lpstr>
      <vt:lpstr>Program Creation</vt:lpstr>
      <vt:lpstr>Calendar</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2017-03-01T13:10:46Z</cp:lastPrinted>
  <dcterms:created xsi:type="dcterms:W3CDTF">2014-10-02T20:45:56Z</dcterms:created>
  <dcterms:modified xsi:type="dcterms:W3CDTF">2017-03-06T18:35:58Z</dcterms:modified>
</cp:coreProperties>
</file>