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derbarton/Documents/Python Learning/Python Projects/Pokemon_Data/"/>
    </mc:Choice>
  </mc:AlternateContent>
  <xr:revisionPtr revIDLastSave="0" documentId="13_ncr:1_{0F0A590E-D43B-E249-9CD0-E2F75707A2B8}" xr6:coauthVersionLast="47" xr6:coauthVersionMax="47" xr10:uidLastSave="{00000000-0000-0000-0000-000000000000}"/>
  <bookViews>
    <workbookView xWindow="-38400" yWindow="-3100" windowWidth="38400" windowHeight="19360" xr2:uid="{00000000-000D-0000-FFFF-FFFF00000000}"/>
  </bookViews>
  <sheets>
    <sheet name="Results" sheetId="18" r:id="rId1"/>
    <sheet name="All Pokemon" sheetId="19" r:id="rId2"/>
    <sheet name="bug" sheetId="6" r:id="rId3"/>
    <sheet name="dragon" sheetId="17" r:id="rId4"/>
    <sheet name="electric" sheetId="8" r:id="rId5"/>
    <sheet name="fairy" sheetId="10" r:id="rId6"/>
    <sheet name="fighting" sheetId="11" r:id="rId7"/>
    <sheet name="fire" sheetId="3" r:id="rId8"/>
    <sheet name="flying" sheetId="4" r:id="rId9"/>
    <sheet name="ghost" sheetId="16" r:id="rId10"/>
    <sheet name="grass" sheetId="1" r:id="rId11"/>
    <sheet name="ground" sheetId="9" r:id="rId12"/>
    <sheet name="ice" sheetId="15" r:id="rId13"/>
    <sheet name="normal" sheetId="7" r:id="rId14"/>
    <sheet name="poison" sheetId="2" r:id="rId15"/>
    <sheet name="psychic" sheetId="12" r:id="rId16"/>
    <sheet name="rock" sheetId="13" r:id="rId17"/>
    <sheet name="steel" sheetId="14" r:id="rId18"/>
    <sheet name="water" sheetId="5" r:id="rId19"/>
  </sheets>
  <definedNames>
    <definedName name="_xlchart.v1.0" hidden="1">Results!$A$2:$A$18</definedName>
    <definedName name="_xlchart.v1.1" hidden="1">Results!$C$1</definedName>
    <definedName name="_xlchart.v1.2" hidden="1">Results!$C$2:$C$18</definedName>
    <definedName name="_xlchart.v2.3" hidden="1">Results!$A$2:$A$18</definedName>
    <definedName name="_xlchart.v2.4" hidden="1">Results!$C$1</definedName>
    <definedName name="_xlchart.v2.5" hidden="1">Results!$C$2:$C$18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3" i="19" l="1"/>
  <c r="D153" i="19"/>
  <c r="C2" i="18"/>
  <c r="C17" i="18"/>
  <c r="C6" i="18"/>
  <c r="C8" i="18"/>
  <c r="C7" i="18"/>
  <c r="C10" i="18"/>
  <c r="C4" i="18"/>
  <c r="C12" i="18"/>
  <c r="C18" i="18"/>
  <c r="C3" i="18"/>
  <c r="C9" i="18"/>
  <c r="C11" i="18"/>
  <c r="C16" i="18"/>
  <c r="C13" i="18"/>
  <c r="C15" i="18"/>
  <c r="C14" i="18"/>
  <c r="B2" i="18"/>
  <c r="B17" i="18"/>
  <c r="B6" i="18"/>
  <c r="B8" i="18"/>
  <c r="B7" i="18"/>
  <c r="B10" i="18"/>
  <c r="B4" i="18"/>
  <c r="B12" i="18"/>
  <c r="B18" i="18"/>
  <c r="B3" i="18"/>
  <c r="B9" i="18"/>
  <c r="B11" i="18"/>
  <c r="B16" i="18"/>
  <c r="B13" i="18"/>
  <c r="E15" i="6"/>
  <c r="D15" i="6"/>
  <c r="E14" i="6"/>
  <c r="D14" i="6"/>
  <c r="B14" i="18"/>
  <c r="B15" i="18"/>
  <c r="E34" i="5"/>
  <c r="D34" i="5"/>
  <c r="E35" i="5"/>
  <c r="D35" i="5"/>
  <c r="D4" i="14"/>
  <c r="E4" i="14"/>
  <c r="E5" i="14"/>
  <c r="D5" i="14"/>
  <c r="E13" i="13"/>
  <c r="D13" i="13"/>
  <c r="E14" i="13"/>
  <c r="D14" i="13"/>
  <c r="E16" i="12"/>
  <c r="D16" i="12"/>
  <c r="E17" i="12"/>
  <c r="D17" i="12"/>
  <c r="D35" i="2"/>
  <c r="E35" i="2"/>
  <c r="E36" i="2"/>
  <c r="D36" i="2"/>
  <c r="E24" i="7"/>
  <c r="C5" i="18" s="1"/>
  <c r="D24" i="7"/>
  <c r="B5" i="18" s="1"/>
  <c r="E25" i="7"/>
  <c r="D25" i="7"/>
  <c r="E7" i="15"/>
  <c r="D7" i="15"/>
  <c r="E8" i="15"/>
  <c r="D8" i="15"/>
  <c r="D16" i="9"/>
  <c r="E16" i="9"/>
  <c r="E17" i="9"/>
  <c r="D17" i="9"/>
  <c r="E17" i="1"/>
  <c r="D17" i="1"/>
  <c r="E16" i="1"/>
  <c r="D16" i="1"/>
  <c r="D5" i="16"/>
  <c r="E5" i="16"/>
  <c r="E6" i="16"/>
  <c r="D6" i="16"/>
  <c r="E21" i="4"/>
  <c r="D21" i="4"/>
  <c r="E22" i="4"/>
  <c r="D22" i="4"/>
  <c r="E14" i="3"/>
  <c r="D14" i="3"/>
  <c r="E15" i="3"/>
  <c r="D15" i="3"/>
  <c r="D10" i="11"/>
  <c r="E10" i="11"/>
  <c r="E11" i="11"/>
  <c r="D11" i="11"/>
  <c r="E7" i="10"/>
  <c r="D7" i="10"/>
  <c r="E8" i="10"/>
  <c r="D8" i="10"/>
  <c r="D11" i="8"/>
  <c r="E11" i="8"/>
  <c r="E12" i="8"/>
  <c r="D12" i="8"/>
  <c r="E6" i="17"/>
  <c r="D6" i="17"/>
  <c r="D5" i="17"/>
  <c r="E5" i="17"/>
</calcChain>
</file>

<file path=xl/sharedStrings.xml><?xml version="1.0" encoding="utf-8"?>
<sst xmlns="http://schemas.openxmlformats.org/spreadsheetml/2006/main" count="1254" uniqueCount="370">
  <si>
    <t>ID</t>
  </si>
  <si>
    <t>Name</t>
  </si>
  <si>
    <t>Types</t>
  </si>
  <si>
    <t>Height(ft)</t>
  </si>
  <si>
    <t>Weight(lbs)</t>
  </si>
  <si>
    <t>#1</t>
  </si>
  <si>
    <t>#2</t>
  </si>
  <si>
    <t>#3</t>
  </si>
  <si>
    <t>#43</t>
  </si>
  <si>
    <t>#44</t>
  </si>
  <si>
    <t>#45</t>
  </si>
  <si>
    <t>#46</t>
  </si>
  <si>
    <t>#47</t>
  </si>
  <si>
    <t>#69</t>
  </si>
  <si>
    <t>#70</t>
  </si>
  <si>
    <t>#71</t>
  </si>
  <si>
    <t>#102</t>
  </si>
  <si>
    <t>#103</t>
  </si>
  <si>
    <t>#114</t>
  </si>
  <si>
    <t>Bulbasaur</t>
  </si>
  <si>
    <t>Ivysaur</t>
  </si>
  <si>
    <t>Venusaur</t>
  </si>
  <si>
    <t>Oddish</t>
  </si>
  <si>
    <t>Gloom</t>
  </si>
  <si>
    <t>Vileplume</t>
  </si>
  <si>
    <t>Paras</t>
  </si>
  <si>
    <t>Parasect</t>
  </si>
  <si>
    <t>Bellsprout</t>
  </si>
  <si>
    <t>Weepinbell</t>
  </si>
  <si>
    <t>Victreebel</t>
  </si>
  <si>
    <t>Exeggcute</t>
  </si>
  <si>
    <t>Exeggutor</t>
  </si>
  <si>
    <t>Tangela</t>
  </si>
  <si>
    <t>grass, poison</t>
  </si>
  <si>
    <t>bug, grass</t>
  </si>
  <si>
    <t>grass, psychic</t>
  </si>
  <si>
    <t>grass</t>
  </si>
  <si>
    <t>#13</t>
  </si>
  <si>
    <t>#14</t>
  </si>
  <si>
    <t>#15</t>
  </si>
  <si>
    <t>#23</t>
  </si>
  <si>
    <t>#24</t>
  </si>
  <si>
    <t>#29</t>
  </si>
  <si>
    <t>#30</t>
  </si>
  <si>
    <t>#31</t>
  </si>
  <si>
    <t>#32</t>
  </si>
  <si>
    <t>#33</t>
  </si>
  <si>
    <t>#34</t>
  </si>
  <si>
    <t>#41</t>
  </si>
  <si>
    <t>#42</t>
  </si>
  <si>
    <t>#48</t>
  </si>
  <si>
    <t>#49</t>
  </si>
  <si>
    <t>#72</t>
  </si>
  <si>
    <t>#73</t>
  </si>
  <si>
    <t>#88</t>
  </si>
  <si>
    <t>#89</t>
  </si>
  <si>
    <t>#92</t>
  </si>
  <si>
    <t>#93</t>
  </si>
  <si>
    <t>#94</t>
  </si>
  <si>
    <t>#109</t>
  </si>
  <si>
    <t>#110</t>
  </si>
  <si>
    <t>Weedle</t>
  </si>
  <si>
    <t>Kakuna</t>
  </si>
  <si>
    <t>Beedrill</t>
  </si>
  <si>
    <t>Ekans</t>
  </si>
  <si>
    <t>Arbok</t>
  </si>
  <si>
    <t>Nidoran-F</t>
  </si>
  <si>
    <t>Nidorina</t>
  </si>
  <si>
    <t>Nidoqueen</t>
  </si>
  <si>
    <t>Nidoran-M</t>
  </si>
  <si>
    <t>Nidorino</t>
  </si>
  <si>
    <t>Nidoking</t>
  </si>
  <si>
    <t>Zubat</t>
  </si>
  <si>
    <t>Golbat</t>
  </si>
  <si>
    <t>Venonat</t>
  </si>
  <si>
    <t>Venomoth</t>
  </si>
  <si>
    <t>Tentacool</t>
  </si>
  <si>
    <t>Tentacruel</t>
  </si>
  <si>
    <t>Grimer</t>
  </si>
  <si>
    <t>Muk</t>
  </si>
  <si>
    <t>Gastly</t>
  </si>
  <si>
    <t>Haunter</t>
  </si>
  <si>
    <t>Gengar</t>
  </si>
  <si>
    <t>Koffing</t>
  </si>
  <si>
    <t>Weezing</t>
  </si>
  <si>
    <t>bug, poison</t>
  </si>
  <si>
    <t>poison</t>
  </si>
  <si>
    <t>poison, ground</t>
  </si>
  <si>
    <t>poison, flying</t>
  </si>
  <si>
    <t>water, poison</t>
  </si>
  <si>
    <t>ghost, poison</t>
  </si>
  <si>
    <t>#4</t>
  </si>
  <si>
    <t>#5</t>
  </si>
  <si>
    <t>#6</t>
  </si>
  <si>
    <t>#37</t>
  </si>
  <si>
    <t>#38</t>
  </si>
  <si>
    <t>#58</t>
  </si>
  <si>
    <t>#59</t>
  </si>
  <si>
    <t>#77</t>
  </si>
  <si>
    <t>#78</t>
  </si>
  <si>
    <t>#126</t>
  </si>
  <si>
    <t>#136</t>
  </si>
  <si>
    <t>#146</t>
  </si>
  <si>
    <t>Charmander</t>
  </si>
  <si>
    <t>Charmeleon</t>
  </si>
  <si>
    <t>Charizard</t>
  </si>
  <si>
    <t>Vulpix</t>
  </si>
  <si>
    <t>Ninetales</t>
  </si>
  <si>
    <t>Growlithe</t>
  </si>
  <si>
    <t>Arcanine</t>
  </si>
  <si>
    <t>Ponyta</t>
  </si>
  <si>
    <t>Rapidash</t>
  </si>
  <si>
    <t>Magmar</t>
  </si>
  <si>
    <t>Flareon</t>
  </si>
  <si>
    <t>Moltres</t>
  </si>
  <si>
    <t>fire</t>
  </si>
  <si>
    <t>fire, flying</t>
  </si>
  <si>
    <t>#12</t>
  </si>
  <si>
    <t>#16</t>
  </si>
  <si>
    <t>#17</t>
  </si>
  <si>
    <t>#18</t>
  </si>
  <si>
    <t>#21</t>
  </si>
  <si>
    <t>#22</t>
  </si>
  <si>
    <t>#83</t>
  </si>
  <si>
    <t>#84</t>
  </si>
  <si>
    <t>#85</t>
  </si>
  <si>
    <t>#123</t>
  </si>
  <si>
    <t>#130</t>
  </si>
  <si>
    <t>#142</t>
  </si>
  <si>
    <t>#144</t>
  </si>
  <si>
    <t>#145</t>
  </si>
  <si>
    <t>#149</t>
  </si>
  <si>
    <t>Butterfree</t>
  </si>
  <si>
    <t>Pidgey</t>
  </si>
  <si>
    <t>Pidgeotto</t>
  </si>
  <si>
    <t>Pidgeot</t>
  </si>
  <si>
    <t>Spearow</t>
  </si>
  <si>
    <t>Fearow</t>
  </si>
  <si>
    <t>Farfetchd</t>
  </si>
  <si>
    <t>Doduo</t>
  </si>
  <si>
    <t>Dodrio</t>
  </si>
  <si>
    <t>Scyther</t>
  </si>
  <si>
    <t>Gyarados</t>
  </si>
  <si>
    <t>Aerodactyl</t>
  </si>
  <si>
    <t>Articuno</t>
  </si>
  <si>
    <t>Zapdos</t>
  </si>
  <si>
    <t>Dragonite</t>
  </si>
  <si>
    <t>bug, flying</t>
  </si>
  <si>
    <t>normal, flying</t>
  </si>
  <si>
    <t>water, flying</t>
  </si>
  <si>
    <t>rock, flying</t>
  </si>
  <si>
    <t>ice, flying</t>
  </si>
  <si>
    <t>electric, flying</t>
  </si>
  <si>
    <t>dragon, flying</t>
  </si>
  <si>
    <t>#7</t>
  </si>
  <si>
    <t>#8</t>
  </si>
  <si>
    <t>#9</t>
  </si>
  <si>
    <t>#54</t>
  </si>
  <si>
    <t>#55</t>
  </si>
  <si>
    <t>#60</t>
  </si>
  <si>
    <t>#61</t>
  </si>
  <si>
    <t>#62</t>
  </si>
  <si>
    <t>#79</t>
  </si>
  <si>
    <t>#80</t>
  </si>
  <si>
    <t>#86</t>
  </si>
  <si>
    <t>#87</t>
  </si>
  <si>
    <t>#90</t>
  </si>
  <si>
    <t>#91</t>
  </si>
  <si>
    <t>#98</t>
  </si>
  <si>
    <t>#99</t>
  </si>
  <si>
    <t>#116</t>
  </si>
  <si>
    <t>#117</t>
  </si>
  <si>
    <t>#118</t>
  </si>
  <si>
    <t>#119</t>
  </si>
  <si>
    <t>#120</t>
  </si>
  <si>
    <t>#121</t>
  </si>
  <si>
    <t>#129</t>
  </si>
  <si>
    <t>#131</t>
  </si>
  <si>
    <t>#134</t>
  </si>
  <si>
    <t>#138</t>
  </si>
  <si>
    <t>#139</t>
  </si>
  <si>
    <t>#140</t>
  </si>
  <si>
    <t>#141</t>
  </si>
  <si>
    <t>Squirtle</t>
  </si>
  <si>
    <t>Wartortle</t>
  </si>
  <si>
    <t>Blastoise</t>
  </si>
  <si>
    <t>Psyduck</t>
  </si>
  <si>
    <t>Golduck</t>
  </si>
  <si>
    <t>Poliwag</t>
  </si>
  <si>
    <t>Poliwhirl</t>
  </si>
  <si>
    <t>Poliwrath</t>
  </si>
  <si>
    <t>Slowpoke</t>
  </si>
  <si>
    <t>Slowbro</t>
  </si>
  <si>
    <t>Seel</t>
  </si>
  <si>
    <t>Dewgong</t>
  </si>
  <si>
    <t>Shellder</t>
  </si>
  <si>
    <t>Cloyster</t>
  </si>
  <si>
    <t>Krabby</t>
  </si>
  <si>
    <t>Kingler</t>
  </si>
  <si>
    <t>Horsea</t>
  </si>
  <si>
    <t>Seadra</t>
  </si>
  <si>
    <t>Goldeen</t>
  </si>
  <si>
    <t>Seaking</t>
  </si>
  <si>
    <t>Staryu</t>
  </si>
  <si>
    <t>Starmie</t>
  </si>
  <si>
    <t>Magikarp</t>
  </si>
  <si>
    <t>Lapras</t>
  </si>
  <si>
    <t>Vaporeon</t>
  </si>
  <si>
    <t>Omanyte</t>
  </si>
  <si>
    <t>Omastar</t>
  </si>
  <si>
    <t>Kabuto</t>
  </si>
  <si>
    <t>Kabutops</t>
  </si>
  <si>
    <t>water</t>
  </si>
  <si>
    <t>water, fighting</t>
  </si>
  <si>
    <t>water, psychic</t>
  </si>
  <si>
    <t>water, ice</t>
  </si>
  <si>
    <t>rock, water</t>
  </si>
  <si>
    <t>#10</t>
  </si>
  <si>
    <t>#11</t>
  </si>
  <si>
    <t>#127</t>
  </si>
  <si>
    <t>Caterpie</t>
  </si>
  <si>
    <t>Metapod</t>
  </si>
  <si>
    <t>Pinsir</t>
  </si>
  <si>
    <t>bug</t>
  </si>
  <si>
    <t>#19</t>
  </si>
  <si>
    <t>#20</t>
  </si>
  <si>
    <t>#39</t>
  </si>
  <si>
    <t>#40</t>
  </si>
  <si>
    <t>#52</t>
  </si>
  <si>
    <t>#53</t>
  </si>
  <si>
    <t>#108</t>
  </si>
  <si>
    <t>#113</t>
  </si>
  <si>
    <t>#115</t>
  </si>
  <si>
    <t>#128</t>
  </si>
  <si>
    <t>#132</t>
  </si>
  <si>
    <t>#133</t>
  </si>
  <si>
    <t>#137</t>
  </si>
  <si>
    <t>#143</t>
  </si>
  <si>
    <t>Rattata</t>
  </si>
  <si>
    <t>Raticate</t>
  </si>
  <si>
    <t>Jigglypuff</t>
  </si>
  <si>
    <t>Wigglytuff</t>
  </si>
  <si>
    <t>Meowth</t>
  </si>
  <si>
    <t>Persian</t>
  </si>
  <si>
    <t>Lickitung</t>
  </si>
  <si>
    <t>Chansey</t>
  </si>
  <si>
    <t>Kangaskhan</t>
  </si>
  <si>
    <t>Tauros</t>
  </si>
  <si>
    <t>Ditto</t>
  </si>
  <si>
    <t>Eevee</t>
  </si>
  <si>
    <t>Porygon</t>
  </si>
  <si>
    <t>Snorlax</t>
  </si>
  <si>
    <t>normal</t>
  </si>
  <si>
    <t>normal, fairy</t>
  </si>
  <si>
    <t>#25</t>
  </si>
  <si>
    <t>#26</t>
  </si>
  <si>
    <t>#81</t>
  </si>
  <si>
    <t>#82</t>
  </si>
  <si>
    <t>#100</t>
  </si>
  <si>
    <t>#101</t>
  </si>
  <si>
    <t>#125</t>
  </si>
  <si>
    <t>#135</t>
  </si>
  <si>
    <t>Pikachu</t>
  </si>
  <si>
    <t>Raichu</t>
  </si>
  <si>
    <t>Magnemite</t>
  </si>
  <si>
    <t>Magneton</t>
  </si>
  <si>
    <t>Voltorb</t>
  </si>
  <si>
    <t>Electrode</t>
  </si>
  <si>
    <t>Electabuzz</t>
  </si>
  <si>
    <t>Jolteon</t>
  </si>
  <si>
    <t>electric</t>
  </si>
  <si>
    <t>electric, steel</t>
  </si>
  <si>
    <t>#27</t>
  </si>
  <si>
    <t>#28</t>
  </si>
  <si>
    <t>#50</t>
  </si>
  <si>
    <t>#51</t>
  </si>
  <si>
    <t>#74</t>
  </si>
  <si>
    <t>#75</t>
  </si>
  <si>
    <t>#76</t>
  </si>
  <si>
    <t>#95</t>
  </si>
  <si>
    <t>#104</t>
  </si>
  <si>
    <t>#105</t>
  </si>
  <si>
    <t>#111</t>
  </si>
  <si>
    <t>#112</t>
  </si>
  <si>
    <t>Sandshrew</t>
  </si>
  <si>
    <t>Sandslash</t>
  </si>
  <si>
    <t>Diglett</t>
  </si>
  <si>
    <t>Dugtrio</t>
  </si>
  <si>
    <t>Geodude</t>
  </si>
  <si>
    <t>Graveler</t>
  </si>
  <si>
    <t>Golem</t>
  </si>
  <si>
    <t>Onix</t>
  </si>
  <si>
    <t>Cubone</t>
  </si>
  <si>
    <t>Marowak</t>
  </si>
  <si>
    <t>Rhyhorn</t>
  </si>
  <si>
    <t>Rhydon</t>
  </si>
  <si>
    <t>ground</t>
  </si>
  <si>
    <t>rock, ground</t>
  </si>
  <si>
    <t>ground, rock</t>
  </si>
  <si>
    <t>#35</t>
  </si>
  <si>
    <t>#36</t>
  </si>
  <si>
    <t>#122</t>
  </si>
  <si>
    <t>Clefairy</t>
  </si>
  <si>
    <t>Clefable</t>
  </si>
  <si>
    <t>Mr-Mime</t>
  </si>
  <si>
    <t>fairy</t>
  </si>
  <si>
    <t>psychic, fairy</t>
  </si>
  <si>
    <t>#56</t>
  </si>
  <si>
    <t>#57</t>
  </si>
  <si>
    <t>#66</t>
  </si>
  <si>
    <t>#67</t>
  </si>
  <si>
    <t>#68</t>
  </si>
  <si>
    <t>#106</t>
  </si>
  <si>
    <t>#107</t>
  </si>
  <si>
    <t>Mankey</t>
  </si>
  <si>
    <t>Primeape</t>
  </si>
  <si>
    <t>Machop</t>
  </si>
  <si>
    <t>Machoke</t>
  </si>
  <si>
    <t>Machamp</t>
  </si>
  <si>
    <t>Hitmonlee</t>
  </si>
  <si>
    <t>Hitmonchan</t>
  </si>
  <si>
    <t>fighting</t>
  </si>
  <si>
    <t>#63</t>
  </si>
  <si>
    <t>#64</t>
  </si>
  <si>
    <t>#65</t>
  </si>
  <si>
    <t>#96</t>
  </si>
  <si>
    <t>#97</t>
  </si>
  <si>
    <t>#124</t>
  </si>
  <si>
    <t>#150</t>
  </si>
  <si>
    <t>#151</t>
  </si>
  <si>
    <t>Abra</t>
  </si>
  <si>
    <t>Kadabra</t>
  </si>
  <si>
    <t>Alakazam</t>
  </si>
  <si>
    <t>Drowzee</t>
  </si>
  <si>
    <t>Hypno</t>
  </si>
  <si>
    <t>Jynx</t>
  </si>
  <si>
    <t>Mewtwo</t>
  </si>
  <si>
    <t>Mew</t>
  </si>
  <si>
    <t>psychic</t>
  </si>
  <si>
    <t>ice, psychic</t>
  </si>
  <si>
    <t>#147</t>
  </si>
  <si>
    <t>#148</t>
  </si>
  <si>
    <t>Dratini</t>
  </si>
  <si>
    <t>Dragonair</t>
  </si>
  <si>
    <t>dragon</t>
  </si>
  <si>
    <t>Total</t>
  </si>
  <si>
    <t>Total Average Height</t>
  </si>
  <si>
    <t>Total Average Weight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</si>
  <si>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</si>
  <si>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</si>
  <si>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</si>
  <si>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</si>
  <si>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</si>
  <si>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</si>
  <si>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</si>
  <si>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</si>
  <si>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</si>
  <si>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Fairy</t>
  </si>
  <si>
    <t>Fighting</t>
  </si>
  <si>
    <t>Psychic</t>
  </si>
  <si>
    <t>Rock</t>
  </si>
  <si>
    <t>Steel</t>
  </si>
  <si>
    <t>Ice</t>
  </si>
  <si>
    <t>Ghost</t>
  </si>
  <si>
    <t>Dragon</t>
  </si>
  <si>
    <t>Type</t>
  </si>
  <si>
    <t>Total Height</t>
  </si>
  <si>
    <t>Total Weight</t>
  </si>
  <si>
    <t>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</si>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</sst>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62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Table Style 1" pivot="0" count="0" xr9:uid="{F2C29153-3B04-4045-9ADA-E0D53F91878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and Average</a:t>
            </a:r>
            <a:r>
              <a:rPr lang="en-US" baseline="0"/>
              <a:t> </a:t>
            </a:r>
            <a:r>
              <a:rPr lang="en-US"/>
              <a:t>Height(ft)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Height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Results!$A$2:$A$18</c:f>
              <c:strCache>
                <c:ptCount val="17"/>
                <c:pt idx="0">
                  <c:v>Water</c:v>
                </c:pt>
                <c:pt idx="1">
                  <c:v>Flying</c:v>
                </c:pt>
                <c:pt idx="2">
                  <c:v>Ground</c:v>
                </c:pt>
                <c:pt idx="3">
                  <c:v>Normal</c:v>
                </c:pt>
                <c:pt idx="4">
                  <c:v>Rock</c:v>
                </c:pt>
                <c:pt idx="5">
                  <c:v>Poison</c:v>
                </c:pt>
                <c:pt idx="6">
                  <c:v>Psychic</c:v>
                </c:pt>
                <c:pt idx="7">
                  <c:v>Fire</c:v>
                </c:pt>
                <c:pt idx="8">
                  <c:v>Ice</c:v>
                </c:pt>
                <c:pt idx="9">
                  <c:v>Fighting</c:v>
                </c:pt>
                <c:pt idx="10">
                  <c:v>Grass</c:v>
                </c:pt>
                <c:pt idx="11">
                  <c:v>Electric</c:v>
                </c:pt>
                <c:pt idx="12">
                  <c:v>Bug</c:v>
                </c:pt>
                <c:pt idx="13">
                  <c:v>Dragon</c:v>
                </c:pt>
                <c:pt idx="14">
                  <c:v>Fairy</c:v>
                </c:pt>
                <c:pt idx="15">
                  <c:v>Steel</c:v>
                </c:pt>
                <c:pt idx="16">
                  <c:v>Ghost</c:v>
                </c:pt>
              </c:strCache>
            </c:strRef>
          </c:cat>
          <c:val>
            <c:numRef>
              <c:f>Results!$B$2:$B$18</c:f>
              <c:numCache>
                <c:formatCode>0.00</c:formatCode>
                <c:ptCount val="17"/>
                <c:pt idx="0">
                  <c:v>129.93</c:v>
                </c:pt>
                <c:pt idx="1">
                  <c:v>101.37999999999998</c:v>
                </c:pt>
                <c:pt idx="2">
                  <c:v>69.220000000000013</c:v>
                </c:pt>
                <c:pt idx="3">
                  <c:v>71.170000000000016</c:v>
                </c:pt>
                <c:pt idx="4">
                  <c:v>63.97</c:v>
                </c:pt>
                <c:pt idx="5">
                  <c:v>124.66</c:v>
                </c:pt>
                <c:pt idx="6">
                  <c:v>58.070000000000007</c:v>
                </c:pt>
                <c:pt idx="7">
                  <c:v>47.910000000000011</c:v>
                </c:pt>
                <c:pt idx="8">
                  <c:v>28.869999999999997</c:v>
                </c:pt>
                <c:pt idx="9">
                  <c:v>31.49</c:v>
                </c:pt>
                <c:pt idx="10">
                  <c:v>46.910000000000011</c:v>
                </c:pt>
                <c:pt idx="11">
                  <c:v>25.25</c:v>
                </c:pt>
                <c:pt idx="12">
                  <c:v>35.42</c:v>
                </c:pt>
                <c:pt idx="13">
                  <c:v>26.25</c:v>
                </c:pt>
                <c:pt idx="14">
                  <c:v>15.429999999999998</c:v>
                </c:pt>
                <c:pt idx="15">
                  <c:v>4.26</c:v>
                </c:pt>
                <c:pt idx="16">
                  <c:v>14.44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0-CB43-9E41-0E65CD10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928303"/>
        <c:axId val="1576968831"/>
      </c:barChart>
      <c:lineChart>
        <c:grouping val="standard"/>
        <c:varyColors val="0"/>
        <c:ser>
          <c:idx val="1"/>
          <c:order val="1"/>
          <c:tx>
            <c:v>Average Height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Results!$A$2:$A$18</c:f>
              <c:strCache>
                <c:ptCount val="17"/>
                <c:pt idx="0">
                  <c:v>Water</c:v>
                </c:pt>
                <c:pt idx="1">
                  <c:v>Flying</c:v>
                </c:pt>
                <c:pt idx="2">
                  <c:v>Ground</c:v>
                </c:pt>
                <c:pt idx="3">
                  <c:v>Normal</c:v>
                </c:pt>
                <c:pt idx="4">
                  <c:v>Rock</c:v>
                </c:pt>
                <c:pt idx="5">
                  <c:v>Poison</c:v>
                </c:pt>
                <c:pt idx="6">
                  <c:v>Psychic</c:v>
                </c:pt>
                <c:pt idx="7">
                  <c:v>Fire</c:v>
                </c:pt>
                <c:pt idx="8">
                  <c:v>Ice</c:v>
                </c:pt>
                <c:pt idx="9">
                  <c:v>Fighting</c:v>
                </c:pt>
                <c:pt idx="10">
                  <c:v>Grass</c:v>
                </c:pt>
                <c:pt idx="11">
                  <c:v>Electric</c:v>
                </c:pt>
                <c:pt idx="12">
                  <c:v>Bug</c:v>
                </c:pt>
                <c:pt idx="13">
                  <c:v>Dragon</c:v>
                </c:pt>
                <c:pt idx="14">
                  <c:v>Fairy</c:v>
                </c:pt>
                <c:pt idx="15">
                  <c:v>Steel</c:v>
                </c:pt>
                <c:pt idx="16">
                  <c:v>Ghost</c:v>
                </c:pt>
              </c:strCache>
            </c:strRef>
          </c:cat>
          <c:val>
            <c:numRef>
              <c:f>Results!$D$2:$D$18</c:f>
              <c:numCache>
                <c:formatCode>0.00</c:formatCode>
                <c:ptCount val="17"/>
                <c:pt idx="0">
                  <c:v>4.0603125000000002</c:v>
                </c:pt>
                <c:pt idx="1">
                  <c:v>5.3357894736842093</c:v>
                </c:pt>
                <c:pt idx="2">
                  <c:v>4.9442857142857148</c:v>
                </c:pt>
                <c:pt idx="3">
                  <c:v>3.2349999999999994</c:v>
                </c:pt>
                <c:pt idx="4">
                  <c:v>5.8154545454545454</c:v>
                </c:pt>
                <c:pt idx="5">
                  <c:v>3.7775757575757574</c:v>
                </c:pt>
                <c:pt idx="6">
                  <c:v>4.1478571428571431</c:v>
                </c:pt>
                <c:pt idx="7">
                  <c:v>3.992500000000001</c:v>
                </c:pt>
                <c:pt idx="8">
                  <c:v>5.7739999999999991</c:v>
                </c:pt>
                <c:pt idx="9">
                  <c:v>3.9362499999999998</c:v>
                </c:pt>
                <c:pt idx="10">
                  <c:v>3.3507142857142864</c:v>
                </c:pt>
                <c:pt idx="11">
                  <c:v>2.8055555555555554</c:v>
                </c:pt>
                <c:pt idx="12">
                  <c:v>2.9516666666666667</c:v>
                </c:pt>
                <c:pt idx="13">
                  <c:v>8.75</c:v>
                </c:pt>
                <c:pt idx="14">
                  <c:v>3.0859999999999994</c:v>
                </c:pt>
                <c:pt idx="15">
                  <c:v>2.13</c:v>
                </c:pt>
                <c:pt idx="16">
                  <c:v>4.8133333333333335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0-CB43-9E41-0E65CD10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928303"/>
        <c:axId val="1576968831"/>
      </c:lineChart>
      <c:catAx>
        <c:axId val="149392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68831"/>
        <c:crosses val="autoZero"/>
        <c:auto val="1"/>
        <c:lblAlgn val="ctr"/>
        <c:lblOffset val="100"/>
        <c:noMultiLvlLbl val="0"/>
      </c:catAx>
      <c:valAx>
        <c:axId val="15769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and Average</a:t>
            </a:r>
            <a:r>
              <a:rPr lang="en-US" baseline="0"/>
              <a:t> </a:t>
            </a:r>
            <a:r>
              <a:rPr lang="en-US"/>
              <a:t>Weight(lbs)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Weight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Results!$A$2:$A$18</c:f>
              <c:strCache>
                <c:ptCount val="17"/>
                <c:pt idx="0">
                  <c:v>Water</c:v>
                </c:pt>
                <c:pt idx="1">
                  <c:v>Flying</c:v>
                </c:pt>
                <c:pt idx="2">
                  <c:v>Ground</c:v>
                </c:pt>
                <c:pt idx="3">
                  <c:v>Normal</c:v>
                </c:pt>
                <c:pt idx="4">
                  <c:v>Rock</c:v>
                </c:pt>
                <c:pt idx="5">
                  <c:v>Poison</c:v>
                </c:pt>
                <c:pt idx="6">
                  <c:v>Psychic</c:v>
                </c:pt>
                <c:pt idx="7">
                  <c:v>Fire</c:v>
                </c:pt>
                <c:pt idx="8">
                  <c:v>Ice</c:v>
                </c:pt>
                <c:pt idx="9">
                  <c:v>Fighting</c:v>
                </c:pt>
                <c:pt idx="10">
                  <c:v>Grass</c:v>
                </c:pt>
                <c:pt idx="11">
                  <c:v>Electric</c:v>
                </c:pt>
                <c:pt idx="12">
                  <c:v>Bug</c:v>
                </c:pt>
                <c:pt idx="13">
                  <c:v>Dragon</c:v>
                </c:pt>
                <c:pt idx="14">
                  <c:v>Fairy</c:v>
                </c:pt>
                <c:pt idx="15">
                  <c:v>Steel</c:v>
                </c:pt>
                <c:pt idx="16">
                  <c:v>Ghost</c:v>
                </c:pt>
              </c:strCache>
            </c:strRef>
          </c:cat>
          <c:val>
            <c:numRef>
              <c:f>Results!$C$2:$C$18</c:f>
              <c:numCache>
                <c:formatCode>0.00</c:formatCode>
                <c:ptCount val="17"/>
                <c:pt idx="0">
                  <c:v>3786.66</c:v>
                </c:pt>
                <c:pt idx="1">
                  <c:v>2565.52</c:v>
                </c:pt>
                <c:pt idx="2">
                  <c:v>2467.2000000000003</c:v>
                </c:pt>
                <c:pt idx="3">
                  <c:v>2429.3000000000002</c:v>
                </c:pt>
                <c:pt idx="4">
                  <c:v>2256.42</c:v>
                </c:pt>
                <c:pt idx="5">
                  <c:v>1735.4600000000003</c:v>
                </c:pt>
                <c:pt idx="6">
                  <c:v>1697.77</c:v>
                </c:pt>
                <c:pt idx="7">
                  <c:v>1270.5499999999997</c:v>
                </c:pt>
                <c:pt idx="8">
                  <c:v>1253.3300000000002</c:v>
                </c:pt>
                <c:pt idx="9">
                  <c:v>956.81</c:v>
                </c:pt>
                <c:pt idx="10">
                  <c:v>817.45999999999992</c:v>
                </c:pt>
                <c:pt idx="11">
                  <c:v>630.75</c:v>
                </c:pt>
                <c:pt idx="12">
                  <c:v>608.26</c:v>
                </c:pt>
                <c:pt idx="13">
                  <c:v>506.63000000000005</c:v>
                </c:pt>
                <c:pt idx="14">
                  <c:v>263.45000000000005</c:v>
                </c:pt>
                <c:pt idx="15">
                  <c:v>145.51</c:v>
                </c:pt>
                <c:pt idx="16">
                  <c:v>89.73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4-DE4D-92D2-6224B887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571343"/>
        <c:axId val="1508506831"/>
      </c:barChart>
      <c:lineChart>
        <c:grouping val="standard"/>
        <c:varyColors val="0"/>
        <c:ser>
          <c:idx val="1"/>
          <c:order val="1"/>
          <c:tx>
            <c:v>Average Weight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Results!$A$2:$A$18</c:f>
              <c:strCache>
                <c:ptCount val="17"/>
                <c:pt idx="0">
                  <c:v>Water</c:v>
                </c:pt>
                <c:pt idx="1">
                  <c:v>Flying</c:v>
                </c:pt>
                <c:pt idx="2">
                  <c:v>Ground</c:v>
                </c:pt>
                <c:pt idx="3">
                  <c:v>Normal</c:v>
                </c:pt>
                <c:pt idx="4">
                  <c:v>Rock</c:v>
                </c:pt>
                <c:pt idx="5">
                  <c:v>Poison</c:v>
                </c:pt>
                <c:pt idx="6">
                  <c:v>Psychic</c:v>
                </c:pt>
                <c:pt idx="7">
                  <c:v>Fire</c:v>
                </c:pt>
                <c:pt idx="8">
                  <c:v>Ice</c:v>
                </c:pt>
                <c:pt idx="9">
                  <c:v>Fighting</c:v>
                </c:pt>
                <c:pt idx="10">
                  <c:v>Grass</c:v>
                </c:pt>
                <c:pt idx="11">
                  <c:v>Electric</c:v>
                </c:pt>
                <c:pt idx="12">
                  <c:v>Bug</c:v>
                </c:pt>
                <c:pt idx="13">
                  <c:v>Dragon</c:v>
                </c:pt>
                <c:pt idx="14">
                  <c:v>Fairy</c:v>
                </c:pt>
                <c:pt idx="15">
                  <c:v>Steel</c:v>
                </c:pt>
                <c:pt idx="16">
                  <c:v>Ghost</c:v>
                </c:pt>
              </c:strCache>
            </c:strRef>
          </c:cat>
          <c:val>
            <c:numRef>
              <c:f>Results!$E$2:$E$18</c:f>
              <c:numCache>
                <c:formatCode>0.00</c:formatCode>
                <c:ptCount val="17"/>
                <c:pt idx="0">
                  <c:v>118.333125</c:v>
                </c:pt>
                <c:pt idx="1">
                  <c:v>135.02736842105264</c:v>
                </c:pt>
                <c:pt idx="2">
                  <c:v>176.22857142857146</c:v>
                </c:pt>
                <c:pt idx="3">
                  <c:v>110.42272727272729</c:v>
                </c:pt>
                <c:pt idx="4">
                  <c:v>205.12909090909091</c:v>
                </c:pt>
                <c:pt idx="5">
                  <c:v>52.58969696969698</c:v>
                </c:pt>
                <c:pt idx="6">
                  <c:v>121.26928571428572</c:v>
                </c:pt>
                <c:pt idx="7">
                  <c:v>105.87916666666665</c:v>
                </c:pt>
                <c:pt idx="8">
                  <c:v>250.66600000000003</c:v>
                </c:pt>
                <c:pt idx="9">
                  <c:v>119.60124999999999</c:v>
                </c:pt>
                <c:pt idx="10">
                  <c:v>58.389999999999993</c:v>
                </c:pt>
                <c:pt idx="11">
                  <c:v>70.083333333333329</c:v>
                </c:pt>
                <c:pt idx="12">
                  <c:v>50.688333333333333</c:v>
                </c:pt>
                <c:pt idx="13">
                  <c:v>168.87666666666669</c:v>
                </c:pt>
                <c:pt idx="14">
                  <c:v>52.690000000000012</c:v>
                </c:pt>
                <c:pt idx="15">
                  <c:v>72.754999999999995</c:v>
                </c:pt>
                <c:pt idx="16">
                  <c:v>29.91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4-DE4D-92D2-6224B887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571343"/>
        <c:axId val="1508506831"/>
      </c:lineChart>
      <c:catAx>
        <c:axId val="15645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06831"/>
        <c:crosses val="autoZero"/>
        <c:auto val="1"/>
        <c:lblAlgn val="ctr"/>
        <c:lblOffset val="100"/>
        <c:noMultiLvlLbl val="0"/>
      </c:catAx>
      <c:valAx>
        <c:axId val="15085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57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Height(ft)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19F-F642-863A-A7228F3EC8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19F-F642-863A-A7228F3EC82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19F-F642-863A-A7228F3EC82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19F-F642-863A-A7228F3EC82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819F-F642-863A-A7228F3EC82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819F-F642-863A-A7228F3EC82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819F-F642-863A-A7228F3EC82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819F-F642-863A-A7228F3EC82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819F-F642-863A-A7228F3EC82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819F-F642-863A-A7228F3EC82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819F-F642-863A-A7228F3EC82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819F-F642-863A-A7228F3EC82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819F-F642-863A-A7228F3EC82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819F-F642-863A-A7228F3EC82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819F-F642-863A-A7228F3EC82E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819F-F642-863A-A7228F3EC82E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819F-F642-863A-A7228F3EC8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Results!$A$2:$A$18</c:f>
              <c:strCache>
                <c:ptCount val="17"/>
                <c:pt idx="0">
                  <c:v>Water</c:v>
                </c:pt>
                <c:pt idx="1">
                  <c:v>Flying</c:v>
                </c:pt>
                <c:pt idx="2">
                  <c:v>Ground</c:v>
                </c:pt>
                <c:pt idx="3">
                  <c:v>Normal</c:v>
                </c:pt>
                <c:pt idx="4">
                  <c:v>Rock</c:v>
                </c:pt>
                <c:pt idx="5">
                  <c:v>Poison</c:v>
                </c:pt>
                <c:pt idx="6">
                  <c:v>Psychic</c:v>
                </c:pt>
                <c:pt idx="7">
                  <c:v>Fire</c:v>
                </c:pt>
                <c:pt idx="8">
                  <c:v>Ice</c:v>
                </c:pt>
                <c:pt idx="9">
                  <c:v>Fighting</c:v>
                </c:pt>
                <c:pt idx="10">
                  <c:v>Grass</c:v>
                </c:pt>
                <c:pt idx="11">
                  <c:v>Electric</c:v>
                </c:pt>
                <c:pt idx="12">
                  <c:v>Bug</c:v>
                </c:pt>
                <c:pt idx="13">
                  <c:v>Dragon</c:v>
                </c:pt>
                <c:pt idx="14">
                  <c:v>Fairy</c:v>
                </c:pt>
                <c:pt idx="15">
                  <c:v>Steel</c:v>
                </c:pt>
                <c:pt idx="16">
                  <c:v>Ghost</c:v>
                </c:pt>
              </c:strCache>
            </c:strRef>
          </c:cat>
          <c:val>
            <c:numRef>
              <c:f>Results!$B$2:$B$18</c:f>
              <c:numCache>
                <c:formatCode>0.00</c:formatCode>
                <c:ptCount val="17"/>
                <c:pt idx="0">
                  <c:v>129.93</c:v>
                </c:pt>
                <c:pt idx="1">
                  <c:v>101.37999999999998</c:v>
                </c:pt>
                <c:pt idx="2">
                  <c:v>69.220000000000013</c:v>
                </c:pt>
                <c:pt idx="3">
                  <c:v>71.170000000000016</c:v>
                </c:pt>
                <c:pt idx="4">
                  <c:v>63.97</c:v>
                </c:pt>
                <c:pt idx="5">
                  <c:v>124.66</c:v>
                </c:pt>
                <c:pt idx="6">
                  <c:v>58.070000000000007</c:v>
                </c:pt>
                <c:pt idx="7">
                  <c:v>47.910000000000011</c:v>
                </c:pt>
                <c:pt idx="8">
                  <c:v>28.869999999999997</c:v>
                </c:pt>
                <c:pt idx="9">
                  <c:v>31.49</c:v>
                </c:pt>
                <c:pt idx="10">
                  <c:v>46.910000000000011</c:v>
                </c:pt>
                <c:pt idx="11">
                  <c:v>25.25</c:v>
                </c:pt>
                <c:pt idx="12">
                  <c:v>35.42</c:v>
                </c:pt>
                <c:pt idx="13">
                  <c:v>26.25</c:v>
                </c:pt>
                <c:pt idx="14">
                  <c:v>15.429999999999998</c:v>
                </c:pt>
                <c:pt idx="15">
                  <c:v>4.26</c:v>
                </c:pt>
                <c:pt idx="16">
                  <c:v>14.44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8-4041-AC6D-30AD703E29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Weight(lbs)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Results!$C$1</c:f>
              <c:strCache>
                <c:ptCount val="1"/>
                <c:pt idx="0">
                  <c:v>Total Weight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Results!$A$2:$A$18</c:f>
              <c:strCache>
                <c:ptCount val="17"/>
                <c:pt idx="0">
                  <c:v>Water</c:v>
                </c:pt>
                <c:pt idx="1">
                  <c:v>Flying</c:v>
                </c:pt>
                <c:pt idx="2">
                  <c:v>Ground</c:v>
                </c:pt>
                <c:pt idx="3">
                  <c:v>Normal</c:v>
                </c:pt>
                <c:pt idx="4">
                  <c:v>Rock</c:v>
                </c:pt>
                <c:pt idx="5">
                  <c:v>Poison</c:v>
                </c:pt>
                <c:pt idx="6">
                  <c:v>Psychic</c:v>
                </c:pt>
                <c:pt idx="7">
                  <c:v>Fire</c:v>
                </c:pt>
                <c:pt idx="8">
                  <c:v>Ice</c:v>
                </c:pt>
                <c:pt idx="9">
                  <c:v>Fighting</c:v>
                </c:pt>
                <c:pt idx="10">
                  <c:v>Grass</c:v>
                </c:pt>
                <c:pt idx="11">
                  <c:v>Electric</c:v>
                </c:pt>
                <c:pt idx="12">
                  <c:v>Bug</c:v>
                </c:pt>
                <c:pt idx="13">
                  <c:v>Dragon</c:v>
                </c:pt>
                <c:pt idx="14">
                  <c:v>Fairy</c:v>
                </c:pt>
                <c:pt idx="15">
                  <c:v>Steel</c:v>
                </c:pt>
                <c:pt idx="16">
                  <c:v>Ghost</c:v>
                </c:pt>
              </c:strCache>
            </c:strRef>
          </c:cat>
          <c:val>
            <c:numRef>
              <c:f>Results!$C$2:$C$18</c:f>
              <c:numCache>
                <c:formatCode>0.00</c:formatCode>
                <c:ptCount val="17"/>
                <c:pt idx="0">
                  <c:v>3786.66</c:v>
                </c:pt>
                <c:pt idx="1">
                  <c:v>2565.52</c:v>
                </c:pt>
                <c:pt idx="2">
                  <c:v>2467.2000000000003</c:v>
                </c:pt>
                <c:pt idx="3">
                  <c:v>2429.3000000000002</c:v>
                </c:pt>
                <c:pt idx="4">
                  <c:v>2256.42</c:v>
                </c:pt>
                <c:pt idx="5">
                  <c:v>1735.4600000000003</c:v>
                </c:pt>
                <c:pt idx="6">
                  <c:v>1697.77</c:v>
                </c:pt>
                <c:pt idx="7">
                  <c:v>1270.5499999999997</c:v>
                </c:pt>
                <c:pt idx="8">
                  <c:v>1253.3300000000002</c:v>
                </c:pt>
                <c:pt idx="9">
                  <c:v>956.81</c:v>
                </c:pt>
                <c:pt idx="10">
                  <c:v>817.45999999999992</c:v>
                </c:pt>
                <c:pt idx="11">
                  <c:v>630.75</c:v>
                </c:pt>
                <c:pt idx="12">
                  <c:v>608.26</c:v>
                </c:pt>
                <c:pt idx="13">
                  <c:v>506.63000000000005</c:v>
                </c:pt>
                <c:pt idx="14">
                  <c:v>263.45000000000005</c:v>
                </c:pt>
                <c:pt idx="15">
                  <c:v>145.51</c:v>
                </c:pt>
                <c:pt idx="16">
                  <c:v>89.73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2-5C4D-ADA7-A89918453F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26458</xdr:colOff>
      <xdr:row>19</xdr:row>
      <xdr:rowOff>21167</xdr:rowOff>
    </xdr:from>
    <xdr:to>
      <xdr:col>6</xdr:col>
      <xdr:colOff>74083</xdr:colOff>
      <xdr:row>50</xdr:row>
      <xdr:rowOff>21167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0D838F-997F-C8C9-AE85-2E4F6944C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814916</xdr:colOff>
      <xdr:row>19</xdr:row>
      <xdr:rowOff>21167</xdr:rowOff>
    </xdr:from>
    <xdr:to>
      <xdr:col>16</xdr:col>
      <xdr:colOff>375707</xdr:colOff>
      <xdr:row>49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C6622C-402D-E37F-7EC3-69A753947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21166</xdr:rowOff>
    </xdr:from>
    <xdr:to>
      <xdr:col>6</xdr:col>
      <xdr:colOff>74083</xdr:colOff>
      <xdr:row>74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CA9F5D-98C2-53CC-E7B3-C7F23719E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10583</xdr:colOff>
      <xdr:row>50</xdr:row>
      <xdr:rowOff>189441</xdr:rowOff>
    </xdr:from>
    <xdr:to>
      <xdr:col>16</xdr:col>
      <xdr:colOff>391583</xdr:colOff>
      <xdr:row>74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BDB0E-DDF7-3E13-8168-9950991D3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8B929FF-2295-7448-8D5F-BA8C69C14D5E}" name="Table19" displayName="Table19" ref="A1:E18" totalsRowShown="0">
  <autoFilter ref="A1:E18" xr:uid="{F8B929FF-2295-7448-8D5F-BA8C69C14D5E}"/>
  <sortState xmlns:xlrd2="http://schemas.microsoft.com/office/spreadsheetml/2017/richdata2" ref="A2:E18">
    <sortCondition descending="1" ref="C1:C18"/>
  </sortState>
  <tableColumns count="5">
    <tableColumn id="1" xr3:uid="{BA824FEF-D516-AB47-8541-F2FE9E06BAD0}" name="Type"/>
    <tableColumn id="2" xr3:uid="{1E24D19C-AE90-6C4E-846D-7E90734FAF30}" name="Total Height" dataDxfId="58"/>
    <tableColumn id="3" xr3:uid="{6F4DCE03-BF78-0649-AAE7-F273E47AF09C}" name="Total Weight" dataDxfId="57"/>
    <tableColumn id="4" xr3:uid="{6890BFFF-4E78-F94C-B777-FD00E5DA7197}" name="Total Average Height" dataDxfId="56"/>
    <tableColumn id="5" xr3:uid="{F326CCE1-06E0-F447-9DD2-598AFACFDE37}" name="Total Average Weight" dataDxfId="55"/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36F92D1-FC15-BB48-B5C2-CCBCA85250A9}" name="Table17" displayName="Table17" ref="A1:E5" totalsRowCount="1" headerRowDxfId="29" headerRowBorderDxfId="28" tableBorderDxfId="27">
  <autoFilter ref="A1:E4" xr:uid="{D36F92D1-FC15-BB48-B5C2-CCBCA85250A9}"/>
  <tableColumns count="5">
    <tableColumn id="1" xr3:uid="{B6217D53-4135-8C4D-BC7D-E4BBD88F2AED}" name="ID" totalsRowLabel="Total"/>
    <tableColumn id="2" xr3:uid="{01424CBF-1C2C-8844-AA5B-5D862B67639C}" name="Name"/>
    <tableColumn id="3" xr3:uid="{3C36802E-4FA1-494A-9E2D-C043E29D973A}" name="Types"/>
    <tableColumn id="4" xr3:uid="{7C6D5985-F073-B947-B0AA-DB2AB7BBB19A}" name="Height(ft)" totalsRowFunction="sum"/>
    <tableColumn id="5" xr3:uid="{0F821A52-E32F-1445-AF00-113001AA05EB}" name="Weight(lbs)" totalsRowFunction="sum"/>
  </tableColumns>
  <tableStyleInfo name="TableStyleDark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B2F29-2221-7B4C-A6BA-0A5B6A5D7047}" name="Table1" displayName="Table1" ref="A1:E16" totalsRowCount="1" headerRowDxfId="26" headerRowBorderDxfId="25" tableBorderDxfId="24">
  <autoFilter ref="A1:E15" xr:uid="{42BB2F29-2221-7B4C-A6BA-0A5B6A5D7047}"/>
  <tableColumns count="5">
    <tableColumn id="1" xr3:uid="{78F2322E-00AC-8043-8E00-6C888F9E1651}" name="ID" totalsRowLabel="Total"/>
    <tableColumn id="2" xr3:uid="{45AEC938-B9E5-4E4B-BFC4-68D85CDAFC38}" name="Name"/>
    <tableColumn id="3" xr3:uid="{6F77A4B5-5672-2941-8898-E9772B923571}" name="Types"/>
    <tableColumn id="4" xr3:uid="{F99F616B-45EE-6841-B059-2B3A36BB7782}" name="Height(ft)" totalsRowFunction="sum"/>
    <tableColumn id="5" xr3:uid="{DA34B38F-B60E-D74A-BB2D-570AE75EF156}" name="Weight(lbs)" totalsRowFunction="sum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69B983E-C662-3843-8D36-713A91002C3D}" name="Table9" displayName="Table9" ref="A1:E16" totalsRowCount="1" headerRowDxfId="23" headerRowBorderDxfId="22" tableBorderDxfId="21">
  <autoFilter ref="A1:E15" xr:uid="{869B983E-C662-3843-8D36-713A91002C3D}"/>
  <tableColumns count="5">
    <tableColumn id="1" xr3:uid="{E9003F93-4B81-454D-A537-9F6911B66F0A}" name="ID" totalsRowLabel="Total"/>
    <tableColumn id="2" xr3:uid="{A418C2A3-1560-E947-9518-B33470CD5745}" name="Name"/>
    <tableColumn id="3" xr3:uid="{451C98D3-7CA4-E640-8587-0D428B846482}" name="Types"/>
    <tableColumn id="4" xr3:uid="{362D766B-BFB6-CE4A-A701-562564B850EA}" name="Height(ft)" totalsRowFunction="sum"/>
    <tableColumn id="5" xr3:uid="{C802175F-7EAE-6948-82C4-28E5F6CCDF2D}" name="Weight(lbs)" totalsRowFunction="sum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D53B41-0481-8F4E-B56E-0B8E4B7D8AC6}" name="Table16" displayName="Table16" ref="A1:E7" totalsRowCount="1" headerRowDxfId="20" headerRowBorderDxfId="19" tableBorderDxfId="18">
  <autoFilter ref="A1:E6" xr:uid="{0DD53B41-0481-8F4E-B56E-0B8E4B7D8AC6}"/>
  <tableColumns count="5">
    <tableColumn id="1" xr3:uid="{F8F8872D-40ED-B64E-A322-B9B772B53A7B}" name="ID" totalsRowLabel="Total"/>
    <tableColumn id="2" xr3:uid="{8C9AB459-7DAC-B441-BC53-CBC370048C3D}" name="Name"/>
    <tableColumn id="3" xr3:uid="{1BD040E7-4432-0748-8393-B8046FAAB420}" name="Types"/>
    <tableColumn id="4" xr3:uid="{C0308581-208D-224B-A054-12F65F57EE8E}" name="Height(ft)" totalsRowFunction="sum"/>
    <tableColumn id="5" xr3:uid="{DF71D48B-C1BC-8145-910C-2C15D15D6991}" name="Weight(lbs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B8470C-49D0-994E-946B-AE317E218228}" name="Table7" displayName="Table7" ref="A1:E24" totalsRowCount="1" headerRowDxfId="17" headerRowBorderDxfId="16" tableBorderDxfId="15">
  <autoFilter ref="A1:E23" xr:uid="{79B8470C-49D0-994E-946B-AE317E218228}"/>
  <sortState xmlns:xlrd2="http://schemas.microsoft.com/office/spreadsheetml/2017/richdata2" ref="A2:E23">
    <sortCondition descending="1" ref="E1:E23"/>
  </sortState>
  <tableColumns count="5">
    <tableColumn id="1" xr3:uid="{C9D5F221-D289-CC45-8FD8-2C66C90C4B8D}" name="ID" totalsRowLabel="Total"/>
    <tableColumn id="2" xr3:uid="{5EFF616F-8D40-B84A-AC3C-C3D2D133BC4E}" name="Name"/>
    <tableColumn id="3" xr3:uid="{E50F11E3-FB3E-8343-9C5B-24FC4D263B27}" name="Types"/>
    <tableColumn id="4" xr3:uid="{E384E70B-5416-394D-8CCB-3C661267D3D2}" name="Height(ft)" totalsRowFunction="sum"/>
    <tableColumn id="5" xr3:uid="{25FF6491-A442-1545-A03D-0B71C7EA1D72}" name="Weight(lbs)" totalsRowFunction="sum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1EF0F8-0132-2046-958C-51ACD6F64C9B}" name="Table2" displayName="Table2" ref="A1:E35" totalsRowCount="1" headerRowDxfId="14" headerRowBorderDxfId="13" tableBorderDxfId="12">
  <autoFilter ref="A1:E34" xr:uid="{C21EF0F8-0132-2046-958C-51ACD6F64C9B}"/>
  <tableColumns count="5">
    <tableColumn id="1" xr3:uid="{20DB031C-7FCC-0446-B740-23609CC3A29B}" name="ID" totalsRowLabel="Total"/>
    <tableColumn id="2" xr3:uid="{29419094-185E-F045-A138-34BE9D676DDA}" name="Name"/>
    <tableColumn id="3" xr3:uid="{917270C0-4141-DA40-9105-1F4E79F4EAE6}" name="Types"/>
    <tableColumn id="4" xr3:uid="{055F9DDF-E29A-A649-B08F-E83334336185}" name="Height(ft)" totalsRowFunction="sum"/>
    <tableColumn id="5" xr3:uid="{5A27F155-F197-8E44-9F90-9FDC2A045304}" name="Weight(lbs)" totalsRowFunction="sum"/>
  </tableColumns>
  <tableStyleInfo name="TableStyleMedium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A7395F0-FD55-FF45-8170-D5BC94862FCF}" name="Table13" displayName="Table13" ref="A1:E16" totalsRowCount="1" headerRowDxfId="11" headerRowBorderDxfId="10" tableBorderDxfId="9">
  <autoFilter ref="A1:E15" xr:uid="{DA7395F0-FD55-FF45-8170-D5BC94862FCF}"/>
  <tableColumns count="5">
    <tableColumn id="1" xr3:uid="{2FCB864A-ED95-2C41-98AE-7616B9A1B6A1}" name="ID" totalsRowLabel="Total"/>
    <tableColumn id="2" xr3:uid="{A7139A1E-AD50-184F-B3C2-B293D47DD8DA}" name="Name"/>
    <tableColumn id="3" xr3:uid="{F32645B0-0B6B-9D40-92F5-72CDDEA8A7C3}" name="Types"/>
    <tableColumn id="4" xr3:uid="{5DAF55CD-A33B-E943-8665-0CD6565C2CC1}" name="Height(ft)" totalsRowFunction="sum"/>
    <tableColumn id="5" xr3:uid="{3FCA31DC-F9B7-F945-8632-50BD7A8EF5AA}" name="Weight(lbs)" totalsRowFunction="sum"/>
  </tableColumns>
  <tableStyleInfo name="TableStyleMedium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A1F5C49-D8F4-F84F-B29E-2EDD88E0B460}" name="Table14" displayName="Table14" ref="A1:E13" totalsRowCount="1" headerRowDxfId="8" headerRowBorderDxfId="7" tableBorderDxfId="6">
  <autoFilter ref="A1:E12" xr:uid="{DA1F5C49-D8F4-F84F-B29E-2EDD88E0B460}"/>
  <tableColumns count="5">
    <tableColumn id="1" xr3:uid="{47E1D995-68CF-114B-9818-940987404074}" name="ID" totalsRowLabel="Total"/>
    <tableColumn id="2" xr3:uid="{1B0A0869-DE59-234A-80EA-635E24DAB602}" name="Name"/>
    <tableColumn id="3" xr3:uid="{087997B7-48DD-4249-AE9F-188417C740DF}" name="Types"/>
    <tableColumn id="4" xr3:uid="{1196CD94-AACA-444F-B99C-6B43EE2C38F8}" name="Height(ft)" totalsRowFunction="sum"/>
    <tableColumn id="5" xr3:uid="{3B27376D-0D2C-C34E-99F0-6F258CD04808}" name="Weight(lbs)" totalsRowFunction="sum"/>
  </tableColumns>
  <tableStyleInfo name="TableStyleMedium2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39102B9-4B05-884C-AD12-90E492F1F60F}" name="Table15" displayName="Table15" ref="A1:E4" totalsRowCount="1" headerRowDxfId="5" headerRowBorderDxfId="4" tableBorderDxfId="3">
  <autoFilter ref="A1:E3" xr:uid="{639102B9-4B05-884C-AD12-90E492F1F60F}"/>
  <tableColumns count="5">
    <tableColumn id="1" xr3:uid="{2ADEE772-92AB-5240-90A5-E874678D4584}" name="ID" totalsRowLabel="Total"/>
    <tableColumn id="2" xr3:uid="{E1EC3835-A2BE-E141-9758-56D3A224DD67}" name="Name"/>
    <tableColumn id="3" xr3:uid="{2E6BBE2A-A642-8749-B6E1-4058DD2463E4}" name="Types"/>
    <tableColumn id="4" xr3:uid="{FFA9F44F-52EE-1F4B-A39C-88015375EB1C}" name="Height(ft)" totalsRowFunction="sum"/>
    <tableColumn id="5" xr3:uid="{C51413C0-19C1-C449-8B41-55AF0FB9BFB3}" name="Weight(lbs)" totalsRowFunction="sum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121481-3B99-2943-88A2-A893DB03F441}" name="Table5" displayName="Table5" ref="A1:E34" totalsRowCount="1" headerRowDxfId="2" headerRowBorderDxfId="1" tableBorderDxfId="0">
  <autoFilter ref="A1:E33" xr:uid="{EE121481-3B99-2943-88A2-A893DB03F441}"/>
  <tableColumns count="5">
    <tableColumn id="1" xr3:uid="{64A87E08-F690-3F4B-952C-F399D64020D7}" name="ID" totalsRowLabel="Total"/>
    <tableColumn id="2" xr3:uid="{C9968403-7C1C-C948-82CB-AA3039F281F0}" name="Name"/>
    <tableColumn id="3" xr3:uid="{EFCD7C04-894E-CA4B-9384-079BA1E16ED2}" name="Types"/>
    <tableColumn id="4" xr3:uid="{CF99FA9A-3479-F64D-8D07-41BEBAD7CF3E}" name="Height(ft)" totalsRowFunction="sum"/>
    <tableColumn id="5" xr3:uid="{284D6171-28DC-AD4F-86A1-FBF3B18DA24A}" name="Weight(lbs)" totalsRowFunction="su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CB44D43-4902-D940-BF33-D46D9101B8E9}" name="Table124" displayName="Table124" ref="A1:E153" totalsRowCount="1" headerRowDxfId="61" headerRowBorderDxfId="60" tableBorderDxfId="59">
  <autoFilter ref="A1:E152" xr:uid="{6CB44D43-4902-D940-BF33-D46D9101B8E9}"/>
  <sortState xmlns:xlrd2="http://schemas.microsoft.com/office/spreadsheetml/2017/richdata2" ref="A2:E152">
    <sortCondition descending="1" ref="D1:D152"/>
  </sortState>
  <tableColumns count="5">
    <tableColumn id="1" xr3:uid="{55BF6D22-4B7F-2543-BC86-EF127712C71F}" name="ID" totalsRowLabel="Total"/>
    <tableColumn id="2" xr3:uid="{BA0A33DA-8FF1-2C43-B3FC-87B0B3F421BA}" name="Name"/>
    <tableColumn id="3" xr3:uid="{C5B4203A-FD1A-1A46-A132-C3DD4A97FA1B}" name="Types"/>
    <tableColumn id="4" xr3:uid="{D43D0C08-7635-F243-B201-E86D9CE7C3C0}" name="Height(ft)" totalsRowFunction="custom">
      <totalsRowFormula>SUM(Table124[Height(ft)])</totalsRowFormula>
    </tableColumn>
    <tableColumn id="5" xr3:uid="{5CEC4925-40BE-5248-8DC3-6FE059C37E0F}" name="Weight(lbs)" totalsRowFunction="custom">
      <totalsRowFormula>SUM(Table124[Weight(lbs)])</totalsRow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1283DD-449E-6C4C-AD3D-39D9DFBB464F}" name="Table6" displayName="Table6" ref="A1:E14" totalsRowCount="1" headerRowDxfId="54" headerRowBorderDxfId="53" tableBorderDxfId="52">
  <autoFilter ref="A1:E13" xr:uid="{3F1283DD-449E-6C4C-AD3D-39D9DFBB464F}"/>
  <tableColumns count="5">
    <tableColumn id="1" xr3:uid="{F0386A94-2528-154A-8040-EA16B757D718}" name="ID" totalsRowLabel="Total"/>
    <tableColumn id="2" xr3:uid="{0B36B4D9-3176-B64A-94E8-EB26018F3457}" name="Name"/>
    <tableColumn id="3" xr3:uid="{90BF8306-22BE-B44A-A6CB-EB3A94FC6F1A}" name="Types"/>
    <tableColumn id="4" xr3:uid="{1B6E6854-DE1E-5345-BEC4-04F239B66226}" name="Height(ft)" totalsRowFunction="custom" dataDxfId="51" totalsRowDxfId="50">
      <totalsRowFormula>SUM(D2:D13)</totalsRowFormula>
    </tableColumn>
    <tableColumn id="5" xr3:uid="{7C444970-81C7-424C-9651-ABF2717E26A0}" name="Weight(lbs)" totalsRowFunction="custom" dataDxfId="49" totalsRowDxfId="48">
      <totalsRowFormula>SUM(E2:E13)</totalsRow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6298044-5E01-FC41-8C64-7C78DE2498E5}" name="Table18" displayName="Table18" ref="A1:E5" totalsRowCount="1" headerRowDxfId="47" headerRowBorderDxfId="46" tableBorderDxfId="45">
  <autoFilter ref="A1:E4" xr:uid="{A6298044-5E01-FC41-8C64-7C78DE2498E5}"/>
  <tableColumns count="5">
    <tableColumn id="1" xr3:uid="{015A7F76-0A51-DE46-8132-8C528377732B}" name="ID" totalsRowLabel="Total"/>
    <tableColumn id="2" xr3:uid="{72DFFAC4-A67C-8742-B194-2E70A1789E2E}" name="Name"/>
    <tableColumn id="3" xr3:uid="{4B82D8C0-012B-FD42-8505-0A0B63D00F75}" name="Types"/>
    <tableColumn id="4" xr3:uid="{CA5F6B69-A7EE-D645-A905-1AD916A85C9C}" name="Height(ft)" totalsRowFunction="custom">
      <totalsRowFormula>SUM(D2:D4)</totalsRowFormula>
    </tableColumn>
    <tableColumn id="5" xr3:uid="{1A78ABE9-CDDD-C046-B165-A6A4D5B52988}" name="Weight(lbs)" totalsRowFunction="custom">
      <totalsRowFormula>SUM(E2:E4)</totalsRowFormula>
    </tableColumn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DFBB57-91D5-2B49-B6CD-CB149E527180}" name="Table8" displayName="Table8" ref="A1:E11" totalsRowCount="1" headerRowDxfId="44" headerRowBorderDxfId="43" tableBorderDxfId="42">
  <autoFilter ref="A1:E10" xr:uid="{BCDFBB57-91D5-2B49-B6CD-CB149E527180}"/>
  <tableColumns count="5">
    <tableColumn id="1" xr3:uid="{D633EAE6-7BB9-A74D-B3C7-9741E157D74D}" name="ID" totalsRowLabel="Total"/>
    <tableColumn id="2" xr3:uid="{4DB67B14-BAC5-CC4A-BA06-B3C2AD1C644C}" name="Name"/>
    <tableColumn id="3" xr3:uid="{C0036AD9-9959-1A4C-A002-889175869B00}" name="Types"/>
    <tableColumn id="4" xr3:uid="{FD1126E0-1812-E44C-825D-82C3A0A43D77}" name="Height(ft)" totalsRowFunction="custom">
      <totalsRowFormula>SUM(D2:D10)</totalsRowFormula>
    </tableColumn>
    <tableColumn id="5" xr3:uid="{E65A4F27-2DB5-0A4C-B47D-98B7A72BD817}" name="Weight(lbs)" totalsRowFunction="custom">
      <totalsRowFormula>SUM(E2:E10)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4E24AAE-2021-3247-9316-4DD6B19877A3}" name="Table11" displayName="Table11" ref="A1:E7" totalsRowCount="1" headerRowDxfId="41" headerRowBorderDxfId="40" tableBorderDxfId="39">
  <autoFilter ref="A1:E6" xr:uid="{B4E24AAE-2021-3247-9316-4DD6B19877A3}"/>
  <tableColumns count="5">
    <tableColumn id="1" xr3:uid="{1EBA2CC3-92A9-5142-B620-DAE55605C6B6}" name="ID" totalsRowLabel="Total"/>
    <tableColumn id="2" xr3:uid="{B8FCDF90-DBBC-0B4D-AFE0-0994443C627C}" name="Name"/>
    <tableColumn id="3" xr3:uid="{75E9E677-3626-884A-B616-2188AC9D42B8}" name="Types"/>
    <tableColumn id="4" xr3:uid="{8C159BDC-101C-044D-996D-C64BF1E8ED7D}" name="Height(ft)" totalsRowFunction="sum"/>
    <tableColumn id="5" xr3:uid="{85191156-E427-A049-AAF0-32B6663951A0}" name="Weight(lbs)" totalsRowFunction="sum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4EA57D2-8C28-9D41-B296-9EEB5A9395ED}" name="Table12" displayName="Table12" ref="A1:E10" totalsRowCount="1" headerRowDxfId="38" headerRowBorderDxfId="37" tableBorderDxfId="36">
  <autoFilter ref="A1:E9" xr:uid="{84EA57D2-8C28-9D41-B296-9EEB5A9395ED}"/>
  <tableColumns count="5">
    <tableColumn id="1" xr3:uid="{E8532F73-9B61-4243-9EA0-C1C08A9A1663}" name="ID" totalsRowLabel="Total"/>
    <tableColumn id="2" xr3:uid="{2FA0E57E-9BE9-C840-96C4-87FF09F54ECA}" name="Name"/>
    <tableColumn id="3" xr3:uid="{B5C866FC-5240-5E41-9A01-5A9D3286D7C7}" name="Types"/>
    <tableColumn id="4" xr3:uid="{8E7E210D-0819-9A49-AFF8-FF52E6FD3E5A}" name="Height(ft)" totalsRowFunction="sum"/>
    <tableColumn id="5" xr3:uid="{7AE31564-DB93-174A-8E1F-0C9F349BCBC1}" name="Weight(lbs)" totalsRowFunction="sum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FCDB7-414A-774C-989A-4D791C137DB2}" name="Table3" displayName="Table3" ref="A1:E14" totalsRowCount="1" headerRowDxfId="35" headerRowBorderDxfId="34" tableBorderDxfId="33">
  <autoFilter ref="A1:E13" xr:uid="{A1AFCDB7-414A-774C-989A-4D791C137DB2}"/>
  <tableColumns count="5">
    <tableColumn id="1" xr3:uid="{8F9E4C8F-1F9C-1542-A094-59A2D9CB2523}" name="ID" totalsRowLabel="Total"/>
    <tableColumn id="2" xr3:uid="{E3B77F14-E7B1-5D49-BDEB-A754462A3F3A}" name="Name"/>
    <tableColumn id="3" xr3:uid="{1AFA9781-E9E3-634F-B7FF-98EAE88C02C0}" name="Types"/>
    <tableColumn id="4" xr3:uid="{513224A9-9B73-9D4E-9F77-B453BD96AEF4}" name="Height(ft)" totalsRowFunction="sum"/>
    <tableColumn id="5" xr3:uid="{5ACBA6F6-9BD2-E84F-9926-1318A870B33D}" name="Weight(lbs)" totalsRowFunction="sum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3C923C-5460-9A4B-BE01-D7F75C4D6485}" name="Table4" displayName="Table4" ref="A1:E21" totalsRowCount="1" headerRowDxfId="32" headerRowBorderDxfId="31" tableBorderDxfId="30">
  <autoFilter ref="A1:E20" xr:uid="{1F3C923C-5460-9A4B-BE01-D7F75C4D6485}"/>
  <sortState xmlns:xlrd2="http://schemas.microsoft.com/office/spreadsheetml/2017/richdata2" ref="A2:E20">
    <sortCondition ref="C1:C20"/>
  </sortState>
  <tableColumns count="5">
    <tableColumn id="1" xr3:uid="{46058CDB-B0F9-4644-B590-CCF1E34AF101}" name="ID" totalsRowLabel="Total"/>
    <tableColumn id="2" xr3:uid="{6F7F93A6-B5BC-0046-A78C-6504733CE122}" name="Name"/>
    <tableColumn id="3" xr3:uid="{A40F20DD-EDEC-8D48-9FCA-7EDCAD389A29}" name="Types"/>
    <tableColumn id="4" xr3:uid="{06E12E93-6713-C94A-84F3-07927F93343E}" name="Height(ft)" totalsRowFunction="sum"/>
    <tableColumn id="5" xr3:uid="{2FD96420-8272-B342-9FD3-DC1EA7901740}" name="Weight(lbs)" totalsRowFunction="sum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75A9-4C4D-9349-91A8-6D121B39E5B6}">
  <dimension ref="A1:E38"/>
  <sheetViews>
    <sheetView tabSelected="1" zoomScale="120" zoomScaleNormal="120" workbookViewId="0">
      <selection activeCell="G66" sqref="G66"/>
    </sheetView>
  </sheetViews>
  <sheetFormatPr baseColWidth="10" defaultRowHeight="15" x14ac:dyDescent="0.2"/>
  <cols>
    <col min="2" max="2" width="19.83203125" bestFit="1" customWidth="1"/>
    <col min="3" max="3" width="20.33203125" bestFit="1" customWidth="1"/>
    <col min="4" max="4" width="19.83203125" bestFit="1" customWidth="1"/>
    <col min="5" max="5" width="20.33203125" bestFit="1" customWidth="1"/>
    <col min="17" max="17" width="11" customWidth="1"/>
  </cols>
  <sheetData>
    <row r="1" spans="1:5" x14ac:dyDescent="0.2">
      <c r="A1" t="s">
        <v>365</v>
      </c>
      <c r="B1" t="s">
        <v>366</v>
      </c>
      <c r="C1" t="s">
        <v>367</v>
      </c>
      <c r="D1" t="s">
        <v>346</v>
      </c>
      <c r="E1" t="s">
        <v>347</v>
      </c>
    </row>
    <row r="2" spans="1:5" x14ac:dyDescent="0.2">
      <c r="A2" t="s">
        <v>352</v>
      </c>
      <c r="B2" s="2">
        <f>Table5[[#Totals],[Height(ft)]]</f>
        <v>129.93</v>
      </c>
      <c r="C2" s="2">
        <f>Table5[[#Totals],[Weight(lbs)]]</f>
        <v>3786.66</v>
      </c>
      <c r="D2" s="2">
        <v>4.0603125000000002</v>
      </c>
      <c r="E2" s="2">
        <v>118.333125</v>
      </c>
    </row>
    <row r="3" spans="1:5" x14ac:dyDescent="0.2">
      <c r="A3" t="s">
        <v>351</v>
      </c>
      <c r="B3" s="2">
        <f>Table4[[#Totals],[Height(ft)]]</f>
        <v>101.37999999999998</v>
      </c>
      <c r="C3" s="2">
        <f>Table4[[#Totals],[Weight(lbs)]]</f>
        <v>2565.52</v>
      </c>
      <c r="D3" s="2">
        <v>5.3357894736842093</v>
      </c>
      <c r="E3" s="2">
        <v>135.02736842105264</v>
      </c>
    </row>
    <row r="4" spans="1:5" x14ac:dyDescent="0.2">
      <c r="A4" t="s">
        <v>356</v>
      </c>
      <c r="B4" s="2">
        <f>Table9[[#Totals],[Height(ft)]]</f>
        <v>69.220000000000013</v>
      </c>
      <c r="C4" s="2">
        <f>Table9[[#Totals],[Weight(lbs)]]</f>
        <v>2467.2000000000003</v>
      </c>
      <c r="D4" s="2">
        <v>4.9442857142857148</v>
      </c>
      <c r="E4" s="2">
        <v>176.22857142857146</v>
      </c>
    </row>
    <row r="5" spans="1:5" x14ac:dyDescent="0.2">
      <c r="A5" t="s">
        <v>354</v>
      </c>
      <c r="B5" s="2">
        <f>Table7[[#Totals],[Height(ft)]]</f>
        <v>71.170000000000016</v>
      </c>
      <c r="C5" s="2">
        <f>Table7[[#Totals],[Weight(lbs)]]</f>
        <v>2429.3000000000002</v>
      </c>
      <c r="D5" s="2">
        <v>3.2349999999999994</v>
      </c>
      <c r="E5" s="2">
        <v>110.42272727272729</v>
      </c>
    </row>
    <row r="6" spans="1:5" x14ac:dyDescent="0.2">
      <c r="A6" t="s">
        <v>360</v>
      </c>
      <c r="B6" s="2">
        <f>Table14[[#Totals],[Height(ft)]]</f>
        <v>63.97</v>
      </c>
      <c r="C6" s="2">
        <f>Table14[[#Totals],[Weight(lbs)]]</f>
        <v>2256.42</v>
      </c>
      <c r="D6" s="2">
        <v>5.8154545454545454</v>
      </c>
      <c r="E6" s="2">
        <v>205.12909090909091</v>
      </c>
    </row>
    <row r="7" spans="1:5" x14ac:dyDescent="0.2">
      <c r="A7" t="s">
        <v>349</v>
      </c>
      <c r="B7" s="2">
        <f>Table2[[#Totals],[Height(ft)]]</f>
        <v>124.66</v>
      </c>
      <c r="C7" s="2">
        <f>Table2[[#Totals],[Weight(lbs)]]</f>
        <v>1735.4600000000003</v>
      </c>
      <c r="D7" s="2">
        <v>3.7775757575757574</v>
      </c>
      <c r="E7" s="2">
        <v>52.58969696969698</v>
      </c>
    </row>
    <row r="8" spans="1:5" x14ac:dyDescent="0.2">
      <c r="A8" t="s">
        <v>359</v>
      </c>
      <c r="B8" s="2">
        <f>Table13[[#Totals],[Height(ft)]]</f>
        <v>58.070000000000007</v>
      </c>
      <c r="C8" s="2">
        <f>Table13[[#Totals],[Weight(lbs)]]</f>
        <v>1697.77</v>
      </c>
      <c r="D8" s="2">
        <v>4.1478571428571431</v>
      </c>
      <c r="E8" s="2">
        <v>121.26928571428572</v>
      </c>
    </row>
    <row r="9" spans="1:5" x14ac:dyDescent="0.2">
      <c r="A9" t="s">
        <v>350</v>
      </c>
      <c r="B9" s="2">
        <f>Table3[[#Totals],[Height(ft)]]</f>
        <v>47.910000000000011</v>
      </c>
      <c r="C9" s="2">
        <f>Table3[[#Totals],[Weight(lbs)]]</f>
        <v>1270.5499999999997</v>
      </c>
      <c r="D9" s="2">
        <v>3.992500000000001</v>
      </c>
      <c r="E9" s="2">
        <v>105.87916666666665</v>
      </c>
    </row>
    <row r="10" spans="1:5" x14ac:dyDescent="0.2">
      <c r="A10" t="s">
        <v>362</v>
      </c>
      <c r="B10" s="2">
        <f>Table16[[#Totals],[Height(ft)]]</f>
        <v>28.869999999999997</v>
      </c>
      <c r="C10" s="2">
        <f>Table16[[#Totals],[Weight(lbs)]]</f>
        <v>1253.3300000000002</v>
      </c>
      <c r="D10" s="2">
        <v>5.7739999999999991</v>
      </c>
      <c r="E10" s="2">
        <v>250.66600000000003</v>
      </c>
    </row>
    <row r="11" spans="1:5" x14ac:dyDescent="0.2">
      <c r="A11" t="s">
        <v>358</v>
      </c>
      <c r="B11" s="2">
        <f>Table12[[#Totals],[Height(ft)]]</f>
        <v>31.49</v>
      </c>
      <c r="C11" s="2">
        <f>Table12[[#Totals],[Weight(lbs)]]</f>
        <v>956.81</v>
      </c>
      <c r="D11" s="2">
        <v>3.9362499999999998</v>
      </c>
      <c r="E11" s="2">
        <v>119.60124999999999</v>
      </c>
    </row>
    <row r="12" spans="1:5" x14ac:dyDescent="0.2">
      <c r="A12" t="s">
        <v>348</v>
      </c>
      <c r="B12" s="2">
        <f>Table1[[#Totals],[Height(ft)]]</f>
        <v>46.910000000000011</v>
      </c>
      <c r="C12" s="2">
        <f>Table1[[#Totals],[Weight(lbs)]]</f>
        <v>817.45999999999992</v>
      </c>
      <c r="D12" s="2">
        <v>3.3507142857142864</v>
      </c>
      <c r="E12" s="2">
        <v>58.389999999999993</v>
      </c>
    </row>
    <row r="13" spans="1:5" x14ac:dyDescent="0.2">
      <c r="A13" t="s">
        <v>355</v>
      </c>
      <c r="B13" s="2">
        <f>Table8[[#Totals],[Height(ft)]]</f>
        <v>25.25</v>
      </c>
      <c r="C13" s="2">
        <f>Table8[[#Totals],[Weight(lbs)]]</f>
        <v>630.75</v>
      </c>
      <c r="D13" s="2">
        <v>2.8055555555555554</v>
      </c>
      <c r="E13" s="2">
        <v>70.083333333333329</v>
      </c>
    </row>
    <row r="14" spans="1:5" x14ac:dyDescent="0.2">
      <c r="A14" t="s">
        <v>353</v>
      </c>
      <c r="B14" s="2">
        <f>Table6[[#Totals],[Height(ft)]]</f>
        <v>35.42</v>
      </c>
      <c r="C14" s="2">
        <f>Table6[[#Totals],[Weight(lbs)]]</f>
        <v>608.26</v>
      </c>
      <c r="D14" s="2">
        <v>2.9516666666666667</v>
      </c>
      <c r="E14" s="2">
        <v>50.688333333333333</v>
      </c>
    </row>
    <row r="15" spans="1:5" x14ac:dyDescent="0.2">
      <c r="A15" t="s">
        <v>364</v>
      </c>
      <c r="B15" s="2">
        <f>Table18[[#Totals],[Height(ft)]]</f>
        <v>26.25</v>
      </c>
      <c r="C15" s="2">
        <f>Table18[[#Totals],[Weight(lbs)]]</f>
        <v>506.63000000000005</v>
      </c>
      <c r="D15" s="2">
        <v>8.75</v>
      </c>
      <c r="E15" s="2">
        <v>168.87666666666669</v>
      </c>
    </row>
    <row r="16" spans="1:5" x14ac:dyDescent="0.2">
      <c r="A16" t="s">
        <v>357</v>
      </c>
      <c r="B16" s="2">
        <f>Table11[[#Totals],[Height(ft)]]</f>
        <v>15.429999999999998</v>
      </c>
      <c r="C16" s="2">
        <f>Table11[[#Totals],[Weight(lbs)]]</f>
        <v>263.45000000000005</v>
      </c>
      <c r="D16" s="2">
        <v>3.0859999999999994</v>
      </c>
      <c r="E16" s="2">
        <v>52.690000000000012</v>
      </c>
    </row>
    <row r="17" spans="1:5" x14ac:dyDescent="0.2">
      <c r="A17" t="s">
        <v>361</v>
      </c>
      <c r="B17" s="2">
        <f>Table15[[#Totals],[Height(ft)]]</f>
        <v>4.26</v>
      </c>
      <c r="C17" s="2">
        <f>Table15[[#Totals],[Weight(lbs)]]</f>
        <v>145.51</v>
      </c>
      <c r="D17" s="2">
        <v>2.13</v>
      </c>
      <c r="E17" s="2">
        <v>72.754999999999995</v>
      </c>
    </row>
    <row r="18" spans="1:5" x14ac:dyDescent="0.2">
      <c r="A18" t="s">
        <v>363</v>
      </c>
      <c r="B18" s="2">
        <f>Table17[[#Totals],[Height(ft)]]</f>
        <v>14.44</v>
      </c>
      <c r="C18" s="2">
        <f>Table17[[#Totals],[Weight(lbs)]]</f>
        <v>89.73</v>
      </c>
      <c r="D18" s="2">
        <v>4.8133333333333335</v>
      </c>
      <c r="E18" s="2">
        <v>29.91</v>
      </c>
    </row>
    <row r="22" spans="1:5" x14ac:dyDescent="0.2">
      <c r="B22" s="2"/>
      <c r="C22" s="2"/>
    </row>
    <row r="23" spans="1:5" x14ac:dyDescent="0.2">
      <c r="B23" s="2"/>
      <c r="C23" s="2"/>
    </row>
    <row r="24" spans="1:5" x14ac:dyDescent="0.2">
      <c r="B24" s="2"/>
      <c r="C24" s="2"/>
    </row>
    <row r="25" spans="1:5" x14ac:dyDescent="0.2">
      <c r="B25" s="2"/>
      <c r="C25" s="2"/>
    </row>
    <row r="26" spans="1:5" x14ac:dyDescent="0.2">
      <c r="B26" s="2"/>
      <c r="C26" s="2"/>
    </row>
    <row r="27" spans="1:5" x14ac:dyDescent="0.2">
      <c r="B27" s="2"/>
      <c r="C27" s="2"/>
    </row>
    <row r="28" spans="1:5" x14ac:dyDescent="0.2">
      <c r="B28" s="2"/>
      <c r="C28" s="2"/>
    </row>
    <row r="29" spans="1:5" x14ac:dyDescent="0.2">
      <c r="B29" s="2"/>
      <c r="C29" s="2"/>
    </row>
    <row r="30" spans="1:5" x14ac:dyDescent="0.2">
      <c r="B30" s="2"/>
      <c r="C30" s="2"/>
    </row>
    <row r="31" spans="1:5" x14ac:dyDescent="0.2">
      <c r="B31" s="2"/>
      <c r="C31" s="2"/>
    </row>
    <row r="32" spans="1:5" x14ac:dyDescent="0.2">
      <c r="B32" s="2"/>
      <c r="C32" s="2"/>
    </row>
    <row r="33" spans="2:3" x14ac:dyDescent="0.2">
      <c r="B33" s="2"/>
      <c r="C33" s="2"/>
    </row>
    <row r="34" spans="2:3" x14ac:dyDescent="0.2">
      <c r="B34" s="2"/>
      <c r="C34" s="2"/>
    </row>
    <row r="35" spans="2:3" x14ac:dyDescent="0.2">
      <c r="B35" s="2"/>
      <c r="C35" s="2"/>
    </row>
    <row r="36" spans="2:3" x14ac:dyDescent="0.2">
      <c r="B36" s="2"/>
      <c r="C36" s="2"/>
    </row>
    <row r="37" spans="2:3" x14ac:dyDescent="0.2">
      <c r="B37" s="2"/>
      <c r="C37" s="2"/>
    </row>
    <row r="38" spans="2:3" x14ac:dyDescent="0.2">
      <c r="B38" s="2"/>
      <c r="C38" s="2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"/>
  <sheetViews>
    <sheetView zoomScale="130" zoomScaleNormal="130" workbookViewId="0">
      <selection activeCell="G10" sqref="G10"/>
    </sheetView>
  </sheetViews>
  <sheetFormatPr baseColWidth="10" defaultColWidth="8.83203125" defaultRowHeight="15" x14ac:dyDescent="0.2"/>
  <cols>
    <col min="2" max="2" width="10.6640625" bestFit="1" customWidth="1"/>
    <col min="3" max="3" width="11.332031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56</v>
      </c>
      <c r="B2" t="s">
        <v>80</v>
      </c>
      <c r="C2" t="s">
        <v>90</v>
      </c>
      <c r="D2">
        <v>4.2699999999999996</v>
      </c>
      <c r="E2">
        <v>0.22</v>
      </c>
    </row>
    <row r="3" spans="1:5" x14ac:dyDescent="0.2">
      <c r="A3" t="s">
        <v>57</v>
      </c>
      <c r="B3" t="s">
        <v>81</v>
      </c>
      <c r="C3" t="s">
        <v>90</v>
      </c>
      <c r="D3">
        <v>5.25</v>
      </c>
      <c r="E3">
        <v>0.22</v>
      </c>
    </row>
    <row r="4" spans="1:5" x14ac:dyDescent="0.2">
      <c r="A4" t="s">
        <v>58</v>
      </c>
      <c r="B4" t="s">
        <v>82</v>
      </c>
      <c r="C4" t="s">
        <v>90</v>
      </c>
      <c r="D4">
        <v>4.92</v>
      </c>
      <c r="E4">
        <v>89.29</v>
      </c>
    </row>
    <row r="5" spans="1:5" x14ac:dyDescent="0.2">
      <c r="A5" t="s">
        <v>345</v>
      </c>
      <c r="D5">
        <f>SUBTOTAL(109,Table17[Height(ft)])</f>
        <v>14.44</v>
      </c>
      <c r="E5">
        <f>SUBTOTAL(109,Table17[Weight(lbs)])</f>
        <v>89.73</v>
      </c>
    </row>
    <row r="6" spans="1:5" x14ac:dyDescent="0.2">
      <c r="A6" t="s">
        <v>368</v>
      </c>
      <c r="D6" s="2">
        <f>AVERAGE(Table17[Height(ft)])</f>
        <v>4.8133333333333335</v>
      </c>
      <c r="E6" s="2">
        <f>AVERAGE(Table17[Weight(lbs)])</f>
        <v>29.91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="130" zoomScaleNormal="130" workbookViewId="0">
      <selection activeCell="K21" sqref="K21"/>
    </sheetView>
  </sheetViews>
  <sheetFormatPr baseColWidth="10" defaultColWidth="8.83203125" defaultRowHeight="15" x14ac:dyDescent="0.2"/>
  <cols>
    <col min="1" max="1" width="7.83203125" bestFit="1" customWidth="1"/>
    <col min="2" max="2" width="9.83203125" bestFit="1" customWidth="1"/>
    <col min="3" max="3" width="11.332031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19</v>
      </c>
      <c r="C2" t="s">
        <v>33</v>
      </c>
      <c r="D2">
        <v>2.2999999999999998</v>
      </c>
      <c r="E2">
        <v>15.21</v>
      </c>
    </row>
    <row r="3" spans="1:5" x14ac:dyDescent="0.2">
      <c r="A3" t="s">
        <v>6</v>
      </c>
      <c r="B3" t="s">
        <v>20</v>
      </c>
      <c r="C3" t="s">
        <v>33</v>
      </c>
      <c r="D3">
        <v>3.28</v>
      </c>
      <c r="E3">
        <v>28.66</v>
      </c>
    </row>
    <row r="4" spans="1:5" x14ac:dyDescent="0.2">
      <c r="A4" t="s">
        <v>7</v>
      </c>
      <c r="B4" t="s">
        <v>21</v>
      </c>
      <c r="C4" t="s">
        <v>33</v>
      </c>
      <c r="D4">
        <v>6.56</v>
      </c>
      <c r="E4">
        <v>220.46</v>
      </c>
    </row>
    <row r="5" spans="1:5" x14ac:dyDescent="0.2">
      <c r="A5" t="s">
        <v>8</v>
      </c>
      <c r="B5" t="s">
        <v>22</v>
      </c>
      <c r="C5" t="s">
        <v>33</v>
      </c>
      <c r="D5">
        <v>1.64</v>
      </c>
      <c r="E5">
        <v>11.9</v>
      </c>
    </row>
    <row r="6" spans="1:5" x14ac:dyDescent="0.2">
      <c r="A6" t="s">
        <v>9</v>
      </c>
      <c r="B6" t="s">
        <v>23</v>
      </c>
      <c r="C6" t="s">
        <v>33</v>
      </c>
      <c r="D6">
        <v>2.62</v>
      </c>
      <c r="E6">
        <v>18.96</v>
      </c>
    </row>
    <row r="7" spans="1:5" x14ac:dyDescent="0.2">
      <c r="A7" t="s">
        <v>10</v>
      </c>
      <c r="B7" t="s">
        <v>24</v>
      </c>
      <c r="C7" t="s">
        <v>33</v>
      </c>
      <c r="D7">
        <v>3.94</v>
      </c>
      <c r="E7">
        <v>41.01</v>
      </c>
    </row>
    <row r="8" spans="1:5" x14ac:dyDescent="0.2">
      <c r="A8" t="s">
        <v>11</v>
      </c>
      <c r="B8" t="s">
        <v>25</v>
      </c>
      <c r="C8" t="s">
        <v>34</v>
      </c>
      <c r="D8">
        <v>0.98</v>
      </c>
      <c r="E8">
        <v>11.9</v>
      </c>
    </row>
    <row r="9" spans="1:5" x14ac:dyDescent="0.2">
      <c r="A9" t="s">
        <v>12</v>
      </c>
      <c r="B9" t="s">
        <v>26</v>
      </c>
      <c r="C9" t="s">
        <v>34</v>
      </c>
      <c r="D9">
        <v>3.28</v>
      </c>
      <c r="E9">
        <v>65.040000000000006</v>
      </c>
    </row>
    <row r="10" spans="1:5" x14ac:dyDescent="0.2">
      <c r="A10" t="s">
        <v>13</v>
      </c>
      <c r="B10" t="s">
        <v>27</v>
      </c>
      <c r="C10" t="s">
        <v>33</v>
      </c>
      <c r="D10">
        <v>2.2999999999999998</v>
      </c>
      <c r="E10">
        <v>8.82</v>
      </c>
    </row>
    <row r="11" spans="1:5" x14ac:dyDescent="0.2">
      <c r="A11" t="s">
        <v>14</v>
      </c>
      <c r="B11" t="s">
        <v>28</v>
      </c>
      <c r="C11" t="s">
        <v>33</v>
      </c>
      <c r="D11">
        <v>3.28</v>
      </c>
      <c r="E11">
        <v>14.11</v>
      </c>
    </row>
    <row r="12" spans="1:5" x14ac:dyDescent="0.2">
      <c r="A12" t="s">
        <v>15</v>
      </c>
      <c r="B12" t="s">
        <v>29</v>
      </c>
      <c r="C12" t="s">
        <v>33</v>
      </c>
      <c r="D12">
        <v>5.58</v>
      </c>
      <c r="E12">
        <v>34.17</v>
      </c>
    </row>
    <row r="13" spans="1:5" x14ac:dyDescent="0.2">
      <c r="A13" t="s">
        <v>16</v>
      </c>
      <c r="B13" t="s">
        <v>30</v>
      </c>
      <c r="C13" t="s">
        <v>35</v>
      </c>
      <c r="D13">
        <v>1.31</v>
      </c>
      <c r="E13">
        <v>5.51</v>
      </c>
    </row>
    <row r="14" spans="1:5" x14ac:dyDescent="0.2">
      <c r="A14" t="s">
        <v>17</v>
      </c>
      <c r="B14" t="s">
        <v>31</v>
      </c>
      <c r="C14" t="s">
        <v>35</v>
      </c>
      <c r="D14">
        <v>6.56</v>
      </c>
      <c r="E14">
        <v>264.55</v>
      </c>
    </row>
    <row r="15" spans="1:5" x14ac:dyDescent="0.2">
      <c r="A15" t="s">
        <v>18</v>
      </c>
      <c r="B15" t="s">
        <v>32</v>
      </c>
      <c r="C15" t="s">
        <v>36</v>
      </c>
      <c r="D15">
        <v>3.28</v>
      </c>
      <c r="E15">
        <v>77.16</v>
      </c>
    </row>
    <row r="16" spans="1:5" x14ac:dyDescent="0.2">
      <c r="A16" t="s">
        <v>345</v>
      </c>
      <c r="D16">
        <f>SUBTOTAL(109,Table1[Height(ft)])</f>
        <v>46.910000000000011</v>
      </c>
      <c r="E16">
        <f>SUBTOTAL(109,Table1[Weight(lbs)])</f>
        <v>817.45999999999992</v>
      </c>
    </row>
    <row r="17" spans="1:5" x14ac:dyDescent="0.2">
      <c r="A17" t="s">
        <v>368</v>
      </c>
      <c r="D17" s="2">
        <f>AVERAGE(Table1[Height(ft)])</f>
        <v>3.3507142857142864</v>
      </c>
      <c r="E17" s="2">
        <f>AVERAGE(Table1[Weight(lbs)])</f>
        <v>58.389999999999993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"/>
  <sheetViews>
    <sheetView zoomScale="130" zoomScaleNormal="130" workbookViewId="0">
      <selection activeCell="J21" sqref="J21"/>
    </sheetView>
  </sheetViews>
  <sheetFormatPr baseColWidth="10" defaultColWidth="8.83203125" defaultRowHeight="15" x14ac:dyDescent="0.2"/>
  <cols>
    <col min="1" max="1" width="7.83203125" bestFit="1" customWidth="1"/>
    <col min="2" max="2" width="10.6640625" bestFit="1" customWidth="1"/>
    <col min="3" max="3" width="12.66406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272</v>
      </c>
      <c r="B2" t="s">
        <v>284</v>
      </c>
      <c r="C2" t="s">
        <v>296</v>
      </c>
      <c r="D2">
        <v>1.97</v>
      </c>
      <c r="E2">
        <v>26.46</v>
      </c>
    </row>
    <row r="3" spans="1:5" x14ac:dyDescent="0.2">
      <c r="A3" t="s">
        <v>273</v>
      </c>
      <c r="B3" t="s">
        <v>285</v>
      </c>
      <c r="C3" t="s">
        <v>296</v>
      </c>
      <c r="D3">
        <v>3.28</v>
      </c>
      <c r="E3">
        <v>65.040000000000006</v>
      </c>
    </row>
    <row r="4" spans="1:5" x14ac:dyDescent="0.2">
      <c r="A4" t="s">
        <v>44</v>
      </c>
      <c r="B4" t="s">
        <v>68</v>
      </c>
      <c r="C4" t="s">
        <v>87</v>
      </c>
      <c r="D4">
        <v>4.2699999999999996</v>
      </c>
      <c r="E4">
        <v>132.28</v>
      </c>
    </row>
    <row r="5" spans="1:5" x14ac:dyDescent="0.2">
      <c r="A5" t="s">
        <v>47</v>
      </c>
      <c r="B5" t="s">
        <v>71</v>
      </c>
      <c r="C5" t="s">
        <v>87</v>
      </c>
      <c r="D5">
        <v>4.59</v>
      </c>
      <c r="E5">
        <v>136.69</v>
      </c>
    </row>
    <row r="6" spans="1:5" x14ac:dyDescent="0.2">
      <c r="A6" t="s">
        <v>274</v>
      </c>
      <c r="B6" t="s">
        <v>286</v>
      </c>
      <c r="C6" t="s">
        <v>296</v>
      </c>
      <c r="D6">
        <v>0.66</v>
      </c>
      <c r="E6">
        <v>1.76</v>
      </c>
    </row>
    <row r="7" spans="1:5" x14ac:dyDescent="0.2">
      <c r="A7" t="s">
        <v>275</v>
      </c>
      <c r="B7" t="s">
        <v>287</v>
      </c>
      <c r="C7" t="s">
        <v>296</v>
      </c>
      <c r="D7">
        <v>2.2999999999999998</v>
      </c>
      <c r="E7">
        <v>73.41</v>
      </c>
    </row>
    <row r="8" spans="1:5" x14ac:dyDescent="0.2">
      <c r="A8" t="s">
        <v>276</v>
      </c>
      <c r="B8" t="s">
        <v>288</v>
      </c>
      <c r="C8" t="s">
        <v>297</v>
      </c>
      <c r="D8">
        <v>1.31</v>
      </c>
      <c r="E8">
        <v>44.09</v>
      </c>
    </row>
    <row r="9" spans="1:5" x14ac:dyDescent="0.2">
      <c r="A9" t="s">
        <v>277</v>
      </c>
      <c r="B9" t="s">
        <v>289</v>
      </c>
      <c r="C9" t="s">
        <v>297</v>
      </c>
      <c r="D9">
        <v>3.28</v>
      </c>
      <c r="E9">
        <v>231.49</v>
      </c>
    </row>
    <row r="10" spans="1:5" x14ac:dyDescent="0.2">
      <c r="A10" t="s">
        <v>278</v>
      </c>
      <c r="B10" t="s">
        <v>290</v>
      </c>
      <c r="C10" t="s">
        <v>297</v>
      </c>
      <c r="D10">
        <v>4.59</v>
      </c>
      <c r="E10">
        <v>661.39</v>
      </c>
    </row>
    <row r="11" spans="1:5" x14ac:dyDescent="0.2">
      <c r="A11" t="s">
        <v>279</v>
      </c>
      <c r="B11" t="s">
        <v>291</v>
      </c>
      <c r="C11" t="s">
        <v>297</v>
      </c>
      <c r="D11">
        <v>28.87</v>
      </c>
      <c r="E11">
        <v>462.97</v>
      </c>
    </row>
    <row r="12" spans="1:5" x14ac:dyDescent="0.2">
      <c r="A12" t="s">
        <v>280</v>
      </c>
      <c r="B12" t="s">
        <v>292</v>
      </c>
      <c r="C12" t="s">
        <v>296</v>
      </c>
      <c r="D12">
        <v>1.31</v>
      </c>
      <c r="E12">
        <v>14.33</v>
      </c>
    </row>
    <row r="13" spans="1:5" x14ac:dyDescent="0.2">
      <c r="A13" t="s">
        <v>281</v>
      </c>
      <c r="B13" t="s">
        <v>293</v>
      </c>
      <c r="C13" t="s">
        <v>296</v>
      </c>
      <c r="D13">
        <v>3.28</v>
      </c>
      <c r="E13">
        <v>99.21</v>
      </c>
    </row>
    <row r="14" spans="1:5" x14ac:dyDescent="0.2">
      <c r="A14" t="s">
        <v>282</v>
      </c>
      <c r="B14" t="s">
        <v>294</v>
      </c>
      <c r="C14" t="s">
        <v>298</v>
      </c>
      <c r="D14">
        <v>3.28</v>
      </c>
      <c r="E14">
        <v>253.53</v>
      </c>
    </row>
    <row r="15" spans="1:5" x14ac:dyDescent="0.2">
      <c r="A15" t="s">
        <v>283</v>
      </c>
      <c r="B15" t="s">
        <v>295</v>
      </c>
      <c r="C15" t="s">
        <v>298</v>
      </c>
      <c r="D15">
        <v>6.23</v>
      </c>
      <c r="E15">
        <v>264.55</v>
      </c>
    </row>
    <row r="16" spans="1:5" x14ac:dyDescent="0.2">
      <c r="A16" t="s">
        <v>345</v>
      </c>
      <c r="D16">
        <f>SUBTOTAL(109,Table9[Height(ft)])</f>
        <v>69.220000000000013</v>
      </c>
      <c r="E16">
        <f>SUBTOTAL(109,Table9[Weight(lbs)])</f>
        <v>2467.2000000000003</v>
      </c>
    </row>
    <row r="17" spans="1:5" x14ac:dyDescent="0.2">
      <c r="A17" t="s">
        <v>368</v>
      </c>
      <c r="D17" s="2">
        <f>AVERAGE(Table9[Height(ft)])</f>
        <v>4.9442857142857148</v>
      </c>
      <c r="E17" s="2">
        <f>AVERAGE(Table9[Weight(lbs)])</f>
        <v>176.22857142857146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="130" zoomScaleNormal="130" workbookViewId="0">
      <selection activeCell="F9" sqref="F9"/>
    </sheetView>
  </sheetViews>
  <sheetFormatPr baseColWidth="10" defaultColWidth="8.83203125" defaultRowHeight="15" x14ac:dyDescent="0.2"/>
  <cols>
    <col min="2" max="2" width="10.6640625" bestFit="1" customWidth="1"/>
    <col min="3" max="3" width="10.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165</v>
      </c>
      <c r="B2" t="s">
        <v>194</v>
      </c>
      <c r="C2" t="s">
        <v>215</v>
      </c>
      <c r="D2">
        <v>5.58</v>
      </c>
      <c r="E2">
        <v>264.55</v>
      </c>
    </row>
    <row r="3" spans="1:5" x14ac:dyDescent="0.2">
      <c r="A3" t="s">
        <v>167</v>
      </c>
      <c r="B3" t="s">
        <v>196</v>
      </c>
      <c r="C3" t="s">
        <v>215</v>
      </c>
      <c r="D3">
        <v>4.92</v>
      </c>
      <c r="E3">
        <v>292.11</v>
      </c>
    </row>
    <row r="4" spans="1:5" x14ac:dyDescent="0.2">
      <c r="A4" t="s">
        <v>327</v>
      </c>
      <c r="B4" t="s">
        <v>335</v>
      </c>
      <c r="C4" t="s">
        <v>339</v>
      </c>
      <c r="D4">
        <v>4.59</v>
      </c>
      <c r="E4">
        <v>89.51</v>
      </c>
    </row>
    <row r="5" spans="1:5" x14ac:dyDescent="0.2">
      <c r="A5" t="s">
        <v>177</v>
      </c>
      <c r="B5" t="s">
        <v>206</v>
      </c>
      <c r="C5" t="s">
        <v>215</v>
      </c>
      <c r="D5">
        <v>8.1999999999999993</v>
      </c>
      <c r="E5">
        <v>485.02</v>
      </c>
    </row>
    <row r="6" spans="1:5" x14ac:dyDescent="0.2">
      <c r="A6" t="s">
        <v>129</v>
      </c>
      <c r="B6" t="s">
        <v>144</v>
      </c>
      <c r="C6" t="s">
        <v>151</v>
      </c>
      <c r="D6">
        <v>5.58</v>
      </c>
      <c r="E6">
        <v>122.14</v>
      </c>
    </row>
    <row r="7" spans="1:5" x14ac:dyDescent="0.2">
      <c r="A7" t="s">
        <v>345</v>
      </c>
      <c r="D7">
        <f>SUBTOTAL(109,Table16[Height(ft)])</f>
        <v>28.869999999999997</v>
      </c>
      <c r="E7">
        <f>SUBTOTAL(109,Table16[Weight(lbs)])</f>
        <v>1253.3300000000002</v>
      </c>
    </row>
    <row r="8" spans="1:5" x14ac:dyDescent="0.2">
      <c r="A8" t="s">
        <v>368</v>
      </c>
      <c r="D8" s="2">
        <f>AVERAGE(Table16[Height(ft)])</f>
        <v>5.7739999999999991</v>
      </c>
      <c r="E8" s="2">
        <f>AVERAGE(Table16[Weight(lbs)])</f>
        <v>250.66600000000003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zoomScale="130" zoomScaleNormal="130" workbookViewId="0">
      <selection activeCell="D25" sqref="D25:E25"/>
    </sheetView>
  </sheetViews>
  <sheetFormatPr baseColWidth="10" defaultColWidth="8.83203125" defaultRowHeight="15" x14ac:dyDescent="0.2"/>
  <cols>
    <col min="1" max="1" width="7.83203125" bestFit="1" customWidth="1"/>
    <col min="2" max="2" width="10.6640625" bestFit="1" customWidth="1"/>
    <col min="3" max="3" width="11.66406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237</v>
      </c>
      <c r="B2" t="s">
        <v>251</v>
      </c>
      <c r="C2" t="s">
        <v>252</v>
      </c>
      <c r="D2">
        <v>6.89</v>
      </c>
      <c r="E2">
        <v>1014.13</v>
      </c>
    </row>
    <row r="3" spans="1:5" x14ac:dyDescent="0.2">
      <c r="A3" t="s">
        <v>233</v>
      </c>
      <c r="B3" t="s">
        <v>247</v>
      </c>
      <c r="C3" t="s">
        <v>252</v>
      </c>
      <c r="D3">
        <v>4.59</v>
      </c>
      <c r="E3">
        <v>194.89</v>
      </c>
    </row>
    <row r="4" spans="1:5" x14ac:dyDescent="0.2">
      <c r="A4" t="s">
        <v>125</v>
      </c>
      <c r="B4" t="s">
        <v>140</v>
      </c>
      <c r="C4" t="s">
        <v>148</v>
      </c>
      <c r="D4">
        <v>5.91</v>
      </c>
      <c r="E4">
        <v>187.83</v>
      </c>
    </row>
    <row r="5" spans="1:5" x14ac:dyDescent="0.2">
      <c r="A5" t="s">
        <v>232</v>
      </c>
      <c r="B5" t="s">
        <v>246</v>
      </c>
      <c r="C5" t="s">
        <v>252</v>
      </c>
      <c r="D5">
        <v>7.22</v>
      </c>
      <c r="E5">
        <v>176.37</v>
      </c>
    </row>
    <row r="6" spans="1:5" x14ac:dyDescent="0.2">
      <c r="A6" t="s">
        <v>230</v>
      </c>
      <c r="B6" t="s">
        <v>244</v>
      </c>
      <c r="C6" t="s">
        <v>252</v>
      </c>
      <c r="D6">
        <v>3.94</v>
      </c>
      <c r="E6">
        <v>144.4</v>
      </c>
    </row>
    <row r="7" spans="1:5" x14ac:dyDescent="0.2">
      <c r="A7" t="s">
        <v>120</v>
      </c>
      <c r="B7" t="s">
        <v>135</v>
      </c>
      <c r="C7" t="s">
        <v>148</v>
      </c>
      <c r="D7">
        <v>4.92</v>
      </c>
      <c r="E7">
        <v>87.08</v>
      </c>
    </row>
    <row r="8" spans="1:5" x14ac:dyDescent="0.2">
      <c r="A8" t="s">
        <v>124</v>
      </c>
      <c r="B8" t="s">
        <v>139</v>
      </c>
      <c r="C8" t="s">
        <v>148</v>
      </c>
      <c r="D8">
        <v>4.59</v>
      </c>
      <c r="E8">
        <v>86.42</v>
      </c>
    </row>
    <row r="9" spans="1:5" x14ac:dyDescent="0.2">
      <c r="A9" t="s">
        <v>122</v>
      </c>
      <c r="B9" t="s">
        <v>137</v>
      </c>
      <c r="C9" t="s">
        <v>148</v>
      </c>
      <c r="D9">
        <v>3.94</v>
      </c>
      <c r="E9">
        <v>83.78</v>
      </c>
    </row>
    <row r="10" spans="1:5" x14ac:dyDescent="0.2">
      <c r="A10" t="s">
        <v>236</v>
      </c>
      <c r="B10" t="s">
        <v>250</v>
      </c>
      <c r="C10" t="s">
        <v>252</v>
      </c>
      <c r="D10">
        <v>2.62</v>
      </c>
      <c r="E10">
        <v>80.47</v>
      </c>
    </row>
    <row r="11" spans="1:5" x14ac:dyDescent="0.2">
      <c r="A11" t="s">
        <v>231</v>
      </c>
      <c r="B11" t="s">
        <v>245</v>
      </c>
      <c r="C11" t="s">
        <v>252</v>
      </c>
      <c r="D11">
        <v>3.61</v>
      </c>
      <c r="E11">
        <v>76.28</v>
      </c>
    </row>
    <row r="12" spans="1:5" x14ac:dyDescent="0.2">
      <c r="A12" t="s">
        <v>229</v>
      </c>
      <c r="B12" t="s">
        <v>243</v>
      </c>
      <c r="C12" t="s">
        <v>252</v>
      </c>
      <c r="D12">
        <v>3.28</v>
      </c>
      <c r="E12">
        <v>70.55</v>
      </c>
    </row>
    <row r="13" spans="1:5" x14ac:dyDescent="0.2">
      <c r="A13" t="s">
        <v>119</v>
      </c>
      <c r="B13" t="s">
        <v>134</v>
      </c>
      <c r="C13" t="s">
        <v>148</v>
      </c>
      <c r="D13">
        <v>3.61</v>
      </c>
      <c r="E13">
        <v>66.14</v>
      </c>
    </row>
    <row r="14" spans="1:5" x14ac:dyDescent="0.2">
      <c r="A14" t="s">
        <v>225</v>
      </c>
      <c r="B14" t="s">
        <v>239</v>
      </c>
      <c r="C14" t="s">
        <v>252</v>
      </c>
      <c r="D14">
        <v>2.2999999999999998</v>
      </c>
      <c r="E14">
        <v>40.79</v>
      </c>
    </row>
    <row r="15" spans="1:5" x14ac:dyDescent="0.2">
      <c r="A15" t="s">
        <v>123</v>
      </c>
      <c r="B15" t="s">
        <v>138</v>
      </c>
      <c r="C15" t="s">
        <v>148</v>
      </c>
      <c r="D15">
        <v>2.62</v>
      </c>
      <c r="E15">
        <v>33.07</v>
      </c>
    </row>
    <row r="16" spans="1:5" x14ac:dyDescent="0.2">
      <c r="A16" t="s">
        <v>227</v>
      </c>
      <c r="B16" t="s">
        <v>241</v>
      </c>
      <c r="C16" t="s">
        <v>253</v>
      </c>
      <c r="D16">
        <v>3.28</v>
      </c>
      <c r="E16">
        <v>26.46</v>
      </c>
    </row>
    <row r="17" spans="1:5" x14ac:dyDescent="0.2">
      <c r="A17" t="s">
        <v>235</v>
      </c>
      <c r="B17" t="s">
        <v>249</v>
      </c>
      <c r="C17" t="s">
        <v>252</v>
      </c>
      <c r="D17">
        <v>0.98</v>
      </c>
      <c r="E17">
        <v>14.33</v>
      </c>
    </row>
    <row r="18" spans="1:5" x14ac:dyDescent="0.2">
      <c r="A18" t="s">
        <v>226</v>
      </c>
      <c r="B18" t="s">
        <v>240</v>
      </c>
      <c r="C18" t="s">
        <v>253</v>
      </c>
      <c r="D18">
        <v>1.64</v>
      </c>
      <c r="E18">
        <v>12.13</v>
      </c>
    </row>
    <row r="19" spans="1:5" x14ac:dyDescent="0.2">
      <c r="A19" t="s">
        <v>228</v>
      </c>
      <c r="B19" t="s">
        <v>242</v>
      </c>
      <c r="C19" t="s">
        <v>252</v>
      </c>
      <c r="D19">
        <v>1.31</v>
      </c>
      <c r="E19">
        <v>9.26</v>
      </c>
    </row>
    <row r="20" spans="1:5" x14ac:dyDescent="0.2">
      <c r="A20" t="s">
        <v>234</v>
      </c>
      <c r="B20" t="s">
        <v>248</v>
      </c>
      <c r="C20" t="s">
        <v>252</v>
      </c>
      <c r="D20">
        <v>0.98</v>
      </c>
      <c r="E20">
        <v>8.82</v>
      </c>
    </row>
    <row r="21" spans="1:5" x14ac:dyDescent="0.2">
      <c r="A21" t="s">
        <v>224</v>
      </c>
      <c r="B21" t="s">
        <v>238</v>
      </c>
      <c r="C21" t="s">
        <v>252</v>
      </c>
      <c r="D21">
        <v>0.98</v>
      </c>
      <c r="E21">
        <v>7.72</v>
      </c>
    </row>
    <row r="22" spans="1:5" x14ac:dyDescent="0.2">
      <c r="A22" t="s">
        <v>121</v>
      </c>
      <c r="B22" t="s">
        <v>136</v>
      </c>
      <c r="C22" t="s">
        <v>148</v>
      </c>
      <c r="D22">
        <v>0.98</v>
      </c>
      <c r="E22">
        <v>4.41</v>
      </c>
    </row>
    <row r="23" spans="1:5" x14ac:dyDescent="0.2">
      <c r="A23" t="s">
        <v>118</v>
      </c>
      <c r="B23" t="s">
        <v>133</v>
      </c>
      <c r="C23" t="s">
        <v>148</v>
      </c>
      <c r="D23">
        <v>0.98</v>
      </c>
      <c r="E23">
        <v>3.97</v>
      </c>
    </row>
    <row r="24" spans="1:5" x14ac:dyDescent="0.2">
      <c r="A24" t="s">
        <v>345</v>
      </c>
      <c r="D24">
        <f>SUBTOTAL(109,Table7[Height(ft)])</f>
        <v>71.170000000000016</v>
      </c>
      <c r="E24">
        <f>SUBTOTAL(109,Table7[Weight(lbs)])</f>
        <v>2429.3000000000002</v>
      </c>
    </row>
    <row r="25" spans="1:5" x14ac:dyDescent="0.2">
      <c r="A25" t="s">
        <v>368</v>
      </c>
      <c r="D25" s="2">
        <f>AVERAGE(Table7[Height(ft)])</f>
        <v>3.2350000000000008</v>
      </c>
      <c r="E25" s="2">
        <f>AVERAGE(Table7[Weight(lbs)])</f>
        <v>110.42272727272729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topLeftCell="A5" zoomScale="130" zoomScaleNormal="130" workbookViewId="0">
      <selection activeCell="M26" sqref="M26"/>
    </sheetView>
  </sheetViews>
  <sheetFormatPr baseColWidth="10" defaultColWidth="8.83203125" defaultRowHeight="15" x14ac:dyDescent="0.2"/>
  <cols>
    <col min="2" max="2" width="10.6640625" bestFit="1" customWidth="1"/>
    <col min="3" max="3" width="12.66406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19</v>
      </c>
      <c r="C2" t="s">
        <v>33</v>
      </c>
      <c r="D2">
        <v>2.2999999999999998</v>
      </c>
      <c r="E2">
        <v>15.21</v>
      </c>
    </row>
    <row r="3" spans="1:5" x14ac:dyDescent="0.2">
      <c r="A3" t="s">
        <v>6</v>
      </c>
      <c r="B3" t="s">
        <v>20</v>
      </c>
      <c r="C3" t="s">
        <v>33</v>
      </c>
      <c r="D3">
        <v>3.28</v>
      </c>
      <c r="E3">
        <v>28.66</v>
      </c>
    </row>
    <row r="4" spans="1:5" x14ac:dyDescent="0.2">
      <c r="A4" t="s">
        <v>7</v>
      </c>
      <c r="B4" t="s">
        <v>21</v>
      </c>
      <c r="C4" t="s">
        <v>33</v>
      </c>
      <c r="D4">
        <v>6.56</v>
      </c>
      <c r="E4">
        <v>220.46</v>
      </c>
    </row>
    <row r="5" spans="1:5" x14ac:dyDescent="0.2">
      <c r="A5" t="s">
        <v>37</v>
      </c>
      <c r="B5" t="s">
        <v>61</v>
      </c>
      <c r="C5" t="s">
        <v>85</v>
      </c>
      <c r="D5">
        <v>0.98</v>
      </c>
      <c r="E5">
        <v>7.05</v>
      </c>
    </row>
    <row r="6" spans="1:5" x14ac:dyDescent="0.2">
      <c r="A6" t="s">
        <v>38</v>
      </c>
      <c r="B6" t="s">
        <v>62</v>
      </c>
      <c r="C6" t="s">
        <v>85</v>
      </c>
      <c r="D6">
        <v>1.97</v>
      </c>
      <c r="E6">
        <v>22.05</v>
      </c>
    </row>
    <row r="7" spans="1:5" x14ac:dyDescent="0.2">
      <c r="A7" t="s">
        <v>39</v>
      </c>
      <c r="B7" t="s">
        <v>63</v>
      </c>
      <c r="C7" t="s">
        <v>85</v>
      </c>
      <c r="D7">
        <v>3.28</v>
      </c>
      <c r="E7">
        <v>65.040000000000006</v>
      </c>
    </row>
    <row r="8" spans="1:5" x14ac:dyDescent="0.2">
      <c r="A8" t="s">
        <v>40</v>
      </c>
      <c r="B8" t="s">
        <v>64</v>
      </c>
      <c r="C8" t="s">
        <v>86</v>
      </c>
      <c r="D8">
        <v>6.56</v>
      </c>
      <c r="E8">
        <v>15.21</v>
      </c>
    </row>
    <row r="9" spans="1:5" x14ac:dyDescent="0.2">
      <c r="A9" t="s">
        <v>41</v>
      </c>
      <c r="B9" t="s">
        <v>65</v>
      </c>
      <c r="C9" t="s">
        <v>86</v>
      </c>
      <c r="D9">
        <v>11.48</v>
      </c>
      <c r="E9">
        <v>143.30000000000001</v>
      </c>
    </row>
    <row r="10" spans="1:5" x14ac:dyDescent="0.2">
      <c r="A10" t="s">
        <v>42</v>
      </c>
      <c r="B10" t="s">
        <v>66</v>
      </c>
      <c r="C10" t="s">
        <v>86</v>
      </c>
      <c r="D10">
        <v>1.31</v>
      </c>
      <c r="E10">
        <v>15.43</v>
      </c>
    </row>
    <row r="11" spans="1:5" x14ac:dyDescent="0.2">
      <c r="A11" t="s">
        <v>43</v>
      </c>
      <c r="B11" t="s">
        <v>67</v>
      </c>
      <c r="C11" t="s">
        <v>86</v>
      </c>
      <c r="D11">
        <v>2.62</v>
      </c>
      <c r="E11">
        <v>44.09</v>
      </c>
    </row>
    <row r="12" spans="1:5" x14ac:dyDescent="0.2">
      <c r="A12" t="s">
        <v>44</v>
      </c>
      <c r="B12" t="s">
        <v>68</v>
      </c>
      <c r="C12" t="s">
        <v>87</v>
      </c>
      <c r="D12">
        <v>4.2699999999999996</v>
      </c>
      <c r="E12">
        <v>132.28</v>
      </c>
    </row>
    <row r="13" spans="1:5" x14ac:dyDescent="0.2">
      <c r="A13" t="s">
        <v>45</v>
      </c>
      <c r="B13" t="s">
        <v>69</v>
      </c>
      <c r="C13" t="s">
        <v>86</v>
      </c>
      <c r="D13">
        <v>1.64</v>
      </c>
      <c r="E13">
        <v>19.84</v>
      </c>
    </row>
    <row r="14" spans="1:5" x14ac:dyDescent="0.2">
      <c r="A14" t="s">
        <v>46</v>
      </c>
      <c r="B14" t="s">
        <v>70</v>
      </c>
      <c r="C14" t="s">
        <v>86</v>
      </c>
      <c r="D14">
        <v>2.95</v>
      </c>
      <c r="E14">
        <v>42.99</v>
      </c>
    </row>
    <row r="15" spans="1:5" x14ac:dyDescent="0.2">
      <c r="A15" t="s">
        <v>47</v>
      </c>
      <c r="B15" t="s">
        <v>71</v>
      </c>
      <c r="C15" t="s">
        <v>87</v>
      </c>
      <c r="D15">
        <v>4.59</v>
      </c>
      <c r="E15">
        <v>136.69</v>
      </c>
    </row>
    <row r="16" spans="1:5" x14ac:dyDescent="0.2">
      <c r="A16" t="s">
        <v>48</v>
      </c>
      <c r="B16" t="s">
        <v>72</v>
      </c>
      <c r="C16" t="s">
        <v>88</v>
      </c>
      <c r="D16">
        <v>2.62</v>
      </c>
      <c r="E16">
        <v>16.53</v>
      </c>
    </row>
    <row r="17" spans="1:5" x14ac:dyDescent="0.2">
      <c r="A17" t="s">
        <v>49</v>
      </c>
      <c r="B17" t="s">
        <v>73</v>
      </c>
      <c r="C17" t="s">
        <v>88</v>
      </c>
      <c r="D17">
        <v>5.25</v>
      </c>
      <c r="E17">
        <v>121.25</v>
      </c>
    </row>
    <row r="18" spans="1:5" x14ac:dyDescent="0.2">
      <c r="A18" t="s">
        <v>8</v>
      </c>
      <c r="B18" t="s">
        <v>22</v>
      </c>
      <c r="C18" t="s">
        <v>33</v>
      </c>
      <c r="D18">
        <v>1.64</v>
      </c>
      <c r="E18">
        <v>11.9</v>
      </c>
    </row>
    <row r="19" spans="1:5" x14ac:dyDescent="0.2">
      <c r="A19" t="s">
        <v>9</v>
      </c>
      <c r="B19" t="s">
        <v>23</v>
      </c>
      <c r="C19" t="s">
        <v>33</v>
      </c>
      <c r="D19">
        <v>2.62</v>
      </c>
      <c r="E19">
        <v>18.96</v>
      </c>
    </row>
    <row r="20" spans="1:5" x14ac:dyDescent="0.2">
      <c r="A20" t="s">
        <v>10</v>
      </c>
      <c r="B20" t="s">
        <v>24</v>
      </c>
      <c r="C20" t="s">
        <v>33</v>
      </c>
      <c r="D20">
        <v>3.94</v>
      </c>
      <c r="E20">
        <v>41.01</v>
      </c>
    </row>
    <row r="21" spans="1:5" x14ac:dyDescent="0.2">
      <c r="A21" t="s">
        <v>50</v>
      </c>
      <c r="B21" t="s">
        <v>74</v>
      </c>
      <c r="C21" t="s">
        <v>85</v>
      </c>
      <c r="D21">
        <v>3.28</v>
      </c>
      <c r="E21">
        <v>66.14</v>
      </c>
    </row>
    <row r="22" spans="1:5" x14ac:dyDescent="0.2">
      <c r="A22" t="s">
        <v>51</v>
      </c>
      <c r="B22" t="s">
        <v>75</v>
      </c>
      <c r="C22" t="s">
        <v>85</v>
      </c>
      <c r="D22">
        <v>4.92</v>
      </c>
      <c r="E22">
        <v>27.56</v>
      </c>
    </row>
    <row r="23" spans="1:5" x14ac:dyDescent="0.2">
      <c r="A23" t="s">
        <v>13</v>
      </c>
      <c r="B23" t="s">
        <v>27</v>
      </c>
      <c r="C23" t="s">
        <v>33</v>
      </c>
      <c r="D23">
        <v>2.2999999999999998</v>
      </c>
      <c r="E23">
        <v>8.82</v>
      </c>
    </row>
    <row r="24" spans="1:5" x14ac:dyDescent="0.2">
      <c r="A24" t="s">
        <v>14</v>
      </c>
      <c r="B24" t="s">
        <v>28</v>
      </c>
      <c r="C24" t="s">
        <v>33</v>
      </c>
      <c r="D24">
        <v>3.28</v>
      </c>
      <c r="E24">
        <v>14.11</v>
      </c>
    </row>
    <row r="25" spans="1:5" x14ac:dyDescent="0.2">
      <c r="A25" t="s">
        <v>15</v>
      </c>
      <c r="B25" t="s">
        <v>29</v>
      </c>
      <c r="C25" t="s">
        <v>33</v>
      </c>
      <c r="D25">
        <v>5.58</v>
      </c>
      <c r="E25">
        <v>34.17</v>
      </c>
    </row>
    <row r="26" spans="1:5" x14ac:dyDescent="0.2">
      <c r="A26" t="s">
        <v>52</v>
      </c>
      <c r="B26" t="s">
        <v>76</v>
      </c>
      <c r="C26" t="s">
        <v>89</v>
      </c>
      <c r="D26">
        <v>2.95</v>
      </c>
      <c r="E26">
        <v>100.31</v>
      </c>
    </row>
    <row r="27" spans="1:5" x14ac:dyDescent="0.2">
      <c r="A27" t="s">
        <v>53</v>
      </c>
      <c r="B27" t="s">
        <v>77</v>
      </c>
      <c r="C27" t="s">
        <v>89</v>
      </c>
      <c r="D27">
        <v>5.25</v>
      </c>
      <c r="E27">
        <v>121.25</v>
      </c>
    </row>
    <row r="28" spans="1:5" x14ac:dyDescent="0.2">
      <c r="A28" t="s">
        <v>54</v>
      </c>
      <c r="B28" t="s">
        <v>78</v>
      </c>
      <c r="C28" t="s">
        <v>86</v>
      </c>
      <c r="D28">
        <v>2.95</v>
      </c>
      <c r="E28">
        <v>66.14</v>
      </c>
    </row>
    <row r="29" spans="1:5" x14ac:dyDescent="0.2">
      <c r="A29" t="s">
        <v>55</v>
      </c>
      <c r="B29" t="s">
        <v>79</v>
      </c>
      <c r="C29" t="s">
        <v>86</v>
      </c>
      <c r="D29">
        <v>3.94</v>
      </c>
      <c r="E29">
        <v>66.14</v>
      </c>
    </row>
    <row r="30" spans="1:5" x14ac:dyDescent="0.2">
      <c r="A30" t="s">
        <v>56</v>
      </c>
      <c r="B30" t="s">
        <v>80</v>
      </c>
      <c r="C30" t="s">
        <v>90</v>
      </c>
      <c r="D30">
        <v>4.2699999999999996</v>
      </c>
      <c r="E30">
        <v>0.22</v>
      </c>
    </row>
    <row r="31" spans="1:5" x14ac:dyDescent="0.2">
      <c r="A31" t="s">
        <v>57</v>
      </c>
      <c r="B31" t="s">
        <v>81</v>
      </c>
      <c r="C31" t="s">
        <v>90</v>
      </c>
      <c r="D31">
        <v>5.25</v>
      </c>
      <c r="E31">
        <v>0.22</v>
      </c>
    </row>
    <row r="32" spans="1:5" x14ac:dyDescent="0.2">
      <c r="A32" t="s">
        <v>58</v>
      </c>
      <c r="B32" t="s">
        <v>82</v>
      </c>
      <c r="C32" t="s">
        <v>90</v>
      </c>
      <c r="D32">
        <v>4.92</v>
      </c>
      <c r="E32">
        <v>89.29</v>
      </c>
    </row>
    <row r="33" spans="1:5" x14ac:dyDescent="0.2">
      <c r="A33" t="s">
        <v>59</v>
      </c>
      <c r="B33" t="s">
        <v>83</v>
      </c>
      <c r="C33" t="s">
        <v>86</v>
      </c>
      <c r="D33">
        <v>1.97</v>
      </c>
      <c r="E33">
        <v>2.2000000000000002</v>
      </c>
    </row>
    <row r="34" spans="1:5" x14ac:dyDescent="0.2">
      <c r="A34" t="s">
        <v>60</v>
      </c>
      <c r="B34" t="s">
        <v>84</v>
      </c>
      <c r="C34" t="s">
        <v>86</v>
      </c>
      <c r="D34">
        <v>3.94</v>
      </c>
      <c r="E34">
        <v>20.94</v>
      </c>
    </row>
    <row r="35" spans="1:5" x14ac:dyDescent="0.2">
      <c r="A35" t="s">
        <v>345</v>
      </c>
      <c r="D35">
        <f>SUBTOTAL(109,Table2[Height(ft)])</f>
        <v>124.66</v>
      </c>
      <c r="E35">
        <f>SUBTOTAL(109,Table2[Weight(lbs)])</f>
        <v>1735.4600000000003</v>
      </c>
    </row>
    <row r="36" spans="1:5" x14ac:dyDescent="0.2">
      <c r="A36" t="s">
        <v>368</v>
      </c>
      <c r="D36" s="2">
        <f>AVERAGE(Table2[Height(ft)])</f>
        <v>3.7775757575757574</v>
      </c>
      <c r="E36" s="2">
        <f>AVERAGE(Table2[Weight(lbs)])</f>
        <v>52.58969696969698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7"/>
  <sheetViews>
    <sheetView zoomScale="130" zoomScaleNormal="130" workbookViewId="0">
      <selection activeCell="K16" sqref="K16"/>
    </sheetView>
  </sheetViews>
  <sheetFormatPr baseColWidth="10" defaultColWidth="8.83203125" defaultRowHeight="15" x14ac:dyDescent="0.2"/>
  <cols>
    <col min="1" max="1" width="7.83203125" bestFit="1" customWidth="1"/>
    <col min="2" max="2" width="10.6640625" bestFit="1" customWidth="1"/>
    <col min="3" max="3" width="12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322</v>
      </c>
      <c r="B2" t="s">
        <v>330</v>
      </c>
      <c r="C2" t="s">
        <v>338</v>
      </c>
      <c r="D2">
        <v>2.95</v>
      </c>
      <c r="E2">
        <v>42.99</v>
      </c>
    </row>
    <row r="3" spans="1:5" x14ac:dyDescent="0.2">
      <c r="A3" t="s">
        <v>323</v>
      </c>
      <c r="B3" t="s">
        <v>331</v>
      </c>
      <c r="C3" t="s">
        <v>338</v>
      </c>
      <c r="D3">
        <v>4.2699999999999996</v>
      </c>
      <c r="E3">
        <v>124.56</v>
      </c>
    </row>
    <row r="4" spans="1:5" x14ac:dyDescent="0.2">
      <c r="A4" t="s">
        <v>324</v>
      </c>
      <c r="B4" t="s">
        <v>332</v>
      </c>
      <c r="C4" t="s">
        <v>338</v>
      </c>
      <c r="D4">
        <v>4.92</v>
      </c>
      <c r="E4">
        <v>105.82</v>
      </c>
    </row>
    <row r="5" spans="1:5" x14ac:dyDescent="0.2">
      <c r="A5" t="s">
        <v>162</v>
      </c>
      <c r="B5" t="s">
        <v>191</v>
      </c>
      <c r="C5" t="s">
        <v>214</v>
      </c>
      <c r="D5">
        <v>3.94</v>
      </c>
      <c r="E5">
        <v>79.37</v>
      </c>
    </row>
    <row r="6" spans="1:5" x14ac:dyDescent="0.2">
      <c r="A6" t="s">
        <v>163</v>
      </c>
      <c r="B6" t="s">
        <v>192</v>
      </c>
      <c r="C6" t="s">
        <v>214</v>
      </c>
      <c r="D6">
        <v>5.25</v>
      </c>
      <c r="E6">
        <v>173.06</v>
      </c>
    </row>
    <row r="7" spans="1:5" x14ac:dyDescent="0.2">
      <c r="A7" t="s">
        <v>325</v>
      </c>
      <c r="B7" t="s">
        <v>333</v>
      </c>
      <c r="C7" t="s">
        <v>338</v>
      </c>
      <c r="D7">
        <v>3.28</v>
      </c>
      <c r="E7">
        <v>71.430000000000007</v>
      </c>
    </row>
    <row r="8" spans="1:5" x14ac:dyDescent="0.2">
      <c r="A8" t="s">
        <v>326</v>
      </c>
      <c r="B8" t="s">
        <v>334</v>
      </c>
      <c r="C8" t="s">
        <v>338</v>
      </c>
      <c r="D8">
        <v>5.25</v>
      </c>
      <c r="E8">
        <v>166.67</v>
      </c>
    </row>
    <row r="9" spans="1:5" x14ac:dyDescent="0.2">
      <c r="A9" t="s">
        <v>16</v>
      </c>
      <c r="B9" t="s">
        <v>30</v>
      </c>
      <c r="C9" t="s">
        <v>35</v>
      </c>
      <c r="D9">
        <v>1.31</v>
      </c>
      <c r="E9">
        <v>5.51</v>
      </c>
    </row>
    <row r="10" spans="1:5" x14ac:dyDescent="0.2">
      <c r="A10" t="s">
        <v>17</v>
      </c>
      <c r="B10" t="s">
        <v>31</v>
      </c>
      <c r="C10" t="s">
        <v>35</v>
      </c>
      <c r="D10">
        <v>6.56</v>
      </c>
      <c r="E10">
        <v>264.55</v>
      </c>
    </row>
    <row r="11" spans="1:5" x14ac:dyDescent="0.2">
      <c r="A11" t="s">
        <v>175</v>
      </c>
      <c r="B11" t="s">
        <v>204</v>
      </c>
      <c r="C11" t="s">
        <v>214</v>
      </c>
      <c r="D11">
        <v>3.61</v>
      </c>
      <c r="E11">
        <v>176.37</v>
      </c>
    </row>
    <row r="12" spans="1:5" x14ac:dyDescent="0.2">
      <c r="A12" t="s">
        <v>301</v>
      </c>
      <c r="B12" t="s">
        <v>304</v>
      </c>
      <c r="C12" t="s">
        <v>306</v>
      </c>
      <c r="D12">
        <v>4.2699999999999996</v>
      </c>
      <c r="E12">
        <v>120.15</v>
      </c>
    </row>
    <row r="13" spans="1:5" x14ac:dyDescent="0.2">
      <c r="A13" t="s">
        <v>327</v>
      </c>
      <c r="B13" t="s">
        <v>335</v>
      </c>
      <c r="C13" t="s">
        <v>339</v>
      </c>
      <c r="D13">
        <v>4.59</v>
      </c>
      <c r="E13">
        <v>89.51</v>
      </c>
    </row>
    <row r="14" spans="1:5" x14ac:dyDescent="0.2">
      <c r="A14" t="s">
        <v>328</v>
      </c>
      <c r="B14" t="s">
        <v>336</v>
      </c>
      <c r="C14" t="s">
        <v>338</v>
      </c>
      <c r="D14">
        <v>6.56</v>
      </c>
      <c r="E14">
        <v>268.95999999999998</v>
      </c>
    </row>
    <row r="15" spans="1:5" x14ac:dyDescent="0.2">
      <c r="A15" t="s">
        <v>329</v>
      </c>
      <c r="B15" t="s">
        <v>337</v>
      </c>
      <c r="C15" t="s">
        <v>338</v>
      </c>
      <c r="D15">
        <v>1.31</v>
      </c>
      <c r="E15">
        <v>8.82</v>
      </c>
    </row>
    <row r="16" spans="1:5" x14ac:dyDescent="0.2">
      <c r="A16" t="s">
        <v>345</v>
      </c>
      <c r="D16">
        <f>SUBTOTAL(109,Table13[Height(ft)])</f>
        <v>58.070000000000007</v>
      </c>
      <c r="E16">
        <f>SUBTOTAL(109,Table13[Weight(lbs)])</f>
        <v>1697.77</v>
      </c>
    </row>
    <row r="17" spans="1:5" x14ac:dyDescent="0.2">
      <c r="A17" t="s">
        <v>368</v>
      </c>
      <c r="D17" s="2">
        <f>AVERAGE(Table13[Height(ft)])</f>
        <v>4.1478571428571431</v>
      </c>
      <c r="E17" s="2">
        <f>AVERAGE(Table13[Weight(lbs)])</f>
        <v>121.26928571428572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4"/>
  <sheetViews>
    <sheetView zoomScale="130" zoomScaleNormal="130" workbookViewId="0">
      <selection activeCell="F14" sqref="F14"/>
    </sheetView>
  </sheetViews>
  <sheetFormatPr baseColWidth="10" defaultColWidth="8.83203125" defaultRowHeight="15" x14ac:dyDescent="0.2"/>
  <cols>
    <col min="1" max="1" width="7.83203125" bestFit="1" customWidth="1"/>
    <col min="3" max="3" width="10.832031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276</v>
      </c>
      <c r="B2" t="s">
        <v>288</v>
      </c>
      <c r="C2" t="s">
        <v>297</v>
      </c>
      <c r="D2">
        <v>1.31</v>
      </c>
      <c r="E2">
        <v>44.09</v>
      </c>
    </row>
    <row r="3" spans="1:5" x14ac:dyDescent="0.2">
      <c r="A3" t="s">
        <v>277</v>
      </c>
      <c r="B3" t="s">
        <v>289</v>
      </c>
      <c r="C3" t="s">
        <v>297</v>
      </c>
      <c r="D3">
        <v>3.28</v>
      </c>
      <c r="E3">
        <v>231.49</v>
      </c>
    </row>
    <row r="4" spans="1:5" x14ac:dyDescent="0.2">
      <c r="A4" t="s">
        <v>278</v>
      </c>
      <c r="B4" t="s">
        <v>290</v>
      </c>
      <c r="C4" t="s">
        <v>297</v>
      </c>
      <c r="D4">
        <v>4.59</v>
      </c>
      <c r="E4">
        <v>661.39</v>
      </c>
    </row>
    <row r="5" spans="1:5" x14ac:dyDescent="0.2">
      <c r="A5" t="s">
        <v>279</v>
      </c>
      <c r="B5" t="s">
        <v>291</v>
      </c>
      <c r="C5" t="s">
        <v>297</v>
      </c>
      <c r="D5">
        <v>28.87</v>
      </c>
      <c r="E5">
        <v>462.97</v>
      </c>
    </row>
    <row r="6" spans="1:5" x14ac:dyDescent="0.2">
      <c r="A6" t="s">
        <v>282</v>
      </c>
      <c r="B6" t="s">
        <v>294</v>
      </c>
      <c r="C6" t="s">
        <v>298</v>
      </c>
      <c r="D6">
        <v>3.28</v>
      </c>
      <c r="E6">
        <v>253.53</v>
      </c>
    </row>
    <row r="7" spans="1:5" x14ac:dyDescent="0.2">
      <c r="A7" t="s">
        <v>283</v>
      </c>
      <c r="B7" t="s">
        <v>295</v>
      </c>
      <c r="C7" t="s">
        <v>298</v>
      </c>
      <c r="D7">
        <v>6.23</v>
      </c>
      <c r="E7">
        <v>264.55</v>
      </c>
    </row>
    <row r="8" spans="1:5" x14ac:dyDescent="0.2">
      <c r="A8" t="s">
        <v>179</v>
      </c>
      <c r="B8" t="s">
        <v>208</v>
      </c>
      <c r="C8" t="s">
        <v>216</v>
      </c>
      <c r="D8">
        <v>1.31</v>
      </c>
      <c r="E8">
        <v>16.53</v>
      </c>
    </row>
    <row r="9" spans="1:5" x14ac:dyDescent="0.2">
      <c r="A9" t="s">
        <v>180</v>
      </c>
      <c r="B9" t="s">
        <v>209</v>
      </c>
      <c r="C9" t="s">
        <v>216</v>
      </c>
      <c r="D9">
        <v>3.28</v>
      </c>
      <c r="E9">
        <v>77.16</v>
      </c>
    </row>
    <row r="10" spans="1:5" x14ac:dyDescent="0.2">
      <c r="A10" t="s">
        <v>181</v>
      </c>
      <c r="B10" t="s">
        <v>210</v>
      </c>
      <c r="C10" t="s">
        <v>216</v>
      </c>
      <c r="D10">
        <v>1.64</v>
      </c>
      <c r="E10">
        <v>25.35</v>
      </c>
    </row>
    <row r="11" spans="1:5" x14ac:dyDescent="0.2">
      <c r="A11" t="s">
        <v>182</v>
      </c>
      <c r="B11" t="s">
        <v>211</v>
      </c>
      <c r="C11" t="s">
        <v>216</v>
      </c>
      <c r="D11">
        <v>4.2699999999999996</v>
      </c>
      <c r="E11">
        <v>89.29</v>
      </c>
    </row>
    <row r="12" spans="1:5" x14ac:dyDescent="0.2">
      <c r="A12" t="s">
        <v>128</v>
      </c>
      <c r="B12" t="s">
        <v>143</v>
      </c>
      <c r="C12" t="s">
        <v>150</v>
      </c>
      <c r="D12">
        <v>5.91</v>
      </c>
      <c r="E12">
        <v>130.07</v>
      </c>
    </row>
    <row r="13" spans="1:5" x14ac:dyDescent="0.2">
      <c r="A13" t="s">
        <v>345</v>
      </c>
      <c r="D13">
        <f>SUBTOTAL(109,Table14[Height(ft)])</f>
        <v>63.97</v>
      </c>
      <c r="E13">
        <f>SUBTOTAL(109,Table14[Weight(lbs)])</f>
        <v>2256.42</v>
      </c>
    </row>
    <row r="14" spans="1:5" x14ac:dyDescent="0.2">
      <c r="A14" t="s">
        <v>368</v>
      </c>
      <c r="D14" s="2">
        <f>AVERAGE(Table14[Height(ft)])</f>
        <v>5.8154545454545454</v>
      </c>
      <c r="E14" s="2">
        <f>AVERAGE(Table14[Weight(lbs)])</f>
        <v>205.12909090909091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zoomScale="130" zoomScaleNormal="130" workbookViewId="0">
      <selection activeCell="G7" sqref="G7"/>
    </sheetView>
  </sheetViews>
  <sheetFormatPr baseColWidth="10" defaultColWidth="8.83203125" defaultRowHeight="15" x14ac:dyDescent="0.2"/>
  <cols>
    <col min="1" max="1" width="7.83203125" bestFit="1" customWidth="1"/>
    <col min="2" max="2" width="10.6640625" bestFit="1" customWidth="1"/>
    <col min="3" max="3" width="11.16406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256</v>
      </c>
      <c r="B2" t="s">
        <v>264</v>
      </c>
      <c r="C2" t="s">
        <v>271</v>
      </c>
      <c r="D2">
        <v>0.98</v>
      </c>
      <c r="E2">
        <v>13.23</v>
      </c>
    </row>
    <row r="3" spans="1:5" x14ac:dyDescent="0.2">
      <c r="A3" t="s">
        <v>257</v>
      </c>
      <c r="B3" t="s">
        <v>265</v>
      </c>
      <c r="C3" t="s">
        <v>271</v>
      </c>
      <c r="D3">
        <v>3.28</v>
      </c>
      <c r="E3">
        <v>132.28</v>
      </c>
    </row>
    <row r="4" spans="1:5" x14ac:dyDescent="0.2">
      <c r="A4" t="s">
        <v>345</v>
      </c>
      <c r="D4">
        <f>SUBTOTAL(109,Table15[Height(ft)])</f>
        <v>4.26</v>
      </c>
      <c r="E4">
        <f>SUBTOTAL(109,Table15[Weight(lbs)])</f>
        <v>145.51</v>
      </c>
    </row>
    <row r="5" spans="1:5" x14ac:dyDescent="0.2">
      <c r="A5" t="s">
        <v>368</v>
      </c>
      <c r="D5" s="2">
        <f>AVERAGE(Table15[Height(ft)])</f>
        <v>2.13</v>
      </c>
      <c r="E5" s="2">
        <f>AVERAGE(Table15[Weight(lbs)])</f>
        <v>72.754999999999995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="130" zoomScaleNormal="130" workbookViewId="0">
      <selection activeCell="E34" sqref="E34"/>
    </sheetView>
  </sheetViews>
  <sheetFormatPr baseColWidth="10" defaultColWidth="8.83203125" defaultRowHeight="15" x14ac:dyDescent="0.2"/>
  <cols>
    <col min="2" max="2" width="10.6640625" bestFit="1" customWidth="1"/>
    <col min="3" max="3" width="12.16406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154</v>
      </c>
      <c r="B2" t="s">
        <v>183</v>
      </c>
      <c r="C2" t="s">
        <v>212</v>
      </c>
      <c r="D2">
        <v>1.64</v>
      </c>
      <c r="E2">
        <v>19.84</v>
      </c>
    </row>
    <row r="3" spans="1:5" x14ac:dyDescent="0.2">
      <c r="A3" t="s">
        <v>155</v>
      </c>
      <c r="B3" t="s">
        <v>184</v>
      </c>
      <c r="C3" t="s">
        <v>212</v>
      </c>
      <c r="D3">
        <v>3.28</v>
      </c>
      <c r="E3">
        <v>49.6</v>
      </c>
    </row>
    <row r="4" spans="1:5" x14ac:dyDescent="0.2">
      <c r="A4" t="s">
        <v>156</v>
      </c>
      <c r="B4" t="s">
        <v>185</v>
      </c>
      <c r="C4" t="s">
        <v>212</v>
      </c>
      <c r="D4">
        <v>5.25</v>
      </c>
      <c r="E4">
        <v>188.5</v>
      </c>
    </row>
    <row r="5" spans="1:5" x14ac:dyDescent="0.2">
      <c r="A5" t="s">
        <v>157</v>
      </c>
      <c r="B5" t="s">
        <v>186</v>
      </c>
      <c r="C5" t="s">
        <v>212</v>
      </c>
      <c r="D5">
        <v>2.62</v>
      </c>
      <c r="E5">
        <v>43.21</v>
      </c>
    </row>
    <row r="6" spans="1:5" x14ac:dyDescent="0.2">
      <c r="A6" t="s">
        <v>158</v>
      </c>
      <c r="B6" t="s">
        <v>187</v>
      </c>
      <c r="C6" t="s">
        <v>212</v>
      </c>
      <c r="D6">
        <v>5.58</v>
      </c>
      <c r="E6">
        <v>168.87</v>
      </c>
    </row>
    <row r="7" spans="1:5" x14ac:dyDescent="0.2">
      <c r="A7" t="s">
        <v>159</v>
      </c>
      <c r="B7" t="s">
        <v>188</v>
      </c>
      <c r="C7" t="s">
        <v>212</v>
      </c>
      <c r="D7">
        <v>1.97</v>
      </c>
      <c r="E7">
        <v>27.34</v>
      </c>
    </row>
    <row r="8" spans="1:5" x14ac:dyDescent="0.2">
      <c r="A8" t="s">
        <v>160</v>
      </c>
      <c r="B8" t="s">
        <v>189</v>
      </c>
      <c r="C8" t="s">
        <v>212</v>
      </c>
      <c r="D8">
        <v>3.28</v>
      </c>
      <c r="E8">
        <v>44.09</v>
      </c>
    </row>
    <row r="9" spans="1:5" x14ac:dyDescent="0.2">
      <c r="A9" t="s">
        <v>161</v>
      </c>
      <c r="B9" t="s">
        <v>190</v>
      </c>
      <c r="C9" t="s">
        <v>213</v>
      </c>
      <c r="D9">
        <v>4.2699999999999996</v>
      </c>
      <c r="E9">
        <v>119.05</v>
      </c>
    </row>
    <row r="10" spans="1:5" x14ac:dyDescent="0.2">
      <c r="A10" t="s">
        <v>52</v>
      </c>
      <c r="B10" t="s">
        <v>76</v>
      </c>
      <c r="C10" t="s">
        <v>89</v>
      </c>
      <c r="D10">
        <v>2.95</v>
      </c>
      <c r="E10">
        <v>100.31</v>
      </c>
    </row>
    <row r="11" spans="1:5" x14ac:dyDescent="0.2">
      <c r="A11" t="s">
        <v>53</v>
      </c>
      <c r="B11" t="s">
        <v>77</v>
      </c>
      <c r="C11" t="s">
        <v>89</v>
      </c>
      <c r="D11">
        <v>5.25</v>
      </c>
      <c r="E11">
        <v>121.25</v>
      </c>
    </row>
    <row r="12" spans="1:5" x14ac:dyDescent="0.2">
      <c r="A12" t="s">
        <v>162</v>
      </c>
      <c r="B12" t="s">
        <v>191</v>
      </c>
      <c r="C12" t="s">
        <v>214</v>
      </c>
      <c r="D12">
        <v>3.94</v>
      </c>
      <c r="E12">
        <v>79.37</v>
      </c>
    </row>
    <row r="13" spans="1:5" x14ac:dyDescent="0.2">
      <c r="A13" t="s">
        <v>163</v>
      </c>
      <c r="B13" t="s">
        <v>192</v>
      </c>
      <c r="C13" t="s">
        <v>214</v>
      </c>
      <c r="D13">
        <v>5.25</v>
      </c>
      <c r="E13">
        <v>173.06</v>
      </c>
    </row>
    <row r="14" spans="1:5" x14ac:dyDescent="0.2">
      <c r="A14" t="s">
        <v>164</v>
      </c>
      <c r="B14" t="s">
        <v>193</v>
      </c>
      <c r="C14" t="s">
        <v>212</v>
      </c>
      <c r="D14">
        <v>3.61</v>
      </c>
      <c r="E14">
        <v>198.42</v>
      </c>
    </row>
    <row r="15" spans="1:5" x14ac:dyDescent="0.2">
      <c r="A15" t="s">
        <v>165</v>
      </c>
      <c r="B15" t="s">
        <v>194</v>
      </c>
      <c r="C15" t="s">
        <v>215</v>
      </c>
      <c r="D15">
        <v>5.58</v>
      </c>
      <c r="E15">
        <v>264.55</v>
      </c>
    </row>
    <row r="16" spans="1:5" x14ac:dyDescent="0.2">
      <c r="A16" t="s">
        <v>166</v>
      </c>
      <c r="B16" t="s">
        <v>195</v>
      </c>
      <c r="C16" t="s">
        <v>212</v>
      </c>
      <c r="D16">
        <v>0.98</v>
      </c>
      <c r="E16">
        <v>8.82</v>
      </c>
    </row>
    <row r="17" spans="1:5" x14ac:dyDescent="0.2">
      <c r="A17" t="s">
        <v>167</v>
      </c>
      <c r="B17" t="s">
        <v>196</v>
      </c>
      <c r="C17" t="s">
        <v>215</v>
      </c>
      <c r="D17">
        <v>4.92</v>
      </c>
      <c r="E17">
        <v>292.11</v>
      </c>
    </row>
    <row r="18" spans="1:5" x14ac:dyDescent="0.2">
      <c r="A18" t="s">
        <v>168</v>
      </c>
      <c r="B18" t="s">
        <v>197</v>
      </c>
      <c r="C18" t="s">
        <v>212</v>
      </c>
      <c r="D18">
        <v>1.31</v>
      </c>
      <c r="E18">
        <v>14.33</v>
      </c>
    </row>
    <row r="19" spans="1:5" x14ac:dyDescent="0.2">
      <c r="A19" t="s">
        <v>169</v>
      </c>
      <c r="B19" t="s">
        <v>198</v>
      </c>
      <c r="C19" t="s">
        <v>212</v>
      </c>
      <c r="D19">
        <v>4.2699999999999996</v>
      </c>
      <c r="E19">
        <v>132.28</v>
      </c>
    </row>
    <row r="20" spans="1:5" x14ac:dyDescent="0.2">
      <c r="A20" t="s">
        <v>170</v>
      </c>
      <c r="B20" t="s">
        <v>199</v>
      </c>
      <c r="C20" t="s">
        <v>212</v>
      </c>
      <c r="D20">
        <v>1.31</v>
      </c>
      <c r="E20">
        <v>17.64</v>
      </c>
    </row>
    <row r="21" spans="1:5" x14ac:dyDescent="0.2">
      <c r="A21" t="s">
        <v>171</v>
      </c>
      <c r="B21" t="s">
        <v>200</v>
      </c>
      <c r="C21" t="s">
        <v>212</v>
      </c>
      <c r="D21">
        <v>3.94</v>
      </c>
      <c r="E21">
        <v>55.12</v>
      </c>
    </row>
    <row r="22" spans="1:5" x14ac:dyDescent="0.2">
      <c r="A22" t="s">
        <v>172</v>
      </c>
      <c r="B22" t="s">
        <v>201</v>
      </c>
      <c r="C22" t="s">
        <v>212</v>
      </c>
      <c r="D22">
        <v>1.97</v>
      </c>
      <c r="E22">
        <v>33.07</v>
      </c>
    </row>
    <row r="23" spans="1:5" x14ac:dyDescent="0.2">
      <c r="A23" t="s">
        <v>173</v>
      </c>
      <c r="B23" t="s">
        <v>202</v>
      </c>
      <c r="C23" t="s">
        <v>212</v>
      </c>
      <c r="D23">
        <v>4.2699999999999996</v>
      </c>
      <c r="E23">
        <v>85.98</v>
      </c>
    </row>
    <row r="24" spans="1:5" x14ac:dyDescent="0.2">
      <c r="A24" t="s">
        <v>174</v>
      </c>
      <c r="B24" t="s">
        <v>203</v>
      </c>
      <c r="C24" t="s">
        <v>212</v>
      </c>
      <c r="D24">
        <v>2.62</v>
      </c>
      <c r="E24">
        <v>76.06</v>
      </c>
    </row>
    <row r="25" spans="1:5" x14ac:dyDescent="0.2">
      <c r="A25" t="s">
        <v>175</v>
      </c>
      <c r="B25" t="s">
        <v>204</v>
      </c>
      <c r="C25" t="s">
        <v>214</v>
      </c>
      <c r="D25">
        <v>3.61</v>
      </c>
      <c r="E25">
        <v>176.37</v>
      </c>
    </row>
    <row r="26" spans="1:5" x14ac:dyDescent="0.2">
      <c r="A26" t="s">
        <v>176</v>
      </c>
      <c r="B26" t="s">
        <v>205</v>
      </c>
      <c r="C26" t="s">
        <v>212</v>
      </c>
      <c r="D26">
        <v>2.95</v>
      </c>
      <c r="E26">
        <v>22.05</v>
      </c>
    </row>
    <row r="27" spans="1:5" x14ac:dyDescent="0.2">
      <c r="A27" t="s">
        <v>127</v>
      </c>
      <c r="B27" t="s">
        <v>142</v>
      </c>
      <c r="C27" t="s">
        <v>149</v>
      </c>
      <c r="D27">
        <v>21.33</v>
      </c>
      <c r="E27">
        <v>518.09</v>
      </c>
    </row>
    <row r="28" spans="1:5" x14ac:dyDescent="0.2">
      <c r="A28" t="s">
        <v>177</v>
      </c>
      <c r="B28" t="s">
        <v>206</v>
      </c>
      <c r="C28" t="s">
        <v>215</v>
      </c>
      <c r="D28">
        <v>8.1999999999999993</v>
      </c>
      <c r="E28">
        <v>485.02</v>
      </c>
    </row>
    <row r="29" spans="1:5" x14ac:dyDescent="0.2">
      <c r="A29" t="s">
        <v>178</v>
      </c>
      <c r="B29" t="s">
        <v>207</v>
      </c>
      <c r="C29" t="s">
        <v>212</v>
      </c>
      <c r="D29">
        <v>3.28</v>
      </c>
      <c r="E29">
        <v>63.93</v>
      </c>
    </row>
    <row r="30" spans="1:5" x14ac:dyDescent="0.2">
      <c r="A30" t="s">
        <v>179</v>
      </c>
      <c r="B30" t="s">
        <v>208</v>
      </c>
      <c r="C30" t="s">
        <v>216</v>
      </c>
      <c r="D30">
        <v>1.31</v>
      </c>
      <c r="E30">
        <v>16.53</v>
      </c>
    </row>
    <row r="31" spans="1:5" x14ac:dyDescent="0.2">
      <c r="A31" t="s">
        <v>180</v>
      </c>
      <c r="B31" t="s">
        <v>209</v>
      </c>
      <c r="C31" t="s">
        <v>216</v>
      </c>
      <c r="D31">
        <v>3.28</v>
      </c>
      <c r="E31">
        <v>77.16</v>
      </c>
    </row>
    <row r="32" spans="1:5" x14ac:dyDescent="0.2">
      <c r="A32" t="s">
        <v>181</v>
      </c>
      <c r="B32" t="s">
        <v>210</v>
      </c>
      <c r="C32" t="s">
        <v>216</v>
      </c>
      <c r="D32">
        <v>1.64</v>
      </c>
      <c r="E32">
        <v>25.35</v>
      </c>
    </row>
    <row r="33" spans="1:5" x14ac:dyDescent="0.2">
      <c r="A33" t="s">
        <v>182</v>
      </c>
      <c r="B33" t="s">
        <v>211</v>
      </c>
      <c r="C33" t="s">
        <v>216</v>
      </c>
      <c r="D33">
        <v>4.2699999999999996</v>
      </c>
      <c r="E33">
        <v>89.29</v>
      </c>
    </row>
    <row r="34" spans="1:5" x14ac:dyDescent="0.2">
      <c r="A34" t="s">
        <v>345</v>
      </c>
      <c r="D34">
        <f>SUBTOTAL(109,Table5[Height(ft)])</f>
        <v>129.93</v>
      </c>
      <c r="E34">
        <f>SUBTOTAL(109,Table5[Weight(lbs)])</f>
        <v>3786.66</v>
      </c>
    </row>
    <row r="35" spans="1:5" x14ac:dyDescent="0.2">
      <c r="A35" t="s">
        <v>368</v>
      </c>
      <c r="D35" s="2">
        <f>AVERAGE(Table5[Height(ft)])</f>
        <v>4.0603125000000002</v>
      </c>
      <c r="E35" s="2">
        <f>AVERAGE(Table5[Weight(lbs)])</f>
        <v>118.333125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ECBF-4426-F44F-82FC-FBAD4AB56FFD}">
  <dimension ref="A1:E153"/>
  <sheetViews>
    <sheetView zoomScale="130" zoomScaleNormal="130" workbookViewId="0">
      <selection activeCell="I17" sqref="I17"/>
    </sheetView>
  </sheetViews>
  <sheetFormatPr baseColWidth="10" defaultRowHeight="15" x14ac:dyDescent="0.2"/>
  <cols>
    <col min="2" max="2" width="10.6640625" bestFit="1" customWidth="1"/>
    <col min="3" max="3" width="12.66406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279</v>
      </c>
      <c r="B2" t="s">
        <v>291</v>
      </c>
      <c r="C2" t="s">
        <v>297</v>
      </c>
      <c r="D2">
        <v>28.87</v>
      </c>
      <c r="E2">
        <v>462.97</v>
      </c>
    </row>
    <row r="3" spans="1:5" x14ac:dyDescent="0.2">
      <c r="A3" t="s">
        <v>127</v>
      </c>
      <c r="B3" t="s">
        <v>142</v>
      </c>
      <c r="C3" t="s">
        <v>149</v>
      </c>
      <c r="D3">
        <v>21.33</v>
      </c>
      <c r="E3">
        <v>518.09</v>
      </c>
    </row>
    <row r="4" spans="1:5" x14ac:dyDescent="0.2">
      <c r="A4" t="s">
        <v>341</v>
      </c>
      <c r="B4" t="s">
        <v>343</v>
      </c>
      <c r="C4" t="s">
        <v>344</v>
      </c>
      <c r="D4">
        <v>13.12</v>
      </c>
      <c r="E4">
        <v>36.380000000000003</v>
      </c>
    </row>
    <row r="5" spans="1:5" x14ac:dyDescent="0.2">
      <c r="A5" t="s">
        <v>41</v>
      </c>
      <c r="B5" t="s">
        <v>65</v>
      </c>
      <c r="C5" t="s">
        <v>86</v>
      </c>
      <c r="D5">
        <v>11.48</v>
      </c>
      <c r="E5">
        <v>143.30000000000001</v>
      </c>
    </row>
    <row r="6" spans="1:5" x14ac:dyDescent="0.2">
      <c r="A6" t="s">
        <v>177</v>
      </c>
      <c r="B6" t="s">
        <v>206</v>
      </c>
      <c r="C6" t="s">
        <v>215</v>
      </c>
      <c r="D6">
        <v>8.1999999999999993</v>
      </c>
      <c r="E6">
        <v>485.02</v>
      </c>
    </row>
    <row r="7" spans="1:5" x14ac:dyDescent="0.2">
      <c r="A7" t="s">
        <v>131</v>
      </c>
      <c r="B7" t="s">
        <v>146</v>
      </c>
      <c r="C7" t="s">
        <v>153</v>
      </c>
      <c r="D7">
        <v>7.22</v>
      </c>
      <c r="E7">
        <v>462.97</v>
      </c>
    </row>
    <row r="8" spans="1:5" x14ac:dyDescent="0.2">
      <c r="A8" t="s">
        <v>232</v>
      </c>
      <c r="B8" t="s">
        <v>246</v>
      </c>
      <c r="C8" t="s">
        <v>252</v>
      </c>
      <c r="D8">
        <v>7.22</v>
      </c>
      <c r="E8">
        <v>176.37</v>
      </c>
    </row>
    <row r="9" spans="1:5" x14ac:dyDescent="0.2">
      <c r="A9" t="s">
        <v>237</v>
      </c>
      <c r="B9" t="s">
        <v>251</v>
      </c>
      <c r="C9" t="s">
        <v>252</v>
      </c>
      <c r="D9">
        <v>6.89</v>
      </c>
      <c r="E9">
        <v>1014.13</v>
      </c>
    </row>
    <row r="10" spans="1:5" x14ac:dyDescent="0.2">
      <c r="A10" t="s">
        <v>328</v>
      </c>
      <c r="B10" t="s">
        <v>336</v>
      </c>
      <c r="C10" t="s">
        <v>338</v>
      </c>
      <c r="D10">
        <v>6.56</v>
      </c>
      <c r="E10">
        <v>268.95999999999998</v>
      </c>
    </row>
    <row r="11" spans="1:5" x14ac:dyDescent="0.2">
      <c r="A11" t="s">
        <v>17</v>
      </c>
      <c r="B11" t="s">
        <v>31</v>
      </c>
      <c r="C11" t="s">
        <v>35</v>
      </c>
      <c r="D11">
        <v>6.56</v>
      </c>
      <c r="E11">
        <v>264.55</v>
      </c>
    </row>
    <row r="12" spans="1:5" x14ac:dyDescent="0.2">
      <c r="A12" t="s">
        <v>7</v>
      </c>
      <c r="B12" t="s">
        <v>21</v>
      </c>
      <c r="C12" t="s">
        <v>33</v>
      </c>
      <c r="D12">
        <v>6.56</v>
      </c>
      <c r="E12">
        <v>220.46</v>
      </c>
    </row>
    <row r="13" spans="1:5" x14ac:dyDescent="0.2">
      <c r="A13" t="s">
        <v>102</v>
      </c>
      <c r="B13" t="s">
        <v>114</v>
      </c>
      <c r="C13" t="s">
        <v>116</v>
      </c>
      <c r="D13">
        <v>6.56</v>
      </c>
      <c r="E13">
        <v>132.28</v>
      </c>
    </row>
    <row r="14" spans="1:5" x14ac:dyDescent="0.2">
      <c r="A14" t="s">
        <v>40</v>
      </c>
      <c r="B14" t="s">
        <v>64</v>
      </c>
      <c r="C14" t="s">
        <v>86</v>
      </c>
      <c r="D14">
        <v>6.56</v>
      </c>
      <c r="E14">
        <v>15.21</v>
      </c>
    </row>
    <row r="15" spans="1:5" x14ac:dyDescent="0.2">
      <c r="A15" t="s">
        <v>97</v>
      </c>
      <c r="B15" t="s">
        <v>109</v>
      </c>
      <c r="C15" t="s">
        <v>115</v>
      </c>
      <c r="D15">
        <v>6.23</v>
      </c>
      <c r="E15">
        <v>341.72</v>
      </c>
    </row>
    <row r="16" spans="1:5" x14ac:dyDescent="0.2">
      <c r="A16" t="s">
        <v>283</v>
      </c>
      <c r="B16" t="s">
        <v>295</v>
      </c>
      <c r="C16" t="s">
        <v>298</v>
      </c>
      <c r="D16">
        <v>6.23</v>
      </c>
      <c r="E16">
        <v>264.55</v>
      </c>
    </row>
    <row r="17" spans="1:5" x14ac:dyDescent="0.2">
      <c r="A17" t="s">
        <v>125</v>
      </c>
      <c r="B17" t="s">
        <v>140</v>
      </c>
      <c r="C17" t="s">
        <v>148</v>
      </c>
      <c r="D17">
        <v>5.91</v>
      </c>
      <c r="E17">
        <v>187.83</v>
      </c>
    </row>
    <row r="18" spans="1:5" x14ac:dyDescent="0.2">
      <c r="A18" t="s">
        <v>128</v>
      </c>
      <c r="B18" t="s">
        <v>143</v>
      </c>
      <c r="C18" t="s">
        <v>150</v>
      </c>
      <c r="D18">
        <v>5.91</v>
      </c>
      <c r="E18">
        <v>130.07</v>
      </c>
    </row>
    <row r="19" spans="1:5" x14ac:dyDescent="0.2">
      <c r="A19" t="s">
        <v>340</v>
      </c>
      <c r="B19" t="s">
        <v>342</v>
      </c>
      <c r="C19" t="s">
        <v>344</v>
      </c>
      <c r="D19">
        <v>5.91</v>
      </c>
      <c r="E19">
        <v>7.28</v>
      </c>
    </row>
    <row r="20" spans="1:5" x14ac:dyDescent="0.2">
      <c r="A20" t="s">
        <v>165</v>
      </c>
      <c r="B20" t="s">
        <v>194</v>
      </c>
      <c r="C20" t="s">
        <v>215</v>
      </c>
      <c r="D20">
        <v>5.58</v>
      </c>
      <c r="E20">
        <v>264.55</v>
      </c>
    </row>
    <row r="21" spans="1:5" x14ac:dyDescent="0.2">
      <c r="A21" t="s">
        <v>99</v>
      </c>
      <c r="B21" t="s">
        <v>111</v>
      </c>
      <c r="C21" t="s">
        <v>115</v>
      </c>
      <c r="D21">
        <v>5.58</v>
      </c>
      <c r="E21">
        <v>209.44</v>
      </c>
    </row>
    <row r="22" spans="1:5" x14ac:dyDescent="0.2">
      <c r="A22" t="s">
        <v>93</v>
      </c>
      <c r="B22" t="s">
        <v>105</v>
      </c>
      <c r="C22" t="s">
        <v>116</v>
      </c>
      <c r="D22">
        <v>5.58</v>
      </c>
      <c r="E22">
        <v>199.52</v>
      </c>
    </row>
    <row r="23" spans="1:5" x14ac:dyDescent="0.2">
      <c r="A23" t="s">
        <v>158</v>
      </c>
      <c r="B23" t="s">
        <v>187</v>
      </c>
      <c r="C23" t="s">
        <v>212</v>
      </c>
      <c r="D23">
        <v>5.58</v>
      </c>
      <c r="E23">
        <v>168.87</v>
      </c>
    </row>
    <row r="24" spans="1:5" x14ac:dyDescent="0.2">
      <c r="A24" t="s">
        <v>129</v>
      </c>
      <c r="B24" t="s">
        <v>144</v>
      </c>
      <c r="C24" t="s">
        <v>151</v>
      </c>
      <c r="D24">
        <v>5.58</v>
      </c>
      <c r="E24">
        <v>122.14</v>
      </c>
    </row>
    <row r="25" spans="1:5" x14ac:dyDescent="0.2">
      <c r="A25" t="s">
        <v>15</v>
      </c>
      <c r="B25" t="s">
        <v>29</v>
      </c>
      <c r="C25" t="s">
        <v>33</v>
      </c>
      <c r="D25">
        <v>5.58</v>
      </c>
      <c r="E25">
        <v>34.17</v>
      </c>
    </row>
    <row r="26" spans="1:5" x14ac:dyDescent="0.2">
      <c r="A26" t="s">
        <v>311</v>
      </c>
      <c r="B26" t="s">
        <v>318</v>
      </c>
      <c r="C26" t="s">
        <v>321</v>
      </c>
      <c r="D26">
        <v>5.25</v>
      </c>
      <c r="E26">
        <v>286.60000000000002</v>
      </c>
    </row>
    <row r="27" spans="1:5" x14ac:dyDescent="0.2">
      <c r="A27" t="s">
        <v>156</v>
      </c>
      <c r="B27" t="s">
        <v>185</v>
      </c>
      <c r="C27" t="s">
        <v>212</v>
      </c>
      <c r="D27">
        <v>5.25</v>
      </c>
      <c r="E27">
        <v>188.5</v>
      </c>
    </row>
    <row r="28" spans="1:5" x14ac:dyDescent="0.2">
      <c r="A28" t="s">
        <v>163</v>
      </c>
      <c r="B28" t="s">
        <v>192</v>
      </c>
      <c r="C28" t="s">
        <v>214</v>
      </c>
      <c r="D28">
        <v>5.25</v>
      </c>
      <c r="E28">
        <v>173.06</v>
      </c>
    </row>
    <row r="29" spans="1:5" x14ac:dyDescent="0.2">
      <c r="A29" t="s">
        <v>326</v>
      </c>
      <c r="B29" t="s">
        <v>334</v>
      </c>
      <c r="C29" t="s">
        <v>338</v>
      </c>
      <c r="D29">
        <v>5.25</v>
      </c>
      <c r="E29">
        <v>166.67</v>
      </c>
    </row>
    <row r="30" spans="1:5" x14ac:dyDescent="0.2">
      <c r="A30" t="s">
        <v>49</v>
      </c>
      <c r="B30" t="s">
        <v>73</v>
      </c>
      <c r="C30" t="s">
        <v>88</v>
      </c>
      <c r="D30">
        <v>5.25</v>
      </c>
      <c r="E30">
        <v>121.25</v>
      </c>
    </row>
    <row r="31" spans="1:5" x14ac:dyDescent="0.2">
      <c r="A31" t="s">
        <v>53</v>
      </c>
      <c r="B31" t="s">
        <v>77</v>
      </c>
      <c r="C31" t="s">
        <v>89</v>
      </c>
      <c r="D31">
        <v>5.25</v>
      </c>
      <c r="E31">
        <v>121.25</v>
      </c>
    </row>
    <row r="32" spans="1:5" x14ac:dyDescent="0.2">
      <c r="A32" t="s">
        <v>130</v>
      </c>
      <c r="B32" t="s">
        <v>145</v>
      </c>
      <c r="C32" t="s">
        <v>152</v>
      </c>
      <c r="D32">
        <v>5.25</v>
      </c>
      <c r="E32">
        <v>115.96</v>
      </c>
    </row>
    <row r="33" spans="1:5" x14ac:dyDescent="0.2">
      <c r="A33" t="s">
        <v>57</v>
      </c>
      <c r="B33" t="s">
        <v>81</v>
      </c>
      <c r="C33" t="s">
        <v>90</v>
      </c>
      <c r="D33">
        <v>5.25</v>
      </c>
      <c r="E33">
        <v>0.22</v>
      </c>
    </row>
    <row r="34" spans="1:5" x14ac:dyDescent="0.2">
      <c r="A34" t="s">
        <v>167</v>
      </c>
      <c r="B34" t="s">
        <v>196</v>
      </c>
      <c r="C34" t="s">
        <v>215</v>
      </c>
      <c r="D34">
        <v>4.92</v>
      </c>
      <c r="E34">
        <v>292.11</v>
      </c>
    </row>
    <row r="35" spans="1:5" x14ac:dyDescent="0.2">
      <c r="A35" t="s">
        <v>310</v>
      </c>
      <c r="B35" t="s">
        <v>317</v>
      </c>
      <c r="C35" t="s">
        <v>321</v>
      </c>
      <c r="D35">
        <v>4.92</v>
      </c>
      <c r="E35">
        <v>155.43</v>
      </c>
    </row>
    <row r="36" spans="1:5" x14ac:dyDescent="0.2">
      <c r="A36" t="s">
        <v>126</v>
      </c>
      <c r="B36" t="s">
        <v>141</v>
      </c>
      <c r="C36" t="s">
        <v>147</v>
      </c>
      <c r="D36">
        <v>4.92</v>
      </c>
      <c r="E36">
        <v>123.46</v>
      </c>
    </row>
    <row r="37" spans="1:5" x14ac:dyDescent="0.2">
      <c r="A37" t="s">
        <v>219</v>
      </c>
      <c r="B37" t="s">
        <v>222</v>
      </c>
      <c r="C37" t="s">
        <v>223</v>
      </c>
      <c r="D37">
        <v>4.92</v>
      </c>
      <c r="E37">
        <v>121.25</v>
      </c>
    </row>
    <row r="38" spans="1:5" x14ac:dyDescent="0.2">
      <c r="A38" t="s">
        <v>312</v>
      </c>
      <c r="B38" t="s">
        <v>319</v>
      </c>
      <c r="C38" t="s">
        <v>321</v>
      </c>
      <c r="D38">
        <v>4.92</v>
      </c>
      <c r="E38">
        <v>109.79</v>
      </c>
    </row>
    <row r="39" spans="1:5" x14ac:dyDescent="0.2">
      <c r="A39" t="s">
        <v>324</v>
      </c>
      <c r="B39" t="s">
        <v>332</v>
      </c>
      <c r="C39" t="s">
        <v>338</v>
      </c>
      <c r="D39">
        <v>4.92</v>
      </c>
      <c r="E39">
        <v>105.82</v>
      </c>
    </row>
    <row r="40" spans="1:5" x14ac:dyDescent="0.2">
      <c r="A40" t="s">
        <v>58</v>
      </c>
      <c r="B40" t="s">
        <v>82</v>
      </c>
      <c r="C40" t="s">
        <v>90</v>
      </c>
      <c r="D40">
        <v>4.92</v>
      </c>
      <c r="E40">
        <v>89.29</v>
      </c>
    </row>
    <row r="41" spans="1:5" x14ac:dyDescent="0.2">
      <c r="A41" t="s">
        <v>120</v>
      </c>
      <c r="B41" t="s">
        <v>135</v>
      </c>
      <c r="C41" t="s">
        <v>148</v>
      </c>
      <c r="D41">
        <v>4.92</v>
      </c>
      <c r="E41">
        <v>87.08</v>
      </c>
    </row>
    <row r="42" spans="1:5" x14ac:dyDescent="0.2">
      <c r="A42" t="s">
        <v>51</v>
      </c>
      <c r="B42" t="s">
        <v>75</v>
      </c>
      <c r="C42" t="s">
        <v>85</v>
      </c>
      <c r="D42">
        <v>4.92</v>
      </c>
      <c r="E42">
        <v>27.56</v>
      </c>
    </row>
    <row r="43" spans="1:5" x14ac:dyDescent="0.2">
      <c r="A43" t="s">
        <v>278</v>
      </c>
      <c r="B43" t="s">
        <v>290</v>
      </c>
      <c r="C43" t="s">
        <v>297</v>
      </c>
      <c r="D43">
        <v>4.59</v>
      </c>
      <c r="E43">
        <v>661.39</v>
      </c>
    </row>
    <row r="44" spans="1:5" x14ac:dyDescent="0.2">
      <c r="A44" t="s">
        <v>233</v>
      </c>
      <c r="B44" t="s">
        <v>247</v>
      </c>
      <c r="C44" t="s">
        <v>252</v>
      </c>
      <c r="D44">
        <v>4.59</v>
      </c>
      <c r="E44">
        <v>194.89</v>
      </c>
    </row>
    <row r="45" spans="1:5" x14ac:dyDescent="0.2">
      <c r="A45" t="s">
        <v>47</v>
      </c>
      <c r="B45" t="s">
        <v>71</v>
      </c>
      <c r="C45" t="s">
        <v>87</v>
      </c>
      <c r="D45">
        <v>4.59</v>
      </c>
      <c r="E45">
        <v>136.69</v>
      </c>
    </row>
    <row r="46" spans="1:5" x14ac:dyDescent="0.2">
      <c r="A46" t="s">
        <v>313</v>
      </c>
      <c r="B46" t="s">
        <v>320</v>
      </c>
      <c r="C46" t="s">
        <v>321</v>
      </c>
      <c r="D46">
        <v>4.59</v>
      </c>
      <c r="E46">
        <v>110.67</v>
      </c>
    </row>
    <row r="47" spans="1:5" x14ac:dyDescent="0.2">
      <c r="A47" t="s">
        <v>327</v>
      </c>
      <c r="B47" t="s">
        <v>335</v>
      </c>
      <c r="C47" t="s">
        <v>339</v>
      </c>
      <c r="D47">
        <v>4.59</v>
      </c>
      <c r="E47">
        <v>89.51</v>
      </c>
    </row>
    <row r="48" spans="1:5" x14ac:dyDescent="0.2">
      <c r="A48" t="s">
        <v>124</v>
      </c>
      <c r="B48" t="s">
        <v>139</v>
      </c>
      <c r="C48" t="s">
        <v>148</v>
      </c>
      <c r="D48">
        <v>4.59</v>
      </c>
      <c r="E48">
        <v>86.42</v>
      </c>
    </row>
    <row r="49" spans="1:5" x14ac:dyDescent="0.2">
      <c r="A49" t="s">
        <v>44</v>
      </c>
      <c r="B49" t="s">
        <v>68</v>
      </c>
      <c r="C49" t="s">
        <v>87</v>
      </c>
      <c r="D49">
        <v>4.2699999999999996</v>
      </c>
      <c r="E49">
        <v>132.28</v>
      </c>
    </row>
    <row r="50" spans="1:5" x14ac:dyDescent="0.2">
      <c r="A50" t="s">
        <v>169</v>
      </c>
      <c r="B50" t="s">
        <v>198</v>
      </c>
      <c r="C50" t="s">
        <v>212</v>
      </c>
      <c r="D50">
        <v>4.2699999999999996</v>
      </c>
      <c r="E50">
        <v>132.28</v>
      </c>
    </row>
    <row r="51" spans="1:5" x14ac:dyDescent="0.2">
      <c r="A51" t="s">
        <v>323</v>
      </c>
      <c r="B51" t="s">
        <v>331</v>
      </c>
      <c r="C51" t="s">
        <v>338</v>
      </c>
      <c r="D51">
        <v>4.2699999999999996</v>
      </c>
      <c r="E51">
        <v>124.56</v>
      </c>
    </row>
    <row r="52" spans="1:5" x14ac:dyDescent="0.2">
      <c r="A52" t="s">
        <v>301</v>
      </c>
      <c r="B52" t="s">
        <v>304</v>
      </c>
      <c r="C52" t="s">
        <v>306</v>
      </c>
      <c r="D52">
        <v>4.2699999999999996</v>
      </c>
      <c r="E52">
        <v>120.15</v>
      </c>
    </row>
    <row r="53" spans="1:5" x14ac:dyDescent="0.2">
      <c r="A53" t="s">
        <v>161</v>
      </c>
      <c r="B53" t="s">
        <v>190</v>
      </c>
      <c r="C53" t="s">
        <v>213</v>
      </c>
      <c r="D53">
        <v>4.2699999999999996</v>
      </c>
      <c r="E53">
        <v>119.05</v>
      </c>
    </row>
    <row r="54" spans="1:5" x14ac:dyDescent="0.2">
      <c r="A54" t="s">
        <v>100</v>
      </c>
      <c r="B54" t="s">
        <v>112</v>
      </c>
      <c r="C54" t="s">
        <v>115</v>
      </c>
      <c r="D54">
        <v>4.2699999999999996</v>
      </c>
      <c r="E54">
        <v>98.11</v>
      </c>
    </row>
    <row r="55" spans="1:5" x14ac:dyDescent="0.2">
      <c r="A55" t="s">
        <v>182</v>
      </c>
      <c r="B55" t="s">
        <v>211</v>
      </c>
      <c r="C55" t="s">
        <v>216</v>
      </c>
      <c r="D55">
        <v>4.2699999999999996</v>
      </c>
      <c r="E55">
        <v>89.29</v>
      </c>
    </row>
    <row r="56" spans="1:5" x14ac:dyDescent="0.2">
      <c r="A56" t="s">
        <v>300</v>
      </c>
      <c r="B56" t="s">
        <v>303</v>
      </c>
      <c r="C56" t="s">
        <v>305</v>
      </c>
      <c r="D56">
        <v>4.2699999999999996</v>
      </c>
      <c r="E56">
        <v>88.18</v>
      </c>
    </row>
    <row r="57" spans="1:5" x14ac:dyDescent="0.2">
      <c r="A57" t="s">
        <v>173</v>
      </c>
      <c r="B57" t="s">
        <v>202</v>
      </c>
      <c r="C57" t="s">
        <v>212</v>
      </c>
      <c r="D57">
        <v>4.2699999999999996</v>
      </c>
      <c r="E57">
        <v>85.98</v>
      </c>
    </row>
    <row r="58" spans="1:5" x14ac:dyDescent="0.2">
      <c r="A58" t="s">
        <v>56</v>
      </c>
      <c r="B58" t="s">
        <v>80</v>
      </c>
      <c r="C58" t="s">
        <v>90</v>
      </c>
      <c r="D58">
        <v>4.2699999999999996</v>
      </c>
      <c r="E58">
        <v>0.22</v>
      </c>
    </row>
    <row r="59" spans="1:5" x14ac:dyDescent="0.2">
      <c r="A59" t="s">
        <v>259</v>
      </c>
      <c r="B59" t="s">
        <v>267</v>
      </c>
      <c r="C59" t="s">
        <v>270</v>
      </c>
      <c r="D59">
        <v>3.94</v>
      </c>
      <c r="E59">
        <v>146.83000000000001</v>
      </c>
    </row>
    <row r="60" spans="1:5" x14ac:dyDescent="0.2">
      <c r="A60" t="s">
        <v>230</v>
      </c>
      <c r="B60" t="s">
        <v>244</v>
      </c>
      <c r="C60" t="s">
        <v>252</v>
      </c>
      <c r="D60">
        <v>3.94</v>
      </c>
      <c r="E60">
        <v>144.4</v>
      </c>
    </row>
    <row r="61" spans="1:5" x14ac:dyDescent="0.2">
      <c r="A61" t="s">
        <v>122</v>
      </c>
      <c r="B61" t="s">
        <v>137</v>
      </c>
      <c r="C61" t="s">
        <v>148</v>
      </c>
      <c r="D61">
        <v>3.94</v>
      </c>
      <c r="E61">
        <v>83.78</v>
      </c>
    </row>
    <row r="62" spans="1:5" x14ac:dyDescent="0.2">
      <c r="A62" t="s">
        <v>162</v>
      </c>
      <c r="B62" t="s">
        <v>191</v>
      </c>
      <c r="C62" t="s">
        <v>214</v>
      </c>
      <c r="D62">
        <v>3.94</v>
      </c>
      <c r="E62">
        <v>79.37</v>
      </c>
    </row>
    <row r="63" spans="1:5" x14ac:dyDescent="0.2">
      <c r="A63" t="s">
        <v>55</v>
      </c>
      <c r="B63" t="s">
        <v>79</v>
      </c>
      <c r="C63" t="s">
        <v>86</v>
      </c>
      <c r="D63">
        <v>3.94</v>
      </c>
      <c r="E63">
        <v>66.14</v>
      </c>
    </row>
    <row r="64" spans="1:5" x14ac:dyDescent="0.2">
      <c r="A64" t="s">
        <v>171</v>
      </c>
      <c r="B64" t="s">
        <v>200</v>
      </c>
      <c r="C64" t="s">
        <v>212</v>
      </c>
      <c r="D64">
        <v>3.94</v>
      </c>
      <c r="E64">
        <v>55.12</v>
      </c>
    </row>
    <row r="65" spans="1:5" x14ac:dyDescent="0.2">
      <c r="A65" t="s">
        <v>10</v>
      </c>
      <c r="B65" t="s">
        <v>24</v>
      </c>
      <c r="C65" t="s">
        <v>33</v>
      </c>
      <c r="D65">
        <v>3.94</v>
      </c>
      <c r="E65">
        <v>41.01</v>
      </c>
    </row>
    <row r="66" spans="1:5" x14ac:dyDescent="0.2">
      <c r="A66" t="s">
        <v>60</v>
      </c>
      <c r="B66" t="s">
        <v>84</v>
      </c>
      <c r="C66" t="s">
        <v>86</v>
      </c>
      <c r="D66">
        <v>3.94</v>
      </c>
      <c r="E66">
        <v>20.94</v>
      </c>
    </row>
    <row r="67" spans="1:5" x14ac:dyDescent="0.2">
      <c r="A67" t="s">
        <v>164</v>
      </c>
      <c r="B67" t="s">
        <v>193</v>
      </c>
      <c r="C67" t="s">
        <v>212</v>
      </c>
      <c r="D67">
        <v>3.61</v>
      </c>
      <c r="E67">
        <v>198.42</v>
      </c>
    </row>
    <row r="68" spans="1:5" x14ac:dyDescent="0.2">
      <c r="A68" t="s">
        <v>175</v>
      </c>
      <c r="B68" t="s">
        <v>204</v>
      </c>
      <c r="C68" t="s">
        <v>214</v>
      </c>
      <c r="D68">
        <v>3.61</v>
      </c>
      <c r="E68">
        <v>176.37</v>
      </c>
    </row>
    <row r="69" spans="1:5" x14ac:dyDescent="0.2">
      <c r="A69" t="s">
        <v>231</v>
      </c>
      <c r="B69" t="s">
        <v>245</v>
      </c>
      <c r="C69" t="s">
        <v>252</v>
      </c>
      <c r="D69">
        <v>3.61</v>
      </c>
      <c r="E69">
        <v>76.28</v>
      </c>
    </row>
    <row r="70" spans="1:5" x14ac:dyDescent="0.2">
      <c r="A70" t="s">
        <v>117</v>
      </c>
      <c r="B70" t="s">
        <v>132</v>
      </c>
      <c r="C70" t="s">
        <v>147</v>
      </c>
      <c r="D70">
        <v>3.61</v>
      </c>
      <c r="E70">
        <v>70.55</v>
      </c>
    </row>
    <row r="71" spans="1:5" x14ac:dyDescent="0.2">
      <c r="A71" t="s">
        <v>119</v>
      </c>
      <c r="B71" t="s">
        <v>134</v>
      </c>
      <c r="C71" t="s">
        <v>148</v>
      </c>
      <c r="D71">
        <v>3.61</v>
      </c>
      <c r="E71">
        <v>66.14</v>
      </c>
    </row>
    <row r="72" spans="1:5" x14ac:dyDescent="0.2">
      <c r="A72" t="s">
        <v>260</v>
      </c>
      <c r="B72" t="s">
        <v>268</v>
      </c>
      <c r="C72" t="s">
        <v>270</v>
      </c>
      <c r="D72">
        <v>3.61</v>
      </c>
      <c r="E72">
        <v>66.14</v>
      </c>
    </row>
    <row r="73" spans="1:5" x14ac:dyDescent="0.2">
      <c r="A73" t="s">
        <v>95</v>
      </c>
      <c r="B73" t="s">
        <v>107</v>
      </c>
      <c r="C73" t="s">
        <v>115</v>
      </c>
      <c r="D73">
        <v>3.61</v>
      </c>
      <c r="E73">
        <v>43.87</v>
      </c>
    </row>
    <row r="74" spans="1:5" x14ac:dyDescent="0.2">
      <c r="A74" t="s">
        <v>92</v>
      </c>
      <c r="B74" t="s">
        <v>104</v>
      </c>
      <c r="C74" t="s">
        <v>115</v>
      </c>
      <c r="D74">
        <v>3.61</v>
      </c>
      <c r="E74">
        <v>41.89</v>
      </c>
    </row>
    <row r="75" spans="1:5" x14ac:dyDescent="0.2">
      <c r="A75" t="s">
        <v>282</v>
      </c>
      <c r="B75" t="s">
        <v>294</v>
      </c>
      <c r="C75" t="s">
        <v>298</v>
      </c>
      <c r="D75">
        <v>3.28</v>
      </c>
      <c r="E75">
        <v>253.53</v>
      </c>
    </row>
    <row r="76" spans="1:5" x14ac:dyDescent="0.2">
      <c r="A76" t="s">
        <v>277</v>
      </c>
      <c r="B76" t="s">
        <v>289</v>
      </c>
      <c r="C76" t="s">
        <v>297</v>
      </c>
      <c r="D76">
        <v>3.28</v>
      </c>
      <c r="E76">
        <v>231.49</v>
      </c>
    </row>
    <row r="77" spans="1:5" x14ac:dyDescent="0.2">
      <c r="A77" t="s">
        <v>257</v>
      </c>
      <c r="B77" t="s">
        <v>265</v>
      </c>
      <c r="C77" t="s">
        <v>271</v>
      </c>
      <c r="D77">
        <v>3.28</v>
      </c>
      <c r="E77">
        <v>132.28</v>
      </c>
    </row>
    <row r="78" spans="1:5" x14ac:dyDescent="0.2">
      <c r="A78" t="s">
        <v>281</v>
      </c>
      <c r="B78" t="s">
        <v>293</v>
      </c>
      <c r="C78" t="s">
        <v>296</v>
      </c>
      <c r="D78">
        <v>3.28</v>
      </c>
      <c r="E78">
        <v>99.21</v>
      </c>
    </row>
    <row r="79" spans="1:5" x14ac:dyDescent="0.2">
      <c r="A79" t="s">
        <v>18</v>
      </c>
      <c r="B79" t="s">
        <v>32</v>
      </c>
      <c r="C79" t="s">
        <v>36</v>
      </c>
      <c r="D79">
        <v>3.28</v>
      </c>
      <c r="E79">
        <v>77.16</v>
      </c>
    </row>
    <row r="80" spans="1:5" x14ac:dyDescent="0.2">
      <c r="A80" t="s">
        <v>180</v>
      </c>
      <c r="B80" t="s">
        <v>209</v>
      </c>
      <c r="C80" t="s">
        <v>216</v>
      </c>
      <c r="D80">
        <v>3.28</v>
      </c>
      <c r="E80">
        <v>77.16</v>
      </c>
    </row>
    <row r="81" spans="1:5" x14ac:dyDescent="0.2">
      <c r="A81" t="s">
        <v>325</v>
      </c>
      <c r="B81" t="s">
        <v>333</v>
      </c>
      <c r="C81" t="s">
        <v>338</v>
      </c>
      <c r="D81">
        <v>3.28</v>
      </c>
      <c r="E81">
        <v>71.430000000000007</v>
      </c>
    </row>
    <row r="82" spans="1:5" x14ac:dyDescent="0.2">
      <c r="A82" t="s">
        <v>229</v>
      </c>
      <c r="B82" t="s">
        <v>243</v>
      </c>
      <c r="C82" t="s">
        <v>252</v>
      </c>
      <c r="D82">
        <v>3.28</v>
      </c>
      <c r="E82">
        <v>70.55</v>
      </c>
    </row>
    <row r="83" spans="1:5" x14ac:dyDescent="0.2">
      <c r="A83" t="s">
        <v>308</v>
      </c>
      <c r="B83" t="s">
        <v>315</v>
      </c>
      <c r="C83" t="s">
        <v>321</v>
      </c>
      <c r="D83">
        <v>3.28</v>
      </c>
      <c r="E83">
        <v>70.55</v>
      </c>
    </row>
    <row r="84" spans="1:5" x14ac:dyDescent="0.2">
      <c r="A84" t="s">
        <v>50</v>
      </c>
      <c r="B84" t="s">
        <v>74</v>
      </c>
      <c r="C84" t="s">
        <v>85</v>
      </c>
      <c r="D84">
        <v>3.28</v>
      </c>
      <c r="E84">
        <v>66.14</v>
      </c>
    </row>
    <row r="85" spans="1:5" x14ac:dyDescent="0.2">
      <c r="A85" t="s">
        <v>98</v>
      </c>
      <c r="B85" t="s">
        <v>110</v>
      </c>
      <c r="C85" t="s">
        <v>115</v>
      </c>
      <c r="D85">
        <v>3.28</v>
      </c>
      <c r="E85">
        <v>66.14</v>
      </c>
    </row>
    <row r="86" spans="1:5" x14ac:dyDescent="0.2">
      <c r="A86" t="s">
        <v>39</v>
      </c>
      <c r="B86" t="s">
        <v>63</v>
      </c>
      <c r="C86" t="s">
        <v>85</v>
      </c>
      <c r="D86">
        <v>3.28</v>
      </c>
      <c r="E86">
        <v>65.040000000000006</v>
      </c>
    </row>
    <row r="87" spans="1:5" x14ac:dyDescent="0.2">
      <c r="A87" t="s">
        <v>273</v>
      </c>
      <c r="B87" t="s">
        <v>285</v>
      </c>
      <c r="C87" t="s">
        <v>296</v>
      </c>
      <c r="D87">
        <v>3.28</v>
      </c>
      <c r="E87">
        <v>65.040000000000006</v>
      </c>
    </row>
    <row r="88" spans="1:5" x14ac:dyDescent="0.2">
      <c r="A88" t="s">
        <v>12</v>
      </c>
      <c r="B88" t="s">
        <v>26</v>
      </c>
      <c r="C88" t="s">
        <v>34</v>
      </c>
      <c r="D88">
        <v>3.28</v>
      </c>
      <c r="E88">
        <v>65.040000000000006</v>
      </c>
    </row>
    <row r="89" spans="1:5" x14ac:dyDescent="0.2">
      <c r="A89" t="s">
        <v>178</v>
      </c>
      <c r="B89" t="s">
        <v>207</v>
      </c>
      <c r="C89" t="s">
        <v>212</v>
      </c>
      <c r="D89">
        <v>3.28</v>
      </c>
      <c r="E89">
        <v>63.93</v>
      </c>
    </row>
    <row r="90" spans="1:5" x14ac:dyDescent="0.2">
      <c r="A90" t="s">
        <v>155</v>
      </c>
      <c r="B90" t="s">
        <v>184</v>
      </c>
      <c r="C90" t="s">
        <v>212</v>
      </c>
      <c r="D90">
        <v>3.28</v>
      </c>
      <c r="E90">
        <v>49.6</v>
      </c>
    </row>
    <row r="91" spans="1:5" x14ac:dyDescent="0.2">
      <c r="A91" t="s">
        <v>160</v>
      </c>
      <c r="B91" t="s">
        <v>189</v>
      </c>
      <c r="C91" t="s">
        <v>212</v>
      </c>
      <c r="D91">
        <v>3.28</v>
      </c>
      <c r="E91">
        <v>44.09</v>
      </c>
    </row>
    <row r="92" spans="1:5" x14ac:dyDescent="0.2">
      <c r="A92" t="s">
        <v>6</v>
      </c>
      <c r="B92" t="s">
        <v>20</v>
      </c>
      <c r="C92" t="s">
        <v>33</v>
      </c>
      <c r="D92">
        <v>3.28</v>
      </c>
      <c r="E92">
        <v>28.66</v>
      </c>
    </row>
    <row r="93" spans="1:5" x14ac:dyDescent="0.2">
      <c r="A93" t="s">
        <v>227</v>
      </c>
      <c r="B93" t="s">
        <v>241</v>
      </c>
      <c r="C93" t="s">
        <v>253</v>
      </c>
      <c r="D93">
        <v>3.28</v>
      </c>
      <c r="E93">
        <v>26.46</v>
      </c>
    </row>
    <row r="94" spans="1:5" x14ac:dyDescent="0.2">
      <c r="A94" t="s">
        <v>14</v>
      </c>
      <c r="B94" t="s">
        <v>28</v>
      </c>
      <c r="C94" t="s">
        <v>33</v>
      </c>
      <c r="D94">
        <v>3.28</v>
      </c>
      <c r="E94">
        <v>14.11</v>
      </c>
    </row>
    <row r="95" spans="1:5" x14ac:dyDescent="0.2">
      <c r="A95" t="s">
        <v>52</v>
      </c>
      <c r="B95" t="s">
        <v>76</v>
      </c>
      <c r="C95" t="s">
        <v>89</v>
      </c>
      <c r="D95">
        <v>2.95</v>
      </c>
      <c r="E95">
        <v>100.31</v>
      </c>
    </row>
    <row r="96" spans="1:5" x14ac:dyDescent="0.2">
      <c r="A96" t="s">
        <v>54</v>
      </c>
      <c r="B96" t="s">
        <v>78</v>
      </c>
      <c r="C96" t="s">
        <v>86</v>
      </c>
      <c r="D96">
        <v>2.95</v>
      </c>
      <c r="E96">
        <v>66.14</v>
      </c>
    </row>
    <row r="97" spans="1:5" x14ac:dyDescent="0.2">
      <c r="A97" t="s">
        <v>101</v>
      </c>
      <c r="B97" t="s">
        <v>113</v>
      </c>
      <c r="C97" t="s">
        <v>115</v>
      </c>
      <c r="D97">
        <v>2.95</v>
      </c>
      <c r="E97">
        <v>55.12</v>
      </c>
    </row>
    <row r="98" spans="1:5" x14ac:dyDescent="0.2">
      <c r="A98" t="s">
        <v>46</v>
      </c>
      <c r="B98" t="s">
        <v>70</v>
      </c>
      <c r="C98" t="s">
        <v>86</v>
      </c>
      <c r="D98">
        <v>2.95</v>
      </c>
      <c r="E98">
        <v>42.99</v>
      </c>
    </row>
    <row r="99" spans="1:5" x14ac:dyDescent="0.2">
      <c r="A99" t="s">
        <v>322</v>
      </c>
      <c r="B99" t="s">
        <v>330</v>
      </c>
      <c r="C99" t="s">
        <v>338</v>
      </c>
      <c r="D99">
        <v>2.95</v>
      </c>
      <c r="E99">
        <v>42.99</v>
      </c>
    </row>
    <row r="100" spans="1:5" x14ac:dyDescent="0.2">
      <c r="A100" t="s">
        <v>176</v>
      </c>
      <c r="B100" t="s">
        <v>205</v>
      </c>
      <c r="C100" t="s">
        <v>212</v>
      </c>
      <c r="D100">
        <v>2.95</v>
      </c>
      <c r="E100">
        <v>22.05</v>
      </c>
    </row>
    <row r="101" spans="1:5" x14ac:dyDescent="0.2">
      <c r="A101" t="s">
        <v>236</v>
      </c>
      <c r="B101" t="s">
        <v>250</v>
      </c>
      <c r="C101" t="s">
        <v>252</v>
      </c>
      <c r="D101">
        <v>2.62</v>
      </c>
      <c r="E101">
        <v>80.47</v>
      </c>
    </row>
    <row r="102" spans="1:5" x14ac:dyDescent="0.2">
      <c r="A102" t="s">
        <v>174</v>
      </c>
      <c r="B102" t="s">
        <v>203</v>
      </c>
      <c r="C102" t="s">
        <v>212</v>
      </c>
      <c r="D102">
        <v>2.62</v>
      </c>
      <c r="E102">
        <v>76.06</v>
      </c>
    </row>
    <row r="103" spans="1:5" x14ac:dyDescent="0.2">
      <c r="A103" t="s">
        <v>255</v>
      </c>
      <c r="B103" t="s">
        <v>263</v>
      </c>
      <c r="C103" t="s">
        <v>270</v>
      </c>
      <c r="D103">
        <v>2.62</v>
      </c>
      <c r="E103">
        <v>66.14</v>
      </c>
    </row>
    <row r="104" spans="1:5" x14ac:dyDescent="0.2">
      <c r="A104" t="s">
        <v>261</v>
      </c>
      <c r="B104" t="s">
        <v>269</v>
      </c>
      <c r="C104" t="s">
        <v>270</v>
      </c>
      <c r="D104">
        <v>2.62</v>
      </c>
      <c r="E104">
        <v>54.01</v>
      </c>
    </row>
    <row r="105" spans="1:5" x14ac:dyDescent="0.2">
      <c r="A105" t="s">
        <v>43</v>
      </c>
      <c r="B105" t="s">
        <v>67</v>
      </c>
      <c r="C105" t="s">
        <v>86</v>
      </c>
      <c r="D105">
        <v>2.62</v>
      </c>
      <c r="E105">
        <v>44.09</v>
      </c>
    </row>
    <row r="106" spans="1:5" x14ac:dyDescent="0.2">
      <c r="A106" t="s">
        <v>157</v>
      </c>
      <c r="B106" t="s">
        <v>186</v>
      </c>
      <c r="C106" t="s">
        <v>212</v>
      </c>
      <c r="D106">
        <v>2.62</v>
      </c>
      <c r="E106">
        <v>43.21</v>
      </c>
    </row>
    <row r="107" spans="1:5" x14ac:dyDescent="0.2">
      <c r="A107" t="s">
        <v>309</v>
      </c>
      <c r="B107" t="s">
        <v>316</v>
      </c>
      <c r="C107" t="s">
        <v>321</v>
      </c>
      <c r="D107">
        <v>2.62</v>
      </c>
      <c r="E107">
        <v>42.99</v>
      </c>
    </row>
    <row r="108" spans="1:5" x14ac:dyDescent="0.2">
      <c r="A108" t="s">
        <v>123</v>
      </c>
      <c r="B108" t="s">
        <v>138</v>
      </c>
      <c r="C108" t="s">
        <v>148</v>
      </c>
      <c r="D108">
        <v>2.62</v>
      </c>
      <c r="E108">
        <v>33.07</v>
      </c>
    </row>
    <row r="109" spans="1:5" x14ac:dyDescent="0.2">
      <c r="A109" t="s">
        <v>9</v>
      </c>
      <c r="B109" t="s">
        <v>23</v>
      </c>
      <c r="C109" t="s">
        <v>33</v>
      </c>
      <c r="D109">
        <v>2.62</v>
      </c>
      <c r="E109">
        <v>18.96</v>
      </c>
    </row>
    <row r="110" spans="1:5" x14ac:dyDescent="0.2">
      <c r="A110" t="s">
        <v>48</v>
      </c>
      <c r="B110" t="s">
        <v>72</v>
      </c>
      <c r="C110" t="s">
        <v>88</v>
      </c>
      <c r="D110">
        <v>2.62</v>
      </c>
      <c r="E110">
        <v>16.53</v>
      </c>
    </row>
    <row r="111" spans="1:5" x14ac:dyDescent="0.2">
      <c r="A111" t="s">
        <v>275</v>
      </c>
      <c r="B111" t="s">
        <v>287</v>
      </c>
      <c r="C111" t="s">
        <v>296</v>
      </c>
      <c r="D111">
        <v>2.2999999999999998</v>
      </c>
      <c r="E111">
        <v>73.41</v>
      </c>
    </row>
    <row r="112" spans="1:5" x14ac:dyDescent="0.2">
      <c r="A112" t="s">
        <v>96</v>
      </c>
      <c r="B112" t="s">
        <v>108</v>
      </c>
      <c r="C112" t="s">
        <v>115</v>
      </c>
      <c r="D112">
        <v>2.2999999999999998</v>
      </c>
      <c r="E112">
        <v>41.89</v>
      </c>
    </row>
    <row r="113" spans="1:5" x14ac:dyDescent="0.2">
      <c r="A113" t="s">
        <v>225</v>
      </c>
      <c r="B113" t="s">
        <v>239</v>
      </c>
      <c r="C113" t="s">
        <v>252</v>
      </c>
      <c r="D113">
        <v>2.2999999999999998</v>
      </c>
      <c r="E113">
        <v>40.79</v>
      </c>
    </row>
    <row r="114" spans="1:5" x14ac:dyDescent="0.2">
      <c r="A114" t="s">
        <v>218</v>
      </c>
      <c r="B114" t="s">
        <v>221</v>
      </c>
      <c r="C114" t="s">
        <v>223</v>
      </c>
      <c r="D114">
        <v>2.2999999999999998</v>
      </c>
      <c r="E114">
        <v>21.83</v>
      </c>
    </row>
    <row r="115" spans="1:5" x14ac:dyDescent="0.2">
      <c r="A115" t="s">
        <v>5</v>
      </c>
      <c r="B115" t="s">
        <v>19</v>
      </c>
      <c r="C115" t="s">
        <v>33</v>
      </c>
      <c r="D115">
        <v>2.2999999999999998</v>
      </c>
      <c r="E115">
        <v>15.21</v>
      </c>
    </row>
    <row r="116" spans="1:5" x14ac:dyDescent="0.2">
      <c r="A116" t="s">
        <v>13</v>
      </c>
      <c r="B116" t="s">
        <v>27</v>
      </c>
      <c r="C116" t="s">
        <v>33</v>
      </c>
      <c r="D116">
        <v>2.2999999999999998</v>
      </c>
      <c r="E116">
        <v>8.82</v>
      </c>
    </row>
    <row r="117" spans="1:5" x14ac:dyDescent="0.2">
      <c r="A117" t="s">
        <v>172</v>
      </c>
      <c r="B117" t="s">
        <v>201</v>
      </c>
      <c r="C117" t="s">
        <v>212</v>
      </c>
      <c r="D117">
        <v>1.97</v>
      </c>
      <c r="E117">
        <v>33.07</v>
      </c>
    </row>
    <row r="118" spans="1:5" x14ac:dyDescent="0.2">
      <c r="A118" t="s">
        <v>159</v>
      </c>
      <c r="B118" t="s">
        <v>188</v>
      </c>
      <c r="C118" t="s">
        <v>212</v>
      </c>
      <c r="D118">
        <v>1.97</v>
      </c>
      <c r="E118">
        <v>27.34</v>
      </c>
    </row>
    <row r="119" spans="1:5" x14ac:dyDescent="0.2">
      <c r="A119" t="s">
        <v>272</v>
      </c>
      <c r="B119" t="s">
        <v>284</v>
      </c>
      <c r="C119" t="s">
        <v>296</v>
      </c>
      <c r="D119">
        <v>1.97</v>
      </c>
      <c r="E119">
        <v>26.46</v>
      </c>
    </row>
    <row r="120" spans="1:5" x14ac:dyDescent="0.2">
      <c r="A120" t="s">
        <v>38</v>
      </c>
      <c r="B120" t="s">
        <v>62</v>
      </c>
      <c r="C120" t="s">
        <v>85</v>
      </c>
      <c r="D120">
        <v>1.97</v>
      </c>
      <c r="E120">
        <v>22.05</v>
      </c>
    </row>
    <row r="121" spans="1:5" x14ac:dyDescent="0.2">
      <c r="A121" t="s">
        <v>94</v>
      </c>
      <c r="B121" t="s">
        <v>106</v>
      </c>
      <c r="C121" t="s">
        <v>115</v>
      </c>
      <c r="D121">
        <v>1.97</v>
      </c>
      <c r="E121">
        <v>21.83</v>
      </c>
    </row>
    <row r="122" spans="1:5" x14ac:dyDescent="0.2">
      <c r="A122" t="s">
        <v>91</v>
      </c>
      <c r="B122" t="s">
        <v>103</v>
      </c>
      <c r="C122" t="s">
        <v>115</v>
      </c>
      <c r="D122">
        <v>1.97</v>
      </c>
      <c r="E122">
        <v>18.739999999999998</v>
      </c>
    </row>
    <row r="123" spans="1:5" x14ac:dyDescent="0.2">
      <c r="A123" t="s">
        <v>299</v>
      </c>
      <c r="B123" t="s">
        <v>302</v>
      </c>
      <c r="C123" t="s">
        <v>305</v>
      </c>
      <c r="D123">
        <v>1.97</v>
      </c>
      <c r="E123">
        <v>16.53</v>
      </c>
    </row>
    <row r="124" spans="1:5" x14ac:dyDescent="0.2">
      <c r="A124" t="s">
        <v>59</v>
      </c>
      <c r="B124" t="s">
        <v>83</v>
      </c>
      <c r="C124" t="s">
        <v>86</v>
      </c>
      <c r="D124">
        <v>1.97</v>
      </c>
      <c r="E124">
        <v>2.2000000000000002</v>
      </c>
    </row>
    <row r="125" spans="1:5" x14ac:dyDescent="0.2">
      <c r="A125" t="s">
        <v>307</v>
      </c>
      <c r="B125" t="s">
        <v>314</v>
      </c>
      <c r="C125" t="s">
        <v>321</v>
      </c>
      <c r="D125">
        <v>1.64</v>
      </c>
      <c r="E125">
        <v>61.73</v>
      </c>
    </row>
    <row r="126" spans="1:5" x14ac:dyDescent="0.2">
      <c r="A126" t="s">
        <v>181</v>
      </c>
      <c r="B126" t="s">
        <v>210</v>
      </c>
      <c r="C126" t="s">
        <v>216</v>
      </c>
      <c r="D126">
        <v>1.64</v>
      </c>
      <c r="E126">
        <v>25.35</v>
      </c>
    </row>
    <row r="127" spans="1:5" x14ac:dyDescent="0.2">
      <c r="A127" t="s">
        <v>258</v>
      </c>
      <c r="B127" t="s">
        <v>266</v>
      </c>
      <c r="C127" t="s">
        <v>270</v>
      </c>
      <c r="D127">
        <v>1.64</v>
      </c>
      <c r="E127">
        <v>22.93</v>
      </c>
    </row>
    <row r="128" spans="1:5" x14ac:dyDescent="0.2">
      <c r="A128" t="s">
        <v>154</v>
      </c>
      <c r="B128" t="s">
        <v>183</v>
      </c>
      <c r="C128" t="s">
        <v>212</v>
      </c>
      <c r="D128">
        <v>1.64</v>
      </c>
      <c r="E128">
        <v>19.84</v>
      </c>
    </row>
    <row r="129" spans="1:5" x14ac:dyDescent="0.2">
      <c r="A129" t="s">
        <v>45</v>
      </c>
      <c r="B129" t="s">
        <v>69</v>
      </c>
      <c r="C129" t="s">
        <v>86</v>
      </c>
      <c r="D129">
        <v>1.64</v>
      </c>
      <c r="E129">
        <v>19.84</v>
      </c>
    </row>
    <row r="130" spans="1:5" x14ac:dyDescent="0.2">
      <c r="A130" t="s">
        <v>226</v>
      </c>
      <c r="B130" t="s">
        <v>240</v>
      </c>
      <c r="C130" t="s">
        <v>253</v>
      </c>
      <c r="D130">
        <v>1.64</v>
      </c>
      <c r="E130">
        <v>12.13</v>
      </c>
    </row>
    <row r="131" spans="1:5" x14ac:dyDescent="0.2">
      <c r="A131" t="s">
        <v>8</v>
      </c>
      <c r="B131" t="s">
        <v>22</v>
      </c>
      <c r="C131" t="s">
        <v>33</v>
      </c>
      <c r="D131">
        <v>1.64</v>
      </c>
      <c r="E131">
        <v>11.9</v>
      </c>
    </row>
    <row r="132" spans="1:5" x14ac:dyDescent="0.2">
      <c r="A132" t="s">
        <v>276</v>
      </c>
      <c r="B132" t="s">
        <v>288</v>
      </c>
      <c r="C132" t="s">
        <v>297</v>
      </c>
      <c r="D132">
        <v>1.31</v>
      </c>
      <c r="E132">
        <v>44.09</v>
      </c>
    </row>
    <row r="133" spans="1:5" x14ac:dyDescent="0.2">
      <c r="A133" t="s">
        <v>170</v>
      </c>
      <c r="B133" t="s">
        <v>199</v>
      </c>
      <c r="C133" t="s">
        <v>212</v>
      </c>
      <c r="D133">
        <v>1.31</v>
      </c>
      <c r="E133">
        <v>17.64</v>
      </c>
    </row>
    <row r="134" spans="1:5" x14ac:dyDescent="0.2">
      <c r="A134" t="s">
        <v>179</v>
      </c>
      <c r="B134" t="s">
        <v>208</v>
      </c>
      <c r="C134" t="s">
        <v>216</v>
      </c>
      <c r="D134">
        <v>1.31</v>
      </c>
      <c r="E134">
        <v>16.53</v>
      </c>
    </row>
    <row r="135" spans="1:5" x14ac:dyDescent="0.2">
      <c r="A135" t="s">
        <v>42</v>
      </c>
      <c r="B135" t="s">
        <v>66</v>
      </c>
      <c r="C135" t="s">
        <v>86</v>
      </c>
      <c r="D135">
        <v>1.31</v>
      </c>
      <c r="E135">
        <v>15.43</v>
      </c>
    </row>
    <row r="136" spans="1:5" x14ac:dyDescent="0.2">
      <c r="A136" t="s">
        <v>168</v>
      </c>
      <c r="B136" t="s">
        <v>197</v>
      </c>
      <c r="C136" t="s">
        <v>212</v>
      </c>
      <c r="D136">
        <v>1.31</v>
      </c>
      <c r="E136">
        <v>14.33</v>
      </c>
    </row>
    <row r="137" spans="1:5" x14ac:dyDescent="0.2">
      <c r="A137" t="s">
        <v>280</v>
      </c>
      <c r="B137" t="s">
        <v>292</v>
      </c>
      <c r="C137" t="s">
        <v>296</v>
      </c>
      <c r="D137">
        <v>1.31</v>
      </c>
      <c r="E137">
        <v>14.33</v>
      </c>
    </row>
    <row r="138" spans="1:5" x14ac:dyDescent="0.2">
      <c r="A138" t="s">
        <v>254</v>
      </c>
      <c r="B138" t="s">
        <v>262</v>
      </c>
      <c r="C138" t="s">
        <v>270</v>
      </c>
      <c r="D138">
        <v>1.31</v>
      </c>
      <c r="E138">
        <v>13.23</v>
      </c>
    </row>
    <row r="139" spans="1:5" x14ac:dyDescent="0.2">
      <c r="A139" t="s">
        <v>228</v>
      </c>
      <c r="B139" t="s">
        <v>242</v>
      </c>
      <c r="C139" t="s">
        <v>252</v>
      </c>
      <c r="D139">
        <v>1.31</v>
      </c>
      <c r="E139">
        <v>9.26</v>
      </c>
    </row>
    <row r="140" spans="1:5" x14ac:dyDescent="0.2">
      <c r="A140" t="s">
        <v>329</v>
      </c>
      <c r="B140" t="s">
        <v>337</v>
      </c>
      <c r="C140" t="s">
        <v>338</v>
      </c>
      <c r="D140">
        <v>1.31</v>
      </c>
      <c r="E140">
        <v>8.82</v>
      </c>
    </row>
    <row r="141" spans="1:5" x14ac:dyDescent="0.2">
      <c r="A141" t="s">
        <v>16</v>
      </c>
      <c r="B141" t="s">
        <v>30</v>
      </c>
      <c r="C141" t="s">
        <v>35</v>
      </c>
      <c r="D141">
        <v>1.31</v>
      </c>
      <c r="E141">
        <v>5.51</v>
      </c>
    </row>
    <row r="142" spans="1:5" x14ac:dyDescent="0.2">
      <c r="A142" t="s">
        <v>235</v>
      </c>
      <c r="B142" t="s">
        <v>249</v>
      </c>
      <c r="C142" t="s">
        <v>252</v>
      </c>
      <c r="D142">
        <v>0.98</v>
      </c>
      <c r="E142">
        <v>14.33</v>
      </c>
    </row>
    <row r="143" spans="1:5" x14ac:dyDescent="0.2">
      <c r="A143" t="s">
        <v>256</v>
      </c>
      <c r="B143" t="s">
        <v>264</v>
      </c>
      <c r="C143" t="s">
        <v>271</v>
      </c>
      <c r="D143">
        <v>0.98</v>
      </c>
      <c r="E143">
        <v>13.23</v>
      </c>
    </row>
    <row r="144" spans="1:5" x14ac:dyDescent="0.2">
      <c r="A144" t="s">
        <v>11</v>
      </c>
      <c r="B144" t="s">
        <v>25</v>
      </c>
      <c r="C144" t="s">
        <v>34</v>
      </c>
      <c r="D144">
        <v>0.98</v>
      </c>
      <c r="E144">
        <v>11.9</v>
      </c>
    </row>
    <row r="145" spans="1:5" x14ac:dyDescent="0.2">
      <c r="A145" t="s">
        <v>166</v>
      </c>
      <c r="B145" t="s">
        <v>195</v>
      </c>
      <c r="C145" t="s">
        <v>212</v>
      </c>
      <c r="D145">
        <v>0.98</v>
      </c>
      <c r="E145">
        <v>8.82</v>
      </c>
    </row>
    <row r="146" spans="1:5" x14ac:dyDescent="0.2">
      <c r="A146" t="s">
        <v>234</v>
      </c>
      <c r="B146" t="s">
        <v>248</v>
      </c>
      <c r="C146" t="s">
        <v>252</v>
      </c>
      <c r="D146">
        <v>0.98</v>
      </c>
      <c r="E146">
        <v>8.82</v>
      </c>
    </row>
    <row r="147" spans="1:5" x14ac:dyDescent="0.2">
      <c r="A147" t="s">
        <v>224</v>
      </c>
      <c r="B147" t="s">
        <v>238</v>
      </c>
      <c r="C147" t="s">
        <v>252</v>
      </c>
      <c r="D147">
        <v>0.98</v>
      </c>
      <c r="E147">
        <v>7.72</v>
      </c>
    </row>
    <row r="148" spans="1:5" x14ac:dyDescent="0.2">
      <c r="A148" t="s">
        <v>37</v>
      </c>
      <c r="B148" t="s">
        <v>61</v>
      </c>
      <c r="C148" t="s">
        <v>85</v>
      </c>
      <c r="D148">
        <v>0.98</v>
      </c>
      <c r="E148">
        <v>7.05</v>
      </c>
    </row>
    <row r="149" spans="1:5" x14ac:dyDescent="0.2">
      <c r="A149" t="s">
        <v>217</v>
      </c>
      <c r="B149" t="s">
        <v>220</v>
      </c>
      <c r="C149" t="s">
        <v>223</v>
      </c>
      <c r="D149">
        <v>0.98</v>
      </c>
      <c r="E149">
        <v>6.39</v>
      </c>
    </row>
    <row r="150" spans="1:5" x14ac:dyDescent="0.2">
      <c r="A150" t="s">
        <v>121</v>
      </c>
      <c r="B150" t="s">
        <v>136</v>
      </c>
      <c r="C150" t="s">
        <v>148</v>
      </c>
      <c r="D150">
        <v>0.98</v>
      </c>
      <c r="E150">
        <v>4.41</v>
      </c>
    </row>
    <row r="151" spans="1:5" x14ac:dyDescent="0.2">
      <c r="A151" t="s">
        <v>118</v>
      </c>
      <c r="B151" t="s">
        <v>133</v>
      </c>
      <c r="C151" t="s">
        <v>148</v>
      </c>
      <c r="D151">
        <v>0.98</v>
      </c>
      <c r="E151">
        <v>3.97</v>
      </c>
    </row>
    <row r="152" spans="1:5" x14ac:dyDescent="0.2">
      <c r="A152" t="s">
        <v>274</v>
      </c>
      <c r="B152" t="s">
        <v>286</v>
      </c>
      <c r="C152" t="s">
        <v>296</v>
      </c>
      <c r="D152">
        <v>0.66</v>
      </c>
      <c r="E152">
        <v>1.76</v>
      </c>
    </row>
    <row r="153" spans="1:5" x14ac:dyDescent="0.2">
      <c r="A153" t="s">
        <v>345</v>
      </c>
      <c r="D153">
        <f>SUM(Table124[Height(ft)])</f>
        <v>591.81999999999869</v>
      </c>
      <c r="E153">
        <f>SUM(Table124[Weight(lbs)])</f>
        <v>15297.249999999995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zoomScale="130" zoomScaleNormal="130" workbookViewId="0">
      <selection activeCell="J16" sqref="J16"/>
    </sheetView>
  </sheetViews>
  <sheetFormatPr baseColWidth="10" defaultColWidth="8.83203125" defaultRowHeight="15" x14ac:dyDescent="0.2"/>
  <cols>
    <col min="2" max="2" width="10.6640625" bestFit="1" customWidth="1"/>
    <col min="3" max="3" width="10.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</row>
    <row r="2" spans="1:5" x14ac:dyDescent="0.2">
      <c r="A2" t="s">
        <v>217</v>
      </c>
      <c r="B2" t="s">
        <v>220</v>
      </c>
      <c r="C2" t="s">
        <v>223</v>
      </c>
      <c r="D2" s="2">
        <v>0.98</v>
      </c>
      <c r="E2" s="2">
        <v>6.39</v>
      </c>
    </row>
    <row r="3" spans="1:5" x14ac:dyDescent="0.2">
      <c r="A3" t="s">
        <v>218</v>
      </c>
      <c r="B3" t="s">
        <v>221</v>
      </c>
      <c r="C3" t="s">
        <v>223</v>
      </c>
      <c r="D3" s="2">
        <v>2.2999999999999998</v>
      </c>
      <c r="E3" s="2">
        <v>21.83</v>
      </c>
    </row>
    <row r="4" spans="1:5" x14ac:dyDescent="0.2">
      <c r="A4" t="s">
        <v>117</v>
      </c>
      <c r="B4" t="s">
        <v>132</v>
      </c>
      <c r="C4" t="s">
        <v>147</v>
      </c>
      <c r="D4" s="2">
        <v>3.61</v>
      </c>
      <c r="E4" s="2">
        <v>70.55</v>
      </c>
    </row>
    <row r="5" spans="1:5" x14ac:dyDescent="0.2">
      <c r="A5" t="s">
        <v>37</v>
      </c>
      <c r="B5" t="s">
        <v>61</v>
      </c>
      <c r="C5" t="s">
        <v>85</v>
      </c>
      <c r="D5" s="2">
        <v>0.98</v>
      </c>
      <c r="E5" s="2">
        <v>7.05</v>
      </c>
    </row>
    <row r="6" spans="1:5" x14ac:dyDescent="0.2">
      <c r="A6" t="s">
        <v>38</v>
      </c>
      <c r="B6" t="s">
        <v>62</v>
      </c>
      <c r="C6" t="s">
        <v>85</v>
      </c>
      <c r="D6" s="2">
        <v>1.97</v>
      </c>
      <c r="E6" s="2">
        <v>22.05</v>
      </c>
    </row>
    <row r="7" spans="1:5" x14ac:dyDescent="0.2">
      <c r="A7" t="s">
        <v>39</v>
      </c>
      <c r="B7" t="s">
        <v>63</v>
      </c>
      <c r="C7" t="s">
        <v>85</v>
      </c>
      <c r="D7" s="2">
        <v>3.28</v>
      </c>
      <c r="E7" s="2">
        <v>65.040000000000006</v>
      </c>
    </row>
    <row r="8" spans="1:5" x14ac:dyDescent="0.2">
      <c r="A8" t="s">
        <v>11</v>
      </c>
      <c r="B8" t="s">
        <v>25</v>
      </c>
      <c r="C8" t="s">
        <v>34</v>
      </c>
      <c r="D8" s="2">
        <v>0.98</v>
      </c>
      <c r="E8" s="2">
        <v>11.9</v>
      </c>
    </row>
    <row r="9" spans="1:5" x14ac:dyDescent="0.2">
      <c r="A9" t="s">
        <v>12</v>
      </c>
      <c r="B9" t="s">
        <v>26</v>
      </c>
      <c r="C9" t="s">
        <v>34</v>
      </c>
      <c r="D9" s="2">
        <v>3.28</v>
      </c>
      <c r="E9" s="2">
        <v>65.040000000000006</v>
      </c>
    </row>
    <row r="10" spans="1:5" x14ac:dyDescent="0.2">
      <c r="A10" t="s">
        <v>50</v>
      </c>
      <c r="B10" t="s">
        <v>74</v>
      </c>
      <c r="C10" t="s">
        <v>85</v>
      </c>
      <c r="D10" s="2">
        <v>3.28</v>
      </c>
      <c r="E10" s="2">
        <v>66.14</v>
      </c>
    </row>
    <row r="11" spans="1:5" x14ac:dyDescent="0.2">
      <c r="A11" t="s">
        <v>51</v>
      </c>
      <c r="B11" t="s">
        <v>75</v>
      </c>
      <c r="C11" t="s">
        <v>85</v>
      </c>
      <c r="D11" s="2">
        <v>4.92</v>
      </c>
      <c r="E11" s="2">
        <v>27.56</v>
      </c>
    </row>
    <row r="12" spans="1:5" x14ac:dyDescent="0.2">
      <c r="A12" t="s">
        <v>126</v>
      </c>
      <c r="B12" t="s">
        <v>141</v>
      </c>
      <c r="C12" t="s">
        <v>147</v>
      </c>
      <c r="D12" s="2">
        <v>4.92</v>
      </c>
      <c r="E12" s="2">
        <v>123.46</v>
      </c>
    </row>
    <row r="13" spans="1:5" x14ac:dyDescent="0.2">
      <c r="A13" t="s">
        <v>219</v>
      </c>
      <c r="B13" t="s">
        <v>222</v>
      </c>
      <c r="C13" t="s">
        <v>223</v>
      </c>
      <c r="D13" s="2">
        <v>4.92</v>
      </c>
      <c r="E13" s="2">
        <v>121.25</v>
      </c>
    </row>
    <row r="14" spans="1:5" x14ac:dyDescent="0.2">
      <c r="A14" t="s">
        <v>345</v>
      </c>
      <c r="D14" s="2">
        <f>SUM(D2:D13)</f>
        <v>35.42</v>
      </c>
      <c r="E14" s="2">
        <f>SUM(E2:E13)</f>
        <v>608.26</v>
      </c>
    </row>
    <row r="15" spans="1:5" x14ac:dyDescent="0.2">
      <c r="A15" s="4" t="s">
        <v>369</v>
      </c>
      <c r="B15" s="4"/>
      <c r="C15" s="4"/>
      <c r="D15" s="5">
        <f>AVERAGE(Table6[Height(ft)])</f>
        <v>2.9516666666666667</v>
      </c>
      <c r="E15" s="5">
        <f>AVERAGE(Table6[Weight(lbs)])</f>
        <v>50.688333333333333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6"/>
  <sheetViews>
    <sheetView zoomScale="130" zoomScaleNormal="130" workbookViewId="0">
      <selection activeCell="H12" sqref="H12"/>
    </sheetView>
  </sheetViews>
  <sheetFormatPr baseColWidth="10" defaultColWidth="8.83203125" defaultRowHeight="15" x14ac:dyDescent="0.2"/>
  <cols>
    <col min="2" max="2" width="10.6640625" bestFit="1" customWidth="1"/>
    <col min="3" max="3" width="11.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340</v>
      </c>
      <c r="B2" t="s">
        <v>342</v>
      </c>
      <c r="C2" t="s">
        <v>344</v>
      </c>
      <c r="D2">
        <v>5.91</v>
      </c>
      <c r="E2">
        <v>7.28</v>
      </c>
    </row>
    <row r="3" spans="1:5" x14ac:dyDescent="0.2">
      <c r="A3" t="s">
        <v>341</v>
      </c>
      <c r="B3" t="s">
        <v>343</v>
      </c>
      <c r="C3" t="s">
        <v>344</v>
      </c>
      <c r="D3">
        <v>13.12</v>
      </c>
      <c r="E3">
        <v>36.380000000000003</v>
      </c>
    </row>
    <row r="4" spans="1:5" x14ac:dyDescent="0.2">
      <c r="A4" t="s">
        <v>131</v>
      </c>
      <c r="B4" t="s">
        <v>146</v>
      </c>
      <c r="C4" t="s">
        <v>153</v>
      </c>
      <c r="D4">
        <v>7.22</v>
      </c>
      <c r="E4">
        <v>462.97</v>
      </c>
    </row>
    <row r="5" spans="1:5" x14ac:dyDescent="0.2">
      <c r="A5" t="s">
        <v>345</v>
      </c>
      <c r="D5">
        <f>SUM(D2:D4)</f>
        <v>26.25</v>
      </c>
      <c r="E5">
        <f>SUM(E2:E4)</f>
        <v>506.63000000000005</v>
      </c>
    </row>
    <row r="6" spans="1:5" x14ac:dyDescent="0.2">
      <c r="A6" t="s">
        <v>368</v>
      </c>
      <c r="D6" s="2">
        <f>AVERAGE(Table18[Height(ft)])</f>
        <v>8.75</v>
      </c>
      <c r="E6" s="2">
        <f>AVERAGE(Table18[Weight(lbs)])</f>
        <v>168.87666666666669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"/>
  <sheetViews>
    <sheetView zoomScale="130" zoomScaleNormal="130" workbookViewId="0">
      <selection activeCell="D11" sqref="D11"/>
    </sheetView>
  </sheetViews>
  <sheetFormatPr baseColWidth="10" defaultColWidth="8.83203125" defaultRowHeight="15" x14ac:dyDescent="0.2"/>
  <cols>
    <col min="1" max="1" width="7.83203125" bestFit="1" customWidth="1"/>
    <col min="2" max="2" width="10.6640625" bestFit="1" customWidth="1"/>
    <col min="3" max="3" width="11.832031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254</v>
      </c>
      <c r="B2" t="s">
        <v>262</v>
      </c>
      <c r="C2" t="s">
        <v>270</v>
      </c>
      <c r="D2">
        <v>1.31</v>
      </c>
      <c r="E2">
        <v>13.23</v>
      </c>
    </row>
    <row r="3" spans="1:5" x14ac:dyDescent="0.2">
      <c r="A3" t="s">
        <v>255</v>
      </c>
      <c r="B3" t="s">
        <v>263</v>
      </c>
      <c r="C3" t="s">
        <v>270</v>
      </c>
      <c r="D3">
        <v>2.62</v>
      </c>
      <c r="E3">
        <v>66.14</v>
      </c>
    </row>
    <row r="4" spans="1:5" x14ac:dyDescent="0.2">
      <c r="A4" t="s">
        <v>256</v>
      </c>
      <c r="B4" t="s">
        <v>264</v>
      </c>
      <c r="C4" t="s">
        <v>271</v>
      </c>
      <c r="D4">
        <v>0.98</v>
      </c>
      <c r="E4">
        <v>13.23</v>
      </c>
    </row>
    <row r="5" spans="1:5" x14ac:dyDescent="0.2">
      <c r="A5" t="s">
        <v>257</v>
      </c>
      <c r="B5" t="s">
        <v>265</v>
      </c>
      <c r="C5" t="s">
        <v>271</v>
      </c>
      <c r="D5">
        <v>3.28</v>
      </c>
      <c r="E5">
        <v>132.28</v>
      </c>
    </row>
    <row r="6" spans="1:5" x14ac:dyDescent="0.2">
      <c r="A6" t="s">
        <v>258</v>
      </c>
      <c r="B6" t="s">
        <v>266</v>
      </c>
      <c r="C6" t="s">
        <v>270</v>
      </c>
      <c r="D6">
        <v>1.64</v>
      </c>
      <c r="E6">
        <v>22.93</v>
      </c>
    </row>
    <row r="7" spans="1:5" x14ac:dyDescent="0.2">
      <c r="A7" t="s">
        <v>259</v>
      </c>
      <c r="B7" t="s">
        <v>267</v>
      </c>
      <c r="C7" t="s">
        <v>270</v>
      </c>
      <c r="D7">
        <v>3.94</v>
      </c>
      <c r="E7">
        <v>146.83000000000001</v>
      </c>
    </row>
    <row r="8" spans="1:5" x14ac:dyDescent="0.2">
      <c r="A8" t="s">
        <v>260</v>
      </c>
      <c r="B8" t="s">
        <v>268</v>
      </c>
      <c r="C8" t="s">
        <v>270</v>
      </c>
      <c r="D8">
        <v>3.61</v>
      </c>
      <c r="E8">
        <v>66.14</v>
      </c>
    </row>
    <row r="9" spans="1:5" x14ac:dyDescent="0.2">
      <c r="A9" t="s">
        <v>261</v>
      </c>
      <c r="B9" t="s">
        <v>269</v>
      </c>
      <c r="C9" t="s">
        <v>270</v>
      </c>
      <c r="D9">
        <v>2.62</v>
      </c>
      <c r="E9">
        <v>54.01</v>
      </c>
    </row>
    <row r="10" spans="1:5" x14ac:dyDescent="0.2">
      <c r="A10" t="s">
        <v>130</v>
      </c>
      <c r="B10" t="s">
        <v>145</v>
      </c>
      <c r="C10" t="s">
        <v>152</v>
      </c>
      <c r="D10">
        <v>5.25</v>
      </c>
      <c r="E10">
        <v>115.96</v>
      </c>
    </row>
    <row r="11" spans="1:5" x14ac:dyDescent="0.2">
      <c r="A11" t="s">
        <v>345</v>
      </c>
      <c r="D11">
        <f>SUM(D2:D10)</f>
        <v>25.25</v>
      </c>
      <c r="E11">
        <f>SUM(E2:E10)</f>
        <v>630.75</v>
      </c>
    </row>
    <row r="12" spans="1:5" x14ac:dyDescent="0.2">
      <c r="A12" t="s">
        <v>368</v>
      </c>
      <c r="D12" s="2">
        <f>AVERAGE(Table8[Height(ft)])</f>
        <v>2.8055555555555554</v>
      </c>
      <c r="E12" s="2">
        <f>AVERAGE(Table8[Weight(lbs)])</f>
        <v>70.083333333333329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zoomScale="130" zoomScaleNormal="130" workbookViewId="0">
      <selection activeCell="E8" sqref="E8"/>
    </sheetView>
  </sheetViews>
  <sheetFormatPr baseColWidth="10" defaultColWidth="8.83203125" defaultRowHeight="15" x14ac:dyDescent="0.2"/>
  <cols>
    <col min="1" max="1" width="7.83203125" bestFit="1" customWidth="1"/>
    <col min="2" max="2" width="10.6640625" bestFit="1" customWidth="1"/>
    <col min="3" max="3" width="11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299</v>
      </c>
      <c r="B2" t="s">
        <v>302</v>
      </c>
      <c r="C2" t="s">
        <v>305</v>
      </c>
      <c r="D2">
        <v>1.97</v>
      </c>
      <c r="E2">
        <v>16.53</v>
      </c>
    </row>
    <row r="3" spans="1:5" x14ac:dyDescent="0.2">
      <c r="A3" t="s">
        <v>300</v>
      </c>
      <c r="B3" t="s">
        <v>303</v>
      </c>
      <c r="C3" t="s">
        <v>305</v>
      </c>
      <c r="D3">
        <v>4.2699999999999996</v>
      </c>
      <c r="E3">
        <v>88.18</v>
      </c>
    </row>
    <row r="4" spans="1:5" x14ac:dyDescent="0.2">
      <c r="A4" t="s">
        <v>226</v>
      </c>
      <c r="B4" t="s">
        <v>240</v>
      </c>
      <c r="C4" t="s">
        <v>253</v>
      </c>
      <c r="D4">
        <v>1.64</v>
      </c>
      <c r="E4">
        <v>12.13</v>
      </c>
    </row>
    <row r="5" spans="1:5" x14ac:dyDescent="0.2">
      <c r="A5" t="s">
        <v>227</v>
      </c>
      <c r="B5" t="s">
        <v>241</v>
      </c>
      <c r="C5" t="s">
        <v>253</v>
      </c>
      <c r="D5">
        <v>3.28</v>
      </c>
      <c r="E5">
        <v>26.46</v>
      </c>
    </row>
    <row r="6" spans="1:5" x14ac:dyDescent="0.2">
      <c r="A6" t="s">
        <v>301</v>
      </c>
      <c r="B6" t="s">
        <v>304</v>
      </c>
      <c r="C6" t="s">
        <v>306</v>
      </c>
      <c r="D6">
        <v>4.2699999999999996</v>
      </c>
      <c r="E6">
        <v>120.15</v>
      </c>
    </row>
    <row r="7" spans="1:5" x14ac:dyDescent="0.2">
      <c r="A7" t="s">
        <v>345</v>
      </c>
      <c r="D7">
        <f>SUBTOTAL(109,Table11[Height(ft)])</f>
        <v>15.429999999999998</v>
      </c>
      <c r="E7">
        <f>SUBTOTAL(109,Table11[Weight(lbs)])</f>
        <v>263.45000000000005</v>
      </c>
    </row>
    <row r="8" spans="1:5" x14ac:dyDescent="0.2">
      <c r="A8" t="s">
        <v>368</v>
      </c>
      <c r="D8">
        <f>AVERAGE(Table11[Height(ft)])</f>
        <v>3.0859999999999994</v>
      </c>
      <c r="E8">
        <f>AVERAGE(Table11[Weight(lbs)])</f>
        <v>52.690000000000012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1"/>
  <sheetViews>
    <sheetView zoomScale="130" zoomScaleNormal="130" workbookViewId="0">
      <selection activeCell="I15" sqref="I15"/>
    </sheetView>
  </sheetViews>
  <sheetFormatPr baseColWidth="10" defaultColWidth="8.83203125" defaultRowHeight="15" x14ac:dyDescent="0.2"/>
  <cols>
    <col min="4" max="4" width="10.83203125" customWidth="1"/>
    <col min="5" max="5" width="12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307</v>
      </c>
      <c r="B2" t="s">
        <v>314</v>
      </c>
      <c r="C2" t="s">
        <v>321</v>
      </c>
      <c r="D2">
        <v>1.64</v>
      </c>
      <c r="E2">
        <v>61.73</v>
      </c>
    </row>
    <row r="3" spans="1:5" x14ac:dyDescent="0.2">
      <c r="A3" t="s">
        <v>308</v>
      </c>
      <c r="B3" t="s">
        <v>315</v>
      </c>
      <c r="C3" t="s">
        <v>321</v>
      </c>
      <c r="D3">
        <v>3.28</v>
      </c>
      <c r="E3">
        <v>70.55</v>
      </c>
    </row>
    <row r="4" spans="1:5" x14ac:dyDescent="0.2">
      <c r="A4" t="s">
        <v>161</v>
      </c>
      <c r="B4" t="s">
        <v>190</v>
      </c>
      <c r="C4" t="s">
        <v>213</v>
      </c>
      <c r="D4">
        <v>4.2699999999999996</v>
      </c>
      <c r="E4">
        <v>119.05</v>
      </c>
    </row>
    <row r="5" spans="1:5" x14ac:dyDescent="0.2">
      <c r="A5" t="s">
        <v>309</v>
      </c>
      <c r="B5" t="s">
        <v>316</v>
      </c>
      <c r="C5" t="s">
        <v>321</v>
      </c>
      <c r="D5">
        <v>2.62</v>
      </c>
      <c r="E5">
        <v>42.99</v>
      </c>
    </row>
    <row r="6" spans="1:5" x14ac:dyDescent="0.2">
      <c r="A6" t="s">
        <v>310</v>
      </c>
      <c r="B6" t="s">
        <v>317</v>
      </c>
      <c r="C6" t="s">
        <v>321</v>
      </c>
      <c r="D6">
        <v>4.92</v>
      </c>
      <c r="E6">
        <v>155.43</v>
      </c>
    </row>
    <row r="7" spans="1:5" x14ac:dyDescent="0.2">
      <c r="A7" t="s">
        <v>311</v>
      </c>
      <c r="B7" t="s">
        <v>318</v>
      </c>
      <c r="C7" t="s">
        <v>321</v>
      </c>
      <c r="D7">
        <v>5.25</v>
      </c>
      <c r="E7">
        <v>286.60000000000002</v>
      </c>
    </row>
    <row r="8" spans="1:5" x14ac:dyDescent="0.2">
      <c r="A8" t="s">
        <v>312</v>
      </c>
      <c r="B8" t="s">
        <v>319</v>
      </c>
      <c r="C8" t="s">
        <v>321</v>
      </c>
      <c r="D8">
        <v>4.92</v>
      </c>
      <c r="E8">
        <v>109.79</v>
      </c>
    </row>
    <row r="9" spans="1:5" x14ac:dyDescent="0.2">
      <c r="A9" t="s">
        <v>313</v>
      </c>
      <c r="B9" t="s">
        <v>320</v>
      </c>
      <c r="C9" t="s">
        <v>321</v>
      </c>
      <c r="D9">
        <v>4.59</v>
      </c>
      <c r="E9">
        <v>110.67</v>
      </c>
    </row>
    <row r="10" spans="1:5" x14ac:dyDescent="0.2">
      <c r="A10" t="s">
        <v>345</v>
      </c>
      <c r="D10">
        <f>SUBTOTAL(109,Table12[Height(ft)])</f>
        <v>31.49</v>
      </c>
      <c r="E10">
        <f>SUBTOTAL(109,Table12[Weight(lbs)])</f>
        <v>956.81</v>
      </c>
    </row>
    <row r="11" spans="1:5" x14ac:dyDescent="0.2">
      <c r="A11" t="s">
        <v>368</v>
      </c>
      <c r="D11" s="2">
        <f>AVERAGE(Table12[Height(ft)])</f>
        <v>3.9362499999999998</v>
      </c>
      <c r="E11" s="2">
        <f>AVERAGE(Table12[Weight(lbs)])</f>
        <v>119.60124999999999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="130" zoomScaleNormal="130" workbookViewId="0">
      <selection activeCell="I16" sqref="I16"/>
    </sheetView>
  </sheetViews>
  <sheetFormatPr baseColWidth="10" defaultColWidth="8.83203125" defaultRowHeight="15" x14ac:dyDescent="0.2"/>
  <cols>
    <col min="2" max="2" width="10.6640625" bestFit="1" customWidth="1"/>
    <col min="3" max="3" width="10.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91</v>
      </c>
      <c r="B2" t="s">
        <v>103</v>
      </c>
      <c r="C2" t="s">
        <v>115</v>
      </c>
      <c r="D2">
        <v>1.97</v>
      </c>
      <c r="E2">
        <v>18.739999999999998</v>
      </c>
    </row>
    <row r="3" spans="1:5" x14ac:dyDescent="0.2">
      <c r="A3" t="s">
        <v>92</v>
      </c>
      <c r="B3" t="s">
        <v>104</v>
      </c>
      <c r="C3" t="s">
        <v>115</v>
      </c>
      <c r="D3">
        <v>3.61</v>
      </c>
      <c r="E3">
        <v>41.89</v>
      </c>
    </row>
    <row r="4" spans="1:5" x14ac:dyDescent="0.2">
      <c r="A4" t="s">
        <v>93</v>
      </c>
      <c r="B4" t="s">
        <v>105</v>
      </c>
      <c r="C4" t="s">
        <v>116</v>
      </c>
      <c r="D4">
        <v>5.58</v>
      </c>
      <c r="E4">
        <v>199.52</v>
      </c>
    </row>
    <row r="5" spans="1:5" x14ac:dyDescent="0.2">
      <c r="A5" t="s">
        <v>94</v>
      </c>
      <c r="B5" t="s">
        <v>106</v>
      </c>
      <c r="C5" t="s">
        <v>115</v>
      </c>
      <c r="D5">
        <v>1.97</v>
      </c>
      <c r="E5">
        <v>21.83</v>
      </c>
    </row>
    <row r="6" spans="1:5" x14ac:dyDescent="0.2">
      <c r="A6" t="s">
        <v>95</v>
      </c>
      <c r="B6" t="s">
        <v>107</v>
      </c>
      <c r="C6" t="s">
        <v>115</v>
      </c>
      <c r="D6">
        <v>3.61</v>
      </c>
      <c r="E6">
        <v>43.87</v>
      </c>
    </row>
    <row r="7" spans="1:5" x14ac:dyDescent="0.2">
      <c r="A7" t="s">
        <v>96</v>
      </c>
      <c r="B7" t="s">
        <v>108</v>
      </c>
      <c r="C7" t="s">
        <v>115</v>
      </c>
      <c r="D7">
        <v>2.2999999999999998</v>
      </c>
      <c r="E7">
        <v>41.89</v>
      </c>
    </row>
    <row r="8" spans="1:5" x14ac:dyDescent="0.2">
      <c r="A8" t="s">
        <v>97</v>
      </c>
      <c r="B8" t="s">
        <v>109</v>
      </c>
      <c r="C8" t="s">
        <v>115</v>
      </c>
      <c r="D8">
        <v>6.23</v>
      </c>
      <c r="E8">
        <v>341.72</v>
      </c>
    </row>
    <row r="9" spans="1:5" x14ac:dyDescent="0.2">
      <c r="A9" t="s">
        <v>98</v>
      </c>
      <c r="B9" t="s">
        <v>110</v>
      </c>
      <c r="C9" t="s">
        <v>115</v>
      </c>
      <c r="D9">
        <v>3.28</v>
      </c>
      <c r="E9">
        <v>66.14</v>
      </c>
    </row>
    <row r="10" spans="1:5" x14ac:dyDescent="0.2">
      <c r="A10" t="s">
        <v>99</v>
      </c>
      <c r="B10" t="s">
        <v>111</v>
      </c>
      <c r="C10" t="s">
        <v>115</v>
      </c>
      <c r="D10">
        <v>5.58</v>
      </c>
      <c r="E10">
        <v>209.44</v>
      </c>
    </row>
    <row r="11" spans="1:5" x14ac:dyDescent="0.2">
      <c r="A11" t="s">
        <v>100</v>
      </c>
      <c r="B11" t="s">
        <v>112</v>
      </c>
      <c r="C11" t="s">
        <v>115</v>
      </c>
      <c r="D11">
        <v>4.2699999999999996</v>
      </c>
      <c r="E11">
        <v>98.11</v>
      </c>
    </row>
    <row r="12" spans="1:5" x14ac:dyDescent="0.2">
      <c r="A12" t="s">
        <v>101</v>
      </c>
      <c r="B12" t="s">
        <v>113</v>
      </c>
      <c r="C12" t="s">
        <v>115</v>
      </c>
      <c r="D12">
        <v>2.95</v>
      </c>
      <c r="E12">
        <v>55.12</v>
      </c>
    </row>
    <row r="13" spans="1:5" x14ac:dyDescent="0.2">
      <c r="A13" t="s">
        <v>102</v>
      </c>
      <c r="B13" t="s">
        <v>114</v>
      </c>
      <c r="C13" t="s">
        <v>116</v>
      </c>
      <c r="D13">
        <v>6.56</v>
      </c>
      <c r="E13">
        <v>132.28</v>
      </c>
    </row>
    <row r="14" spans="1:5" x14ac:dyDescent="0.2">
      <c r="A14" t="s">
        <v>345</v>
      </c>
      <c r="D14">
        <f>SUBTOTAL(109,Table3[Height(ft)])</f>
        <v>47.910000000000011</v>
      </c>
      <c r="E14">
        <f>SUBTOTAL(109,Table3[Weight(lbs)])</f>
        <v>1270.5499999999997</v>
      </c>
    </row>
    <row r="15" spans="1:5" x14ac:dyDescent="0.2">
      <c r="A15" t="s">
        <v>368</v>
      </c>
      <c r="D15" s="2">
        <f>AVERAGE(Table3[Height(ft)])</f>
        <v>3.992500000000001</v>
      </c>
      <c r="E15" s="2">
        <f>AVERAGE(Table3[Weight(lbs)])</f>
        <v>105.87916666666665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30" zoomScaleNormal="130" workbookViewId="0">
      <selection activeCell="D22" sqref="D22:E22"/>
    </sheetView>
  </sheetViews>
  <sheetFormatPr baseColWidth="10" defaultColWidth="8.83203125" defaultRowHeight="15" x14ac:dyDescent="0.2"/>
  <cols>
    <col min="2" max="2" width="10.6640625" bestFit="1" customWidth="1"/>
    <col min="3" max="3" width="11.83203125" bestFit="1" customWidth="1"/>
    <col min="4" max="4" width="10.83203125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117</v>
      </c>
      <c r="B2" t="s">
        <v>132</v>
      </c>
      <c r="C2" t="s">
        <v>147</v>
      </c>
      <c r="D2">
        <v>3.61</v>
      </c>
      <c r="E2">
        <v>70.55</v>
      </c>
    </row>
    <row r="3" spans="1:5" x14ac:dyDescent="0.2">
      <c r="A3" t="s">
        <v>126</v>
      </c>
      <c r="B3" t="s">
        <v>141</v>
      </c>
      <c r="C3" t="s">
        <v>147</v>
      </c>
      <c r="D3">
        <v>4.92</v>
      </c>
      <c r="E3">
        <v>123.46</v>
      </c>
    </row>
    <row r="4" spans="1:5" x14ac:dyDescent="0.2">
      <c r="A4" t="s">
        <v>131</v>
      </c>
      <c r="B4" t="s">
        <v>146</v>
      </c>
      <c r="C4" t="s">
        <v>153</v>
      </c>
      <c r="D4">
        <v>7.22</v>
      </c>
      <c r="E4">
        <v>462.97</v>
      </c>
    </row>
    <row r="5" spans="1:5" x14ac:dyDescent="0.2">
      <c r="A5" t="s">
        <v>130</v>
      </c>
      <c r="B5" t="s">
        <v>145</v>
      </c>
      <c r="C5" t="s">
        <v>152</v>
      </c>
      <c r="D5">
        <v>5.25</v>
      </c>
      <c r="E5">
        <v>115.96</v>
      </c>
    </row>
    <row r="6" spans="1:5" x14ac:dyDescent="0.2">
      <c r="A6" t="s">
        <v>93</v>
      </c>
      <c r="B6" t="s">
        <v>105</v>
      </c>
      <c r="C6" t="s">
        <v>116</v>
      </c>
      <c r="D6">
        <v>5.58</v>
      </c>
      <c r="E6">
        <v>199.52</v>
      </c>
    </row>
    <row r="7" spans="1:5" x14ac:dyDescent="0.2">
      <c r="A7" t="s">
        <v>102</v>
      </c>
      <c r="B7" t="s">
        <v>114</v>
      </c>
      <c r="C7" t="s">
        <v>116</v>
      </c>
      <c r="D7">
        <v>6.56</v>
      </c>
      <c r="E7">
        <v>132.28</v>
      </c>
    </row>
    <row r="8" spans="1:5" x14ac:dyDescent="0.2">
      <c r="A8" t="s">
        <v>129</v>
      </c>
      <c r="B8" t="s">
        <v>144</v>
      </c>
      <c r="C8" t="s">
        <v>151</v>
      </c>
      <c r="D8">
        <v>5.58</v>
      </c>
      <c r="E8">
        <v>122.14</v>
      </c>
    </row>
    <row r="9" spans="1:5" x14ac:dyDescent="0.2">
      <c r="A9" t="s">
        <v>118</v>
      </c>
      <c r="B9" t="s">
        <v>133</v>
      </c>
      <c r="C9" t="s">
        <v>148</v>
      </c>
      <c r="D9">
        <v>0.98</v>
      </c>
      <c r="E9">
        <v>3.97</v>
      </c>
    </row>
    <row r="10" spans="1:5" x14ac:dyDescent="0.2">
      <c r="A10" t="s">
        <v>119</v>
      </c>
      <c r="B10" t="s">
        <v>134</v>
      </c>
      <c r="C10" t="s">
        <v>148</v>
      </c>
      <c r="D10">
        <v>3.61</v>
      </c>
      <c r="E10">
        <v>66.14</v>
      </c>
    </row>
    <row r="11" spans="1:5" x14ac:dyDescent="0.2">
      <c r="A11" t="s">
        <v>120</v>
      </c>
      <c r="B11" t="s">
        <v>135</v>
      </c>
      <c r="C11" t="s">
        <v>148</v>
      </c>
      <c r="D11">
        <v>4.92</v>
      </c>
      <c r="E11">
        <v>87.08</v>
      </c>
    </row>
    <row r="12" spans="1:5" x14ac:dyDescent="0.2">
      <c r="A12" t="s">
        <v>121</v>
      </c>
      <c r="B12" t="s">
        <v>136</v>
      </c>
      <c r="C12" t="s">
        <v>148</v>
      </c>
      <c r="D12">
        <v>0.98</v>
      </c>
      <c r="E12">
        <v>4.41</v>
      </c>
    </row>
    <row r="13" spans="1:5" x14ac:dyDescent="0.2">
      <c r="A13" t="s">
        <v>122</v>
      </c>
      <c r="B13" t="s">
        <v>137</v>
      </c>
      <c r="C13" t="s">
        <v>148</v>
      </c>
      <c r="D13">
        <v>3.94</v>
      </c>
      <c r="E13">
        <v>83.78</v>
      </c>
    </row>
    <row r="14" spans="1:5" x14ac:dyDescent="0.2">
      <c r="A14" t="s">
        <v>123</v>
      </c>
      <c r="B14" t="s">
        <v>138</v>
      </c>
      <c r="C14" t="s">
        <v>148</v>
      </c>
      <c r="D14">
        <v>2.62</v>
      </c>
      <c r="E14">
        <v>33.07</v>
      </c>
    </row>
    <row r="15" spans="1:5" x14ac:dyDescent="0.2">
      <c r="A15" t="s">
        <v>124</v>
      </c>
      <c r="B15" t="s">
        <v>139</v>
      </c>
      <c r="C15" t="s">
        <v>148</v>
      </c>
      <c r="D15">
        <v>4.59</v>
      </c>
      <c r="E15">
        <v>86.42</v>
      </c>
    </row>
    <row r="16" spans="1:5" x14ac:dyDescent="0.2">
      <c r="A16" t="s">
        <v>125</v>
      </c>
      <c r="B16" t="s">
        <v>140</v>
      </c>
      <c r="C16" t="s">
        <v>148</v>
      </c>
      <c r="D16">
        <v>5.91</v>
      </c>
      <c r="E16">
        <v>187.83</v>
      </c>
    </row>
    <row r="17" spans="1:5" x14ac:dyDescent="0.2">
      <c r="A17" t="s">
        <v>48</v>
      </c>
      <c r="B17" t="s">
        <v>72</v>
      </c>
      <c r="C17" t="s">
        <v>88</v>
      </c>
      <c r="D17">
        <v>2.62</v>
      </c>
      <c r="E17">
        <v>16.53</v>
      </c>
    </row>
    <row r="18" spans="1:5" x14ac:dyDescent="0.2">
      <c r="A18" t="s">
        <v>49</v>
      </c>
      <c r="B18" t="s">
        <v>73</v>
      </c>
      <c r="C18" t="s">
        <v>88</v>
      </c>
      <c r="D18">
        <v>5.25</v>
      </c>
      <c r="E18">
        <v>121.25</v>
      </c>
    </row>
    <row r="19" spans="1:5" x14ac:dyDescent="0.2">
      <c r="A19" t="s">
        <v>128</v>
      </c>
      <c r="B19" t="s">
        <v>143</v>
      </c>
      <c r="C19" t="s">
        <v>150</v>
      </c>
      <c r="D19">
        <v>5.91</v>
      </c>
      <c r="E19">
        <v>130.07</v>
      </c>
    </row>
    <row r="20" spans="1:5" x14ac:dyDescent="0.2">
      <c r="A20" t="s">
        <v>127</v>
      </c>
      <c r="B20" t="s">
        <v>142</v>
      </c>
      <c r="C20" t="s">
        <v>149</v>
      </c>
      <c r="D20">
        <v>21.33</v>
      </c>
      <c r="E20">
        <v>518.09</v>
      </c>
    </row>
    <row r="21" spans="1:5" x14ac:dyDescent="0.2">
      <c r="A21" t="s">
        <v>345</v>
      </c>
      <c r="D21">
        <f>SUBTOTAL(109,Table4[Height(ft)])</f>
        <v>101.37999999999998</v>
      </c>
      <c r="E21">
        <f>SUBTOTAL(109,Table4[Weight(lbs)])</f>
        <v>2565.52</v>
      </c>
    </row>
    <row r="22" spans="1:5" x14ac:dyDescent="0.2">
      <c r="A22" t="s">
        <v>368</v>
      </c>
      <c r="D22" s="2">
        <f>AVERAGE(Table4[Height(ft)])</f>
        <v>5.3357894736842093</v>
      </c>
      <c r="E22" s="2">
        <f>AVERAGE(Table4[Weight(lbs)])</f>
        <v>135.02736842105264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Results</vt:lpstr>
      <vt:lpstr>All Pokemon</vt:lpstr>
      <vt:lpstr>bug</vt:lpstr>
      <vt:lpstr>dragon</vt:lpstr>
      <vt:lpstr>electric</vt:lpstr>
      <vt:lpstr>fairy</vt:lpstr>
      <vt:lpstr>fighting</vt:lpstr>
      <vt:lpstr>fire</vt:lpstr>
      <vt:lpstr>flying</vt:lpstr>
      <vt:lpstr>ghost</vt:lpstr>
      <vt:lpstr>grass</vt:lpstr>
      <vt:lpstr>ground</vt:lpstr>
      <vt:lpstr>ice</vt:lpstr>
      <vt:lpstr>normal</vt:lpstr>
      <vt:lpstr>poison</vt:lpstr>
      <vt:lpstr>psychic</vt:lpstr>
      <vt:lpstr>rock</vt:lpstr>
      <vt:lpstr>steel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Ryder Barton</cp:lastModifiedBy>
  <dcterms:created xsi:type="dcterms:W3CDTF">2023-12-18T20:46:34Z</dcterms:created>
  <dcterms:modified xsi:type="dcterms:W3CDTF">2024-01-01T23:33:19Z</dcterms:modified>
</cp:coreProperties>
</file>