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P:\Luminova\WEIDNER\regina\Madison Park\Building 79\Rebuild Quote\"/>
    </mc:Choice>
  </mc:AlternateContent>
  <xr:revisionPtr revIDLastSave="0" documentId="13_ncr:1_{40322699-2D81-441C-BC7E-8577F8D7823B}" xr6:coauthVersionLast="47" xr6:coauthVersionMax="47" xr10:uidLastSave="{00000000-0000-0000-0000-000000000000}"/>
  <bookViews>
    <workbookView xWindow="38280" yWindow="3225" windowWidth="29040" windowHeight="15720" tabRatio="899" activeTab="1" xr2:uid="{00000000-000D-0000-FFFF-FFFF00000000}"/>
  </bookViews>
  <sheets>
    <sheet name="Rebuild Summary" sheetId="3" r:id="rId1"/>
    <sheet name="Pricing Units Insurance" sheetId="8" r:id="rId2"/>
    <sheet name="Pricing UNITS Combined" sheetId="7" state="hidden" r:id="rId3"/>
    <sheet name="Price - Breakdown (A)" sheetId="4" state="hidden" r:id="rId4"/>
  </sheets>
  <definedNames>
    <definedName name="_xlnm.Print_Area" localSheetId="3">'Price - Breakdown (A)'!$A$1:$E$76</definedName>
    <definedName name="_xlnm.Print_Area" localSheetId="2">'Pricing UNITS Combined'!$A$1:$E$74</definedName>
    <definedName name="_xlnm.Print_Area" localSheetId="1">'Pricing Units Insurance'!$A$83:$E$114</definedName>
    <definedName name="_xlnm.Print_Area" localSheetId="0">'Rebuild Summary'!$A$1:$D$10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8" l="1"/>
  <c r="I99" i="8"/>
  <c r="I98" i="8"/>
  <c r="I97" i="8"/>
  <c r="I95" i="8"/>
  <c r="N45" i="8"/>
  <c r="I90" i="8"/>
  <c r="N90" i="8"/>
  <c r="I89" i="8"/>
  <c r="I88" i="8"/>
  <c r="I87" i="8"/>
  <c r="I86" i="8"/>
  <c r="I85" i="8"/>
  <c r="I28" i="8"/>
  <c r="G28" i="8"/>
  <c r="E28" i="8"/>
  <c r="E99" i="8"/>
  <c r="E100" i="8"/>
  <c r="D25" i="8"/>
  <c r="D23" i="8"/>
  <c r="F25" i="8"/>
  <c r="F23" i="8"/>
  <c r="E112" i="8"/>
  <c r="E102" i="8"/>
  <c r="E111" i="8"/>
  <c r="E96" i="8"/>
  <c r="I47" i="8"/>
  <c r="G47" i="8"/>
  <c r="E47" i="8"/>
  <c r="C103" i="8"/>
  <c r="E110" i="8"/>
  <c r="D104" i="8"/>
  <c r="E104" i="8" s="1"/>
  <c r="E103" i="8" l="1"/>
  <c r="E101" i="8"/>
  <c r="E98" i="8"/>
  <c r="E97" i="8"/>
  <c r="E95" i="8"/>
  <c r="D94" i="8"/>
  <c r="D93" i="8"/>
  <c r="D92" i="8"/>
  <c r="D90" i="8"/>
  <c r="E90" i="8" s="1"/>
  <c r="H23" i="8"/>
  <c r="H21" i="8"/>
  <c r="H20" i="8"/>
  <c r="C35" i="8"/>
  <c r="C34" i="8"/>
  <c r="F21" i="8"/>
  <c r="F20" i="8"/>
  <c r="I62" i="8"/>
  <c r="G62" i="8"/>
  <c r="E62" i="8"/>
  <c r="D21" i="8"/>
  <c r="D20" i="8"/>
  <c r="I79" i="8"/>
  <c r="G79" i="8"/>
  <c r="E79" i="8"/>
  <c r="E77" i="8"/>
  <c r="E34" i="8" l="1"/>
  <c r="G34" i="8"/>
  <c r="I34" i="8"/>
  <c r="I32" i="8"/>
  <c r="G32" i="8"/>
  <c r="E32" i="8"/>
  <c r="E109" i="8" l="1"/>
  <c r="E108" i="8"/>
  <c r="E91" i="8"/>
  <c r="E94" i="8"/>
  <c r="E93" i="8"/>
  <c r="E92" i="8"/>
  <c r="E89" i="8"/>
  <c r="B41" i="3"/>
  <c r="I76" i="8"/>
  <c r="G76" i="8"/>
  <c r="E76" i="8"/>
  <c r="I39" i="8"/>
  <c r="I40" i="8"/>
  <c r="I41" i="8"/>
  <c r="I42" i="8"/>
  <c r="G39" i="8"/>
  <c r="G40" i="8"/>
  <c r="G41" i="8"/>
  <c r="E39" i="8"/>
  <c r="E40" i="8"/>
  <c r="E41" i="8"/>
  <c r="I51" i="8"/>
  <c r="G51" i="8"/>
  <c r="E51" i="8"/>
  <c r="I6" i="8"/>
  <c r="I7" i="8"/>
  <c r="I9" i="8"/>
  <c r="I10" i="8"/>
  <c r="I11" i="8"/>
  <c r="I12" i="8"/>
  <c r="I13" i="8"/>
  <c r="I14" i="8"/>
  <c r="I15" i="8"/>
  <c r="I16" i="8"/>
  <c r="I17" i="8"/>
  <c r="I18" i="8"/>
  <c r="I19" i="8"/>
  <c r="I24" i="8"/>
  <c r="I29" i="8"/>
  <c r="I33" i="8"/>
  <c r="I37" i="8"/>
  <c r="I38" i="8"/>
  <c r="I43" i="8"/>
  <c r="I44" i="8"/>
  <c r="I46" i="8"/>
  <c r="I48" i="8"/>
  <c r="I49" i="8"/>
  <c r="I50" i="8"/>
  <c r="I52" i="8"/>
  <c r="I53" i="8"/>
  <c r="I54" i="8"/>
  <c r="I55" i="8"/>
  <c r="I56" i="8"/>
  <c r="I57" i="8"/>
  <c r="I58" i="8"/>
  <c r="I59" i="8"/>
  <c r="I61" i="8"/>
  <c r="I63" i="8"/>
  <c r="I65" i="8"/>
  <c r="I64" i="8" s="1"/>
  <c r="I69" i="8"/>
  <c r="I70" i="8"/>
  <c r="I72" i="8"/>
  <c r="I73" i="8"/>
  <c r="I75" i="8"/>
  <c r="I77" i="8"/>
  <c r="I78" i="8"/>
  <c r="I80" i="8"/>
  <c r="I81" i="8"/>
  <c r="G81" i="8"/>
  <c r="G80" i="8"/>
  <c r="G78" i="8"/>
  <c r="G77" i="8"/>
  <c r="G75" i="8"/>
  <c r="G73" i="8"/>
  <c r="G72" i="8"/>
  <c r="G70" i="8"/>
  <c r="G69" i="8"/>
  <c r="G65" i="8"/>
  <c r="G64" i="8" s="1"/>
  <c r="G63" i="8"/>
  <c r="G61" i="8"/>
  <c r="G59" i="8"/>
  <c r="G58" i="8"/>
  <c r="G57" i="8"/>
  <c r="G56" i="8"/>
  <c r="G55" i="8"/>
  <c r="G54" i="8"/>
  <c r="G53" i="8"/>
  <c r="G52" i="8"/>
  <c r="G50" i="8"/>
  <c r="G49" i="8"/>
  <c r="G48" i="8"/>
  <c r="G46" i="8"/>
  <c r="G44" i="8"/>
  <c r="G43" i="8"/>
  <c r="G42" i="8"/>
  <c r="G38" i="8"/>
  <c r="G37" i="8"/>
  <c r="G33" i="8"/>
  <c r="G29" i="8"/>
  <c r="G24" i="8"/>
  <c r="G19" i="8"/>
  <c r="G18" i="8"/>
  <c r="G17" i="8"/>
  <c r="G16" i="8"/>
  <c r="G15" i="8"/>
  <c r="G14" i="8"/>
  <c r="G13" i="8"/>
  <c r="G12" i="8"/>
  <c r="G11" i="8"/>
  <c r="G10" i="8"/>
  <c r="G9" i="8"/>
  <c r="G7" i="8"/>
  <c r="G6" i="8"/>
  <c r="E81" i="8"/>
  <c r="E80" i="8"/>
  <c r="E78" i="8"/>
  <c r="E75" i="8"/>
  <c r="E73" i="8"/>
  <c r="E72" i="8"/>
  <c r="E70" i="8"/>
  <c r="E69" i="8"/>
  <c r="E65" i="8"/>
  <c r="E63" i="8"/>
  <c r="E61" i="8"/>
  <c r="E59" i="8"/>
  <c r="E58" i="8"/>
  <c r="E57" i="8"/>
  <c r="E56" i="8"/>
  <c r="E55" i="8"/>
  <c r="E54" i="8"/>
  <c r="E53" i="8"/>
  <c r="E52" i="8"/>
  <c r="E50" i="8"/>
  <c r="E49" i="8"/>
  <c r="E48" i="8"/>
  <c r="E46" i="8"/>
  <c r="E44" i="8"/>
  <c r="E43" i="8"/>
  <c r="E42" i="8"/>
  <c r="E38" i="8"/>
  <c r="E37" i="8"/>
  <c r="E33" i="8"/>
  <c r="E29" i="8"/>
  <c r="E24" i="8"/>
  <c r="E19" i="8"/>
  <c r="E18" i="8"/>
  <c r="E17" i="8"/>
  <c r="E16" i="8"/>
  <c r="E15" i="8"/>
  <c r="E14" i="8"/>
  <c r="E13" i="8"/>
  <c r="E12" i="8"/>
  <c r="E11" i="8"/>
  <c r="E10" i="8"/>
  <c r="E9" i="8"/>
  <c r="E7" i="8"/>
  <c r="E6" i="8"/>
  <c r="C68" i="8"/>
  <c r="C67" i="8"/>
  <c r="I67" i="8" s="1"/>
  <c r="I27" i="8"/>
  <c r="I25" i="8"/>
  <c r="I23" i="8"/>
  <c r="I21" i="8"/>
  <c r="I20" i="8"/>
  <c r="G27" i="8"/>
  <c r="G25" i="8"/>
  <c r="G23" i="8"/>
  <c r="G21" i="8"/>
  <c r="G20" i="8"/>
  <c r="E107" i="8" l="1"/>
  <c r="C105" i="8"/>
  <c r="E105" i="8" s="1"/>
  <c r="B43" i="3"/>
  <c r="B42" i="3"/>
  <c r="B44" i="3"/>
  <c r="G71" i="8"/>
  <c r="G5" i="8"/>
  <c r="G74" i="8"/>
  <c r="G60" i="8"/>
  <c r="G22" i="8"/>
  <c r="I26" i="8"/>
  <c r="I71" i="8"/>
  <c r="G26" i="8"/>
  <c r="I60" i="8"/>
  <c r="I22" i="8"/>
  <c r="G8" i="8"/>
  <c r="I8" i="8"/>
  <c r="I74" i="8"/>
  <c r="I5" i="8"/>
  <c r="G36" i="8"/>
  <c r="I36" i="8"/>
  <c r="I45" i="8"/>
  <c r="G67" i="8"/>
  <c r="G68" i="8"/>
  <c r="E35" i="8"/>
  <c r="E68" i="8"/>
  <c r="I68" i="8"/>
  <c r="I66" i="8" s="1"/>
  <c r="I35" i="8"/>
  <c r="E31" i="8"/>
  <c r="E67" i="8"/>
  <c r="I31" i="8"/>
  <c r="G45" i="8"/>
  <c r="G31" i="8"/>
  <c r="G35" i="8"/>
  <c r="B39" i="3" l="1"/>
  <c r="G66" i="8"/>
  <c r="B40" i="3"/>
  <c r="G30" i="8"/>
  <c r="I30" i="8"/>
  <c r="H3" i="8" s="1"/>
  <c r="B38" i="3" l="1"/>
  <c r="C86" i="8"/>
  <c r="E86" i="8" s="1"/>
  <c r="F3" i="8"/>
  <c r="B37" i="3" l="1"/>
  <c r="C85" i="8"/>
  <c r="E85" i="8" s="1"/>
  <c r="E27" i="8"/>
  <c r="E25" i="8"/>
  <c r="E23" i="8"/>
  <c r="E21" i="8"/>
  <c r="E20" i="8"/>
  <c r="E71" i="8" l="1"/>
  <c r="E66" i="8"/>
  <c r="G18" i="3"/>
  <c r="G22" i="3" s="1"/>
  <c r="B23" i="3"/>
  <c r="B17" i="3"/>
  <c r="B9" i="3" l="1"/>
  <c r="E64" i="8"/>
  <c r="F33" i="7"/>
  <c r="E74" i="7"/>
  <c r="G74" i="7" s="1"/>
  <c r="E73" i="7"/>
  <c r="G73" i="7" s="1"/>
  <c r="E72" i="7"/>
  <c r="E71" i="7" s="1"/>
  <c r="F71" i="7"/>
  <c r="E70" i="7"/>
  <c r="G70" i="7" s="1"/>
  <c r="E69" i="7"/>
  <c r="G69" i="7" s="1"/>
  <c r="F68" i="7"/>
  <c r="D68" i="7"/>
  <c r="E68" i="7" s="1"/>
  <c r="F67" i="7"/>
  <c r="D67" i="7"/>
  <c r="E67" i="7" s="1"/>
  <c r="G67" i="7" s="1"/>
  <c r="E65" i="7"/>
  <c r="F65" i="7" s="1"/>
  <c r="E64" i="7"/>
  <c r="C63" i="7"/>
  <c r="E63" i="7" s="1"/>
  <c r="F62" i="7"/>
  <c r="E62" i="7"/>
  <c r="G62" i="7" s="1"/>
  <c r="F60" i="7"/>
  <c r="E60" i="7"/>
  <c r="F59" i="7"/>
  <c r="E59" i="7"/>
  <c r="G59" i="7" s="1"/>
  <c r="F58" i="7"/>
  <c r="E58" i="7"/>
  <c r="G58" i="7" s="1"/>
  <c r="C56" i="7"/>
  <c r="E56" i="7" s="1"/>
  <c r="G56" i="7" s="1"/>
  <c r="E55" i="7"/>
  <c r="G55" i="7" s="1"/>
  <c r="E54" i="7"/>
  <c r="G54" i="7" s="1"/>
  <c r="E53" i="7"/>
  <c r="G53" i="7" s="1"/>
  <c r="E52" i="7"/>
  <c r="G52" i="7" s="1"/>
  <c r="E51" i="7"/>
  <c r="G51" i="7" s="1"/>
  <c r="G50" i="7"/>
  <c r="E50" i="7"/>
  <c r="E49" i="7"/>
  <c r="G49" i="7" s="1"/>
  <c r="E48" i="7"/>
  <c r="G48" i="7" s="1"/>
  <c r="E47" i="7"/>
  <c r="G47" i="7" s="1"/>
  <c r="C47" i="7"/>
  <c r="E46" i="7"/>
  <c r="G46" i="7" s="1"/>
  <c r="E45" i="7"/>
  <c r="G45" i="7" s="1"/>
  <c r="E44" i="7"/>
  <c r="F43" i="7"/>
  <c r="E42" i="7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C35" i="7"/>
  <c r="E35" i="7" s="1"/>
  <c r="E34" i="7"/>
  <c r="E32" i="7"/>
  <c r="G32" i="7" s="1"/>
  <c r="C30" i="7"/>
  <c r="C31" i="7" s="1"/>
  <c r="E31" i="7" s="1"/>
  <c r="G31" i="7" s="1"/>
  <c r="F29" i="7"/>
  <c r="E28" i="7"/>
  <c r="G28" i="7" s="1"/>
  <c r="F27" i="7"/>
  <c r="F26" i="7" s="1"/>
  <c r="C27" i="7"/>
  <c r="E27" i="7" s="1"/>
  <c r="E25" i="7"/>
  <c r="G25" i="7" s="1"/>
  <c r="F24" i="7"/>
  <c r="F22" i="7" s="1"/>
  <c r="E24" i="7"/>
  <c r="G24" i="7" s="1"/>
  <c r="E23" i="7"/>
  <c r="F21" i="7"/>
  <c r="G21" i="7" s="1"/>
  <c r="E21" i="7"/>
  <c r="F20" i="7"/>
  <c r="E20" i="7"/>
  <c r="G20" i="7" s="1"/>
  <c r="F19" i="7"/>
  <c r="E19" i="7"/>
  <c r="G19" i="7" s="1"/>
  <c r="C18" i="7"/>
  <c r="F18" i="7" s="1"/>
  <c r="F17" i="7"/>
  <c r="E17" i="7"/>
  <c r="G17" i="7" s="1"/>
  <c r="E16" i="7"/>
  <c r="G16" i="7" s="1"/>
  <c r="E15" i="7"/>
  <c r="G15" i="7" s="1"/>
  <c r="G14" i="7"/>
  <c r="E14" i="7"/>
  <c r="E13" i="7"/>
  <c r="G13" i="7" s="1"/>
  <c r="F12" i="7"/>
  <c r="C12" i="7"/>
  <c r="E12" i="7" s="1"/>
  <c r="F11" i="7"/>
  <c r="C11" i="7"/>
  <c r="E11" i="7" s="1"/>
  <c r="G11" i="7" s="1"/>
  <c r="G10" i="7"/>
  <c r="E10" i="7"/>
  <c r="E9" i="7"/>
  <c r="G9" i="7" s="1"/>
  <c r="E7" i="7"/>
  <c r="G7" i="7" s="1"/>
  <c r="G6" i="7"/>
  <c r="E6" i="7"/>
  <c r="E5" i="7"/>
  <c r="G5" i="7" s="1"/>
  <c r="E4" i="7"/>
  <c r="G4" i="7" s="1"/>
  <c r="F3" i="7"/>
  <c r="E3" i="7"/>
  <c r="G76" i="4"/>
  <c r="E76" i="4"/>
  <c r="E75" i="4"/>
  <c r="G75" i="4" s="1"/>
  <c r="E74" i="4"/>
  <c r="E73" i="4" s="1"/>
  <c r="F73" i="4"/>
  <c r="E72" i="4"/>
  <c r="G72" i="4" s="1"/>
  <c r="E71" i="4"/>
  <c r="G71" i="4" s="1"/>
  <c r="F70" i="4"/>
  <c r="D70" i="4"/>
  <c r="E70" i="4" s="1"/>
  <c r="G70" i="4" s="1"/>
  <c r="F69" i="4"/>
  <c r="F68" i="4" s="1"/>
  <c r="E69" i="4"/>
  <c r="G69" i="4" s="1"/>
  <c r="G68" i="4" s="1"/>
  <c r="D69" i="4"/>
  <c r="G67" i="4"/>
  <c r="G66" i="4" s="1"/>
  <c r="F67" i="4"/>
  <c r="E67" i="4"/>
  <c r="F66" i="4"/>
  <c r="E66" i="4"/>
  <c r="E65" i="4"/>
  <c r="G65" i="4" s="1"/>
  <c r="C65" i="4"/>
  <c r="C64" i="4"/>
  <c r="E64" i="4" s="1"/>
  <c r="F62" i="4"/>
  <c r="E62" i="4"/>
  <c r="G61" i="4"/>
  <c r="F61" i="4"/>
  <c r="E61" i="4"/>
  <c r="F60" i="4"/>
  <c r="E60" i="4"/>
  <c r="G60" i="4" s="1"/>
  <c r="E58" i="4"/>
  <c r="G58" i="4" s="1"/>
  <c r="C58" i="4"/>
  <c r="G57" i="4"/>
  <c r="E57" i="4"/>
  <c r="G56" i="4"/>
  <c r="E56" i="4"/>
  <c r="E55" i="4"/>
  <c r="G55" i="4" s="1"/>
  <c r="G54" i="4"/>
  <c r="E54" i="4"/>
  <c r="E53" i="4"/>
  <c r="G53" i="4" s="1"/>
  <c r="G52" i="4"/>
  <c r="E52" i="4"/>
  <c r="G51" i="4"/>
  <c r="E51" i="4"/>
  <c r="G50" i="4"/>
  <c r="E50" i="4"/>
  <c r="E49" i="4"/>
  <c r="G49" i="4" s="1"/>
  <c r="C49" i="4"/>
  <c r="E48" i="4"/>
  <c r="G48" i="4" s="1"/>
  <c r="E47" i="4"/>
  <c r="G47" i="4" s="1"/>
  <c r="E46" i="4"/>
  <c r="E45" i="4" s="1"/>
  <c r="F45" i="4"/>
  <c r="E44" i="4"/>
  <c r="G44" i="4" s="1"/>
  <c r="G43" i="4"/>
  <c r="E43" i="4"/>
  <c r="E42" i="4"/>
  <c r="G42" i="4" s="1"/>
  <c r="E41" i="4"/>
  <c r="G41" i="4" s="1"/>
  <c r="E40" i="4"/>
  <c r="G40" i="4" s="1"/>
  <c r="E39" i="4"/>
  <c r="G39" i="4" s="1"/>
  <c r="E38" i="4"/>
  <c r="G38" i="4" s="1"/>
  <c r="C37" i="4"/>
  <c r="E37" i="4" s="1"/>
  <c r="G37" i="4" s="1"/>
  <c r="F36" i="4"/>
  <c r="F35" i="4" s="1"/>
  <c r="E36" i="4"/>
  <c r="E34" i="4"/>
  <c r="G34" i="4" s="1"/>
  <c r="C32" i="4"/>
  <c r="E32" i="4" s="1"/>
  <c r="F31" i="4"/>
  <c r="G30" i="4"/>
  <c r="E30" i="4"/>
  <c r="F29" i="4"/>
  <c r="E29" i="4"/>
  <c r="G29" i="4" s="1"/>
  <c r="G28" i="4" s="1"/>
  <c r="C29" i="4"/>
  <c r="F28" i="4"/>
  <c r="E28" i="4"/>
  <c r="E27" i="4"/>
  <c r="G27" i="4" s="1"/>
  <c r="F26" i="4"/>
  <c r="E26" i="4"/>
  <c r="E25" i="4"/>
  <c r="G25" i="4" s="1"/>
  <c r="F23" i="4"/>
  <c r="E23" i="4"/>
  <c r="F22" i="4"/>
  <c r="E22" i="4"/>
  <c r="G22" i="4" s="1"/>
  <c r="F21" i="4"/>
  <c r="E21" i="4"/>
  <c r="G21" i="4" s="1"/>
  <c r="I20" i="4"/>
  <c r="C20" i="4"/>
  <c r="E20" i="4" s="1"/>
  <c r="F19" i="4"/>
  <c r="E19" i="4"/>
  <c r="G18" i="4"/>
  <c r="E18" i="4"/>
  <c r="E17" i="4"/>
  <c r="G17" i="4" s="1"/>
  <c r="E16" i="4"/>
  <c r="G16" i="4" s="1"/>
  <c r="E15" i="4"/>
  <c r="G15" i="4" s="1"/>
  <c r="F14" i="4"/>
  <c r="E14" i="4"/>
  <c r="G14" i="4" s="1"/>
  <c r="C14" i="4"/>
  <c r="F13" i="4"/>
  <c r="C13" i="4"/>
  <c r="E13" i="4" s="1"/>
  <c r="E12" i="4"/>
  <c r="G12" i="4" s="1"/>
  <c r="E11" i="4"/>
  <c r="G11" i="4" s="1"/>
  <c r="E9" i="4"/>
  <c r="G9" i="4" s="1"/>
  <c r="E8" i="4"/>
  <c r="G8" i="4" s="1"/>
  <c r="G7" i="4"/>
  <c r="E7" i="4"/>
  <c r="E6" i="4"/>
  <c r="G6" i="4" s="1"/>
  <c r="G5" i="4" s="1"/>
  <c r="F5" i="4"/>
  <c r="E5" i="4"/>
  <c r="G4" i="4"/>
  <c r="G3" i="4" s="1"/>
  <c r="E4" i="4"/>
  <c r="F3" i="4"/>
  <c r="E3" i="4"/>
  <c r="E74" i="8" l="1"/>
  <c r="E45" i="8"/>
  <c r="G12" i="7"/>
  <c r="F66" i="7"/>
  <c r="G72" i="7"/>
  <c r="G71" i="7" s="1"/>
  <c r="G3" i="7"/>
  <c r="G68" i="7"/>
  <c r="G66" i="7" s="1"/>
  <c r="G23" i="7"/>
  <c r="G22" i="7" s="1"/>
  <c r="E22" i="7"/>
  <c r="E43" i="7"/>
  <c r="G60" i="7"/>
  <c r="G8" i="7"/>
  <c r="D23" i="3"/>
  <c r="D9" i="3"/>
  <c r="B24" i="3"/>
  <c r="E22" i="8"/>
  <c r="E36" i="8"/>
  <c r="E5" i="8"/>
  <c r="E60" i="8"/>
  <c r="E8" i="8"/>
  <c r="E26" i="8"/>
  <c r="G42" i="7"/>
  <c r="E33" i="7"/>
  <c r="G35" i="7"/>
  <c r="G27" i="7"/>
  <c r="G26" i="7" s="1"/>
  <c r="E26" i="7"/>
  <c r="F8" i="7"/>
  <c r="G65" i="7"/>
  <c r="G64" i="7" s="1"/>
  <c r="F64" i="7"/>
  <c r="G57" i="7"/>
  <c r="E66" i="7"/>
  <c r="F63" i="7"/>
  <c r="F61" i="7" s="1"/>
  <c r="G44" i="7"/>
  <c r="G43" i="7" s="1"/>
  <c r="E30" i="7"/>
  <c r="E18" i="7"/>
  <c r="G18" i="7" s="1"/>
  <c r="E57" i="7"/>
  <c r="E61" i="7"/>
  <c r="F57" i="7"/>
  <c r="G34" i="7"/>
  <c r="G26" i="4"/>
  <c r="G24" i="4" s="1"/>
  <c r="G19" i="4"/>
  <c r="G23" i="4"/>
  <c r="G62" i="4"/>
  <c r="F64" i="4"/>
  <c r="F63" i="4" s="1"/>
  <c r="E63" i="4"/>
  <c r="G32" i="4"/>
  <c r="G13" i="4"/>
  <c r="G10" i="4" s="1"/>
  <c r="E10" i="4"/>
  <c r="E35" i="4"/>
  <c r="G59" i="4"/>
  <c r="G20" i="4"/>
  <c r="G46" i="4"/>
  <c r="G45" i="4" s="1"/>
  <c r="G74" i="4"/>
  <c r="G73" i="4" s="1"/>
  <c r="F20" i="4"/>
  <c r="F10" i="4" s="1"/>
  <c r="F77" i="4" s="1"/>
  <c r="E24" i="4"/>
  <c r="E59" i="4"/>
  <c r="F24" i="4"/>
  <c r="C33" i="4"/>
  <c r="E33" i="4" s="1"/>
  <c r="G33" i="4" s="1"/>
  <c r="F59" i="4"/>
  <c r="G36" i="4"/>
  <c r="G35" i="4" s="1"/>
  <c r="E68" i="4"/>
  <c r="C24" i="3" l="1"/>
  <c r="D24" i="3" s="1"/>
  <c r="F75" i="7"/>
  <c r="E8" i="7"/>
  <c r="B15" i="3"/>
  <c r="B14" i="3"/>
  <c r="E30" i="8"/>
  <c r="D3" i="8" s="1"/>
  <c r="C84" i="8" s="1"/>
  <c r="E84" i="8" s="1"/>
  <c r="G63" i="7"/>
  <c r="G61" i="7" s="1"/>
  <c r="E29" i="7"/>
  <c r="G30" i="7"/>
  <c r="G29" i="7" s="1"/>
  <c r="G33" i="7"/>
  <c r="G31" i="4"/>
  <c r="G77" i="4" s="1"/>
  <c r="G64" i="4"/>
  <c r="G63" i="4" s="1"/>
  <c r="E31" i="4"/>
  <c r="E77" i="4" s="1"/>
  <c r="E79" i="4" s="1"/>
  <c r="E83" i="8" l="1"/>
  <c r="B36" i="3"/>
  <c r="B45" i="3" s="1"/>
  <c r="B16" i="3"/>
  <c r="B18" i="3" s="1"/>
  <c r="B25" i="3" s="1"/>
  <c r="C25" i="3"/>
  <c r="E75" i="7"/>
  <c r="C22" i="3"/>
  <c r="G75" i="7"/>
  <c r="G82" i="4"/>
  <c r="C26" i="3" l="1"/>
  <c r="D25" i="3"/>
  <c r="F82" i="7"/>
  <c r="E82" i="7" l="1"/>
  <c r="G82" i="7" s="1"/>
  <c r="B8" i="3"/>
  <c r="B10" i="3" l="1"/>
  <c r="D10" i="3" s="1"/>
  <c r="B22" i="3"/>
  <c r="D8" i="3"/>
  <c r="D22" i="3" l="1"/>
  <c r="D26" i="3" s="1"/>
  <c r="B26" i="3"/>
  <c r="B30" i="3" s="1"/>
  <c r="B31" i="3" s="1"/>
  <c r="D27" i="3" l="1"/>
  <c r="E88" i="8" l="1"/>
  <c r="E11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tc={A275B3CD-5EB1-43EF-8052-20BC0A3B5009}</author>
  </authors>
  <commentList>
    <comment ref="F24" authorId="0" shapeId="0" xr:uid="{A275B3CD-5EB1-43EF-8052-20BC0A3B5009}">
      <text>
        <t>[Threaded comment]
Your version of Excel allows you to read this threaded comment; however, any edits to it will get removed if the file is opened in a newer version of Excel. Learn more: https://go.microsoft.com/fwlink/?linkid=870924
Comment:
    HALF OF DELIVERY FEE.  REMAINDER OF FEE IN COMMON AREA</t>
      </text>
    </comment>
  </commentList>
</comments>
</file>

<file path=xl/sharedStrings.xml><?xml version="1.0" encoding="utf-8"?>
<sst xmlns="http://schemas.openxmlformats.org/spreadsheetml/2006/main" count="530" uniqueCount="165">
  <si>
    <t>Paint Ceiling</t>
  </si>
  <si>
    <t>Doors</t>
  </si>
  <si>
    <t>120v Receptacles</t>
  </si>
  <si>
    <t>120v GFCI Receptacles</t>
  </si>
  <si>
    <t>Cable &amp; Phone Jack Covers</t>
  </si>
  <si>
    <t>Toilet New - Standard</t>
  </si>
  <si>
    <t>Move-in Ready</t>
  </si>
  <si>
    <t>Tile Tub Surround (sq ft)</t>
  </si>
  <si>
    <t>Contingency</t>
  </si>
  <si>
    <t>Supervision</t>
  </si>
  <si>
    <t>Back Splash (sq ft) - Kitchen and Vanity</t>
  </si>
  <si>
    <t>New Tub</t>
  </si>
  <si>
    <t>Mirror</t>
  </si>
  <si>
    <t>Light Fixture - Vanity Light</t>
  </si>
  <si>
    <t>Paint Walls, Doors, Trim</t>
  </si>
  <si>
    <t>Door Hardware (handle, hinges, and door stops)</t>
  </si>
  <si>
    <t>New Shower Valve and Trim Kit; includes Rough-in</t>
  </si>
  <si>
    <t>Tub Surround Boarding</t>
  </si>
  <si>
    <t>Replace Thermostat</t>
  </si>
  <si>
    <t>Replace Smoke/CO Detector</t>
  </si>
  <si>
    <t>USB Receptacle</t>
  </si>
  <si>
    <t>Horizontal</t>
  </si>
  <si>
    <t>Vertical</t>
  </si>
  <si>
    <t>Dishwasher - Supply and Install - Stainless Steel</t>
  </si>
  <si>
    <t>Light Fixture - Surface Mount Globe</t>
  </si>
  <si>
    <t>Shut off valves</t>
  </si>
  <si>
    <t>UNITS</t>
  </si>
  <si>
    <t>LN FT</t>
  </si>
  <si>
    <t>EACH</t>
  </si>
  <si>
    <t>SQFT</t>
  </si>
  <si>
    <t>Floor Vinyl</t>
  </si>
  <si>
    <t>Baseboards</t>
  </si>
  <si>
    <t>SET</t>
  </si>
  <si>
    <t>PER UNIT</t>
  </si>
  <si>
    <t>Suite Door Closer</t>
  </si>
  <si>
    <t>Carpet with underlay</t>
  </si>
  <si>
    <t>Light Fixture - Kitchen</t>
  </si>
  <si>
    <t>New fire rated Entry Suite Door</t>
  </si>
  <si>
    <t>Removal of existing flooring and disposal</t>
  </si>
  <si>
    <t>Range, Fridge, and Hood fan - Stainless Steel</t>
  </si>
  <si>
    <t>QTY</t>
  </si>
  <si>
    <t>TOTAL</t>
  </si>
  <si>
    <t>RATE</t>
  </si>
  <si>
    <t>Kitchen Cabinets (upper &amp; lower) (linear ft)</t>
  </si>
  <si>
    <t>Kitchen Counters (linear ft)</t>
  </si>
  <si>
    <t>Bathroom Vanity  (3 ft)</t>
  </si>
  <si>
    <t>up to 2 ft</t>
  </si>
  <si>
    <t>Appliance Install</t>
  </si>
  <si>
    <t>Hood Fan Installation</t>
  </si>
  <si>
    <t>Float Wall to Flat Texture</t>
  </si>
  <si>
    <t>Drywalled Ceiling including Insulation Texture Ceiling</t>
  </si>
  <si>
    <t>Kitchen Sink - w/ p trap</t>
  </si>
  <si>
    <t>Kitchen Faucet</t>
  </si>
  <si>
    <t>Bathroom Sink - w/ p trap</t>
  </si>
  <si>
    <t>Bathroom Faucet</t>
  </si>
  <si>
    <t>OUR COST</t>
  </si>
  <si>
    <t>PROFIT</t>
  </si>
  <si>
    <t>24" x 24" Janitor Sink</t>
  </si>
  <si>
    <t>Window and Door Casing</t>
  </si>
  <si>
    <t>Shower Surrounds, Damage Ceilings, and Kitchens as per scope</t>
  </si>
  <si>
    <t>Light Switches</t>
  </si>
  <si>
    <t>Towel bar, toilet paper holder and shower rod</t>
  </si>
  <si>
    <t>price per unit without abatement</t>
  </si>
  <si>
    <t>Run Power for Dishwasher</t>
  </si>
  <si>
    <t>Kilz Primer</t>
  </si>
  <si>
    <t>Closet Doors - Bypass over 72"W - upto 96"W</t>
  </si>
  <si>
    <t>Closet Doors - Bypass over 60"W - upto 72"W</t>
  </si>
  <si>
    <t>Closet Doors - Bypass over 48"W - upto 60"W</t>
  </si>
  <si>
    <t>Closet Doors - Bypass upto 48"W and bifolds upto 36"W</t>
  </si>
  <si>
    <t>Closet Shelves and Rod (Price per closet/storage room)</t>
  </si>
  <si>
    <t>General on site labour</t>
  </si>
  <si>
    <t>Supply and install Bathroom Fan</t>
  </si>
  <si>
    <t>PO Box 13012
Calgary RPO Beltline, AB
T2R 1C6
info@luminovas.ca
Phone: 587-320-0261</t>
  </si>
  <si>
    <t>Relocate Range Outlet</t>
  </si>
  <si>
    <t>*half of delivery fee</t>
  </si>
  <si>
    <t>ABATEMENT</t>
  </si>
  <si>
    <t>DRYWALL</t>
  </si>
  <si>
    <t>FINISHING</t>
  </si>
  <si>
    <t>FLOORING</t>
  </si>
  <si>
    <t>TILING</t>
  </si>
  <si>
    <t>CABINETS</t>
  </si>
  <si>
    <t>PLUMBING</t>
  </si>
  <si>
    <t>ELECTRICAL</t>
  </si>
  <si>
    <t>PAINTING</t>
  </si>
  <si>
    <t>BLINDS</t>
  </si>
  <si>
    <t>CLEANING</t>
  </si>
  <si>
    <t>APPLIANCES</t>
  </si>
  <si>
    <t>MISCELLANEOUS</t>
  </si>
  <si>
    <t>AVG $/UNIT</t>
  </si>
  <si>
    <t>Baseboards MDF as per Spec</t>
  </si>
  <si>
    <t>BASE SCOPE REBUILD - SEE DETAILED BREAK DOWN</t>
  </si>
  <si>
    <t>LAUNDRY ROOM - SEE DETAILED BREAK DOWN</t>
  </si>
  <si>
    <t>STORAGE ROOM - SEE DETAILED BREAK DOWN</t>
  </si>
  <si>
    <t>HALLWAYS &amp; STAIRWELLS - SEE DETAILED BREAK DOWN</t>
  </si>
  <si>
    <t>OPTIONAL UPGRADES (REMAINING CEILING TILES)</t>
  </si>
  <si>
    <t>TOTAL PROJECT SUMMARY</t>
  </si>
  <si>
    <t>CHARGE</t>
  </si>
  <si>
    <t>COST</t>
  </si>
  <si>
    <t>UNITS - BASE SCOPE</t>
  </si>
  <si>
    <t>UNIT UPGRADES</t>
  </si>
  <si>
    <t>COMMON AREAS</t>
  </si>
  <si>
    <t>GRAND TOTAL - NOT INCLUDING GST</t>
  </si>
  <si>
    <t>OPTIONAL UPGRADES - SEE DETAILED BREAK DOWN</t>
  </si>
  <si>
    <t>WYNDHAM CROSSING B BUILDING REBUILD UNITS</t>
  </si>
  <si>
    <t>WYNDHAM CROSSING B BUILDING - ABATEMENT</t>
  </si>
  <si>
    <t>WYNDHAM CROSSING B BUILDING COMMON AREAS</t>
  </si>
  <si>
    <t>General Conditions - Site Security, Delivery, and Storage</t>
  </si>
  <si>
    <t>HALL</t>
  </si>
  <si>
    <t>TOTAL - NOT INCLUDING GST</t>
  </si>
  <si>
    <t>TOTAL  - NOT INCLUDING GST</t>
  </si>
  <si>
    <t>New 20 min fire rated Entry Suite Door</t>
  </si>
  <si>
    <t>500 4th Avenue Suite 2500
Calgary , AB
T2P 2V6
info@luminovas.ca
Phone: 587-320-0261</t>
  </si>
  <si>
    <t>Mud and tape walls</t>
  </si>
  <si>
    <t>no interior doors</t>
  </si>
  <si>
    <t>just insurance</t>
  </si>
  <si>
    <t>new doors, new bathroom (keep bathtub and existing tile)</t>
  </si>
  <si>
    <t>Light Fixture - Surface Mount Globe or wall mount light</t>
  </si>
  <si>
    <t>Demo and Disposal</t>
  </si>
  <si>
    <t>UNIT 1101</t>
  </si>
  <si>
    <t>UNIT</t>
  </si>
  <si>
    <t>UNIT 1001</t>
  </si>
  <si>
    <t>UNIT 901</t>
  </si>
  <si>
    <t>UNIT 801</t>
  </si>
  <si>
    <t>UNIT 701</t>
  </si>
  <si>
    <t>New Window AC units</t>
  </si>
  <si>
    <t>HALLWAYS</t>
  </si>
  <si>
    <t>per lnft</t>
  </si>
  <si>
    <t>per sqft</t>
  </si>
  <si>
    <t>Lot</t>
  </si>
  <si>
    <t>Carpet Tile</t>
  </si>
  <si>
    <t>Grand Total not including GST</t>
  </si>
  <si>
    <t>Kitchen Cabinets upper and lower (linear ft)</t>
  </si>
  <si>
    <t>Kitchen Island</t>
  </si>
  <si>
    <t>Long distance surcharge (greater than 3hrs from Calgary)</t>
  </si>
  <si>
    <t>EXTERIOR UNIT 1101 AND 1001</t>
  </si>
  <si>
    <t>OFFICE</t>
  </si>
  <si>
    <t>BOILER ROOM AND ADJACENT HALLWAY</t>
  </si>
  <si>
    <t>DESCIPTION</t>
  </si>
  <si>
    <t>2 BED</t>
  </si>
  <si>
    <t>3 BED</t>
  </si>
  <si>
    <t>1 BED</t>
  </si>
  <si>
    <t>Replace electrical Panel</t>
  </si>
  <si>
    <t>Primer</t>
  </si>
  <si>
    <t>Bathroom Vanity  (&gt;3 ft)</t>
  </si>
  <si>
    <t>Replace KITCHEN wire only.  Upgrade to current code</t>
  </si>
  <si>
    <t>COMMON AREA</t>
  </si>
  <si>
    <t>Drywall in hallways and landings - Walls</t>
  </si>
  <si>
    <t>Drywall in hallways and landings - Ceilings</t>
  </si>
  <si>
    <t>Rubber Stair Treads</t>
  </si>
  <si>
    <t>Gypocrete topping in Unit 4308</t>
  </si>
  <si>
    <t>Duct Replacement</t>
  </si>
  <si>
    <t>LOT</t>
  </si>
  <si>
    <t>UNIT SUMMARY</t>
  </si>
  <si>
    <t>3 BEDROOM</t>
  </si>
  <si>
    <t>2 BEDROOM</t>
  </si>
  <si>
    <t>1 BEDROOM</t>
  </si>
  <si>
    <t>Blown in insulation in attic and affected exterior walls</t>
  </si>
  <si>
    <t>240v Receptacles</t>
  </si>
  <si>
    <t>Field inspect</t>
  </si>
  <si>
    <t>Contingency Common areas</t>
  </si>
  <si>
    <t>VCT Tile</t>
  </si>
  <si>
    <t>Grand Total not including GST&amp;PST</t>
  </si>
  <si>
    <t>Replace all burned or damage electrical wiring</t>
  </si>
  <si>
    <t>Electrical commisioning and life safety</t>
  </si>
  <si>
    <t>5-Piece Alcove Polystyrene Tub Surround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</si>
</sst>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"/>
    <numFmt numFmtId="165" formatCode="0.0%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63C4A"/>
      <name val="Aptos Display"/>
      <family val="2"/>
    </font>
    <font>
      <b/>
      <sz val="10"/>
      <color theme="6" tint="-0.249977111117893"/>
      <name val="Aptos Display"/>
      <family val="2"/>
    </font>
    <font>
      <b/>
      <sz val="20"/>
      <color theme="1"/>
      <name val="Aptos Display"/>
      <family val="2"/>
    </font>
    <font>
      <sz val="11"/>
      <color theme="1"/>
      <name val="Aptos Display"/>
      <family val="2"/>
    </font>
    <font>
      <b/>
      <sz val="12"/>
      <color theme="0"/>
      <name val="Aptos Display"/>
      <family val="2"/>
    </font>
    <font>
      <sz val="10"/>
      <color theme="1"/>
      <name val="Aptos Display"/>
      <family val="2"/>
    </font>
    <font>
      <b/>
      <sz val="10"/>
      <color theme="0"/>
      <name val="Aptos Display"/>
      <family val="2"/>
    </font>
    <font>
      <b/>
      <sz val="10"/>
      <name val="Aptos Display"/>
      <family val="2"/>
    </font>
    <font>
      <b/>
      <sz val="10"/>
      <color theme="1"/>
      <name val="Aptos Display"/>
      <family val="2"/>
    </font>
    <font>
      <sz val="12"/>
      <color theme="1"/>
      <name val="Aptos Display"/>
      <family val="2"/>
    </font>
    <font>
      <b/>
      <sz val="12"/>
      <name val="Aptos Display"/>
      <family val="2"/>
    </font>
    <font>
      <b/>
      <sz val="9"/>
      <name val="Aptos Display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63C4A"/>
        <bgColor indexed="64"/>
      </patternFill>
    </fill>
    <fill>
      <patternFill patternType="solid">
        <fgColor rgb="FFDDD7D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3">
    <xf numFmtId="0" fontId="0" fillId="0" borderId="0" xfId="0"/>
    <xf numFmtId="0" fontId="3" fillId="5" borderId="0" xfId="0" applyFont="1" applyFill="1" applyAlignment="1">
      <alignment horizontal="left" vertical="center" wrapText="1" indent="18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6" borderId="1" xfId="0" applyFont="1" applyFill="1" applyBorder="1" applyAlignment="1">
      <alignment vertical="top"/>
    </xf>
    <xf numFmtId="164" fontId="7" fillId="6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vertical="top"/>
    </xf>
    <xf numFmtId="164" fontId="10" fillId="2" borderId="1" xfId="0" applyNumberFormat="1" applyFont="1" applyFill="1" applyBorder="1" applyAlignment="1">
      <alignment vertical="top"/>
    </xf>
    <xf numFmtId="164" fontId="10" fillId="2" borderId="1" xfId="0" applyNumberFormat="1" applyFont="1" applyFill="1" applyBorder="1" applyAlignment="1">
      <alignment vertical="top" wrapText="1"/>
    </xf>
    <xf numFmtId="44" fontId="8" fillId="0" borderId="0" xfId="1" applyFont="1"/>
    <xf numFmtId="164" fontId="10" fillId="3" borderId="1" xfId="0" applyNumberFormat="1" applyFont="1" applyFill="1" applyBorder="1" applyAlignment="1">
      <alignment vertical="top"/>
    </xf>
    <xf numFmtId="0" fontId="11" fillId="0" borderId="0" xfId="0" applyFont="1"/>
    <xf numFmtId="0" fontId="8" fillId="0" borderId="0" xfId="0" applyFont="1" applyAlignment="1">
      <alignment horizontal="center" vertical="top"/>
    </xf>
    <xf numFmtId="1" fontId="8" fillId="0" borderId="0" xfId="0" applyNumberFormat="1" applyFont="1" applyAlignment="1">
      <alignment vertical="top"/>
    </xf>
    <xf numFmtId="0" fontId="8" fillId="0" borderId="0" xfId="0" applyFont="1" applyAlignment="1">
      <alignment horizontal="right" vertical="top"/>
    </xf>
    <xf numFmtId="0" fontId="10" fillId="7" borderId="1" xfId="0" applyFont="1" applyFill="1" applyBorder="1"/>
    <xf numFmtId="164" fontId="10" fillId="7" borderId="1" xfId="0" applyNumberFormat="1" applyFont="1" applyFill="1" applyBorder="1" applyAlignment="1">
      <alignment horizontal="center" vertical="top"/>
    </xf>
    <xf numFmtId="1" fontId="10" fillId="7" borderId="1" xfId="0" applyNumberFormat="1" applyFont="1" applyFill="1" applyBorder="1" applyAlignment="1">
      <alignment vertical="top"/>
    </xf>
    <xf numFmtId="164" fontId="10" fillId="7" borderId="1" xfId="0" applyNumberFormat="1" applyFont="1" applyFill="1" applyBorder="1" applyAlignment="1">
      <alignment vertical="top"/>
    </xf>
    <xf numFmtId="0" fontId="10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top"/>
    </xf>
    <xf numFmtId="164" fontId="10" fillId="7" borderId="1" xfId="0" applyNumberFormat="1" applyFont="1" applyFill="1" applyBorder="1" applyAlignment="1">
      <alignment horizontal="center" vertical="top" wrapText="1"/>
    </xf>
    <xf numFmtId="1" fontId="10" fillId="7" borderId="1" xfId="0" applyNumberFormat="1" applyFont="1" applyFill="1" applyBorder="1" applyAlignment="1">
      <alignment vertical="top" wrapText="1"/>
    </xf>
    <xf numFmtId="164" fontId="10" fillId="7" borderId="1" xfId="0" applyNumberFormat="1" applyFont="1" applyFill="1" applyBorder="1" applyAlignment="1">
      <alignment vertical="top" wrapText="1"/>
    </xf>
    <xf numFmtId="9" fontId="8" fillId="0" borderId="0" xfId="2" applyFont="1" applyAlignment="1">
      <alignment vertical="top"/>
    </xf>
    <xf numFmtId="0" fontId="9" fillId="6" borderId="2" xfId="0" applyFont="1" applyFill="1" applyBorder="1" applyAlignment="1">
      <alignment vertical="top" wrapText="1"/>
    </xf>
    <xf numFmtId="0" fontId="9" fillId="6" borderId="3" xfId="0" applyFont="1" applyFill="1" applyBorder="1" applyAlignment="1">
      <alignment vertical="top" wrapText="1"/>
    </xf>
    <xf numFmtId="2" fontId="8" fillId="0" borderId="0" xfId="0" applyNumberFormat="1" applyFont="1" applyAlignment="1">
      <alignment vertical="top"/>
    </xf>
    <xf numFmtId="164" fontId="10" fillId="4" borderId="1" xfId="0" applyNumberFormat="1" applyFont="1" applyFill="1" applyBorder="1" applyAlignment="1">
      <alignment vertical="top" wrapText="1"/>
    </xf>
    <xf numFmtId="164" fontId="10" fillId="8" borderId="1" xfId="0" applyNumberFormat="1" applyFont="1" applyFill="1" applyBorder="1" applyAlignment="1">
      <alignment vertical="top"/>
    </xf>
    <xf numFmtId="164" fontId="10" fillId="8" borderId="1" xfId="0" applyNumberFormat="1" applyFont="1" applyFill="1" applyBorder="1" applyAlignment="1">
      <alignment vertical="top" wrapText="1"/>
    </xf>
    <xf numFmtId="0" fontId="9" fillId="6" borderId="4" xfId="0" applyFont="1" applyFill="1" applyBorder="1" applyAlignment="1">
      <alignment horizontal="right" vertical="top" wrapText="1"/>
    </xf>
    <xf numFmtId="44" fontId="8" fillId="0" borderId="0" xfId="1" applyFont="1" applyAlignment="1">
      <alignment vertical="top"/>
    </xf>
    <xf numFmtId="9" fontId="8" fillId="0" borderId="0" xfId="2" applyFont="1"/>
    <xf numFmtId="164" fontId="10" fillId="7" borderId="1" xfId="0" applyNumberFormat="1" applyFont="1" applyFill="1" applyBorder="1" applyAlignment="1">
      <alignment horizontal="right" vertical="top"/>
    </xf>
    <xf numFmtId="164" fontId="10" fillId="7" borderId="1" xfId="0" applyNumberFormat="1" applyFont="1" applyFill="1" applyBorder="1" applyAlignment="1">
      <alignment horizontal="right" vertical="top" wrapText="1"/>
    </xf>
    <xf numFmtId="1" fontId="10" fillId="7" borderId="1" xfId="0" applyNumberFormat="1" applyFont="1" applyFill="1" applyBorder="1" applyAlignment="1">
      <alignment horizontal="center" vertical="top"/>
    </xf>
    <xf numFmtId="1" fontId="10" fillId="7" borderId="1" xfId="0" applyNumberFormat="1" applyFont="1" applyFill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 vertical="top"/>
    </xf>
    <xf numFmtId="44" fontId="10" fillId="7" borderId="1" xfId="1" applyFont="1" applyFill="1" applyBorder="1" applyAlignment="1">
      <alignment horizontal="right" vertical="top"/>
    </xf>
    <xf numFmtId="44" fontId="10" fillId="7" borderId="1" xfId="1" applyFont="1" applyFill="1" applyBorder="1" applyAlignment="1">
      <alignment horizontal="right" vertical="top" wrapText="1"/>
    </xf>
    <xf numFmtId="164" fontId="10" fillId="7" borderId="1" xfId="1" applyNumberFormat="1" applyFont="1" applyFill="1" applyBorder="1" applyAlignment="1">
      <alignment horizontal="right" vertical="top"/>
    </xf>
    <xf numFmtId="165" fontId="9" fillId="6" borderId="3" xfId="2" applyNumberFormat="1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164" fontId="7" fillId="6" borderId="3" xfId="0" applyNumberFormat="1" applyFont="1" applyFill="1" applyBorder="1" applyAlignment="1">
      <alignment vertical="top" wrapText="1"/>
    </xf>
    <xf numFmtId="0" fontId="7" fillId="6" borderId="3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12" fillId="0" borderId="0" xfId="0" applyFont="1"/>
    <xf numFmtId="44" fontId="8" fillId="0" borderId="0" xfId="0" applyNumberFormat="1" applyFont="1"/>
    <xf numFmtId="164" fontId="12" fillId="0" borderId="0" xfId="0" applyNumberFormat="1" applyFont="1"/>
    <xf numFmtId="164" fontId="7" fillId="6" borderId="6" xfId="0" applyNumberFormat="1" applyFont="1" applyFill="1" applyBorder="1" applyAlignment="1">
      <alignment vertical="center"/>
    </xf>
    <xf numFmtId="44" fontId="8" fillId="0" borderId="0" xfId="1" applyFont="1" applyAlignment="1">
      <alignment horizontal="center" vertical="top"/>
    </xf>
    <xf numFmtId="164" fontId="10" fillId="0" borderId="1" xfId="0" applyNumberFormat="1" applyFont="1" applyBorder="1" applyAlignment="1">
      <alignment vertical="top"/>
    </xf>
    <xf numFmtId="164" fontId="4" fillId="5" borderId="0" xfId="0" applyNumberFormat="1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 wrapText="1" indent="11"/>
    </xf>
    <xf numFmtId="164" fontId="10" fillId="0" borderId="2" xfId="0" applyNumberFormat="1" applyFont="1" applyBorder="1" applyAlignment="1">
      <alignment horizontal="center" vertical="top"/>
    </xf>
    <xf numFmtId="1" fontId="13" fillId="9" borderId="7" xfId="0" applyNumberFormat="1" applyFont="1" applyFill="1" applyBorder="1" applyAlignment="1">
      <alignment horizontal="center" vertical="center" wrapText="1"/>
    </xf>
    <xf numFmtId="164" fontId="13" fillId="9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vertical="top"/>
    </xf>
    <xf numFmtId="1" fontId="10" fillId="0" borderId="7" xfId="0" applyNumberFormat="1" applyFont="1" applyBorder="1" applyAlignment="1">
      <alignment vertical="top" wrapText="1"/>
    </xf>
    <xf numFmtId="1" fontId="10" fillId="0" borderId="9" xfId="0" applyNumberFormat="1" applyFont="1" applyBorder="1" applyAlignment="1">
      <alignment vertical="top"/>
    </xf>
    <xf numFmtId="164" fontId="10" fillId="0" borderId="1" xfId="0" applyNumberFormat="1" applyFont="1" applyBorder="1" applyAlignment="1">
      <alignment horizontal="center" vertical="top"/>
    </xf>
    <xf numFmtId="164" fontId="10" fillId="0" borderId="1" xfId="0" applyNumberFormat="1" applyFont="1" applyBorder="1" applyAlignment="1">
      <alignment horizontal="center" vertical="top" wrapText="1"/>
    </xf>
    <xf numFmtId="164" fontId="10" fillId="0" borderId="11" xfId="0" applyNumberFormat="1" applyFont="1" applyBorder="1" applyAlignment="1">
      <alignment vertical="top"/>
    </xf>
    <xf numFmtId="1" fontId="10" fillId="2" borderId="7" xfId="0" applyNumberFormat="1" applyFont="1" applyFill="1" applyBorder="1" applyAlignment="1">
      <alignment vertical="top"/>
    </xf>
    <xf numFmtId="164" fontId="10" fillId="2" borderId="8" xfId="0" applyNumberFormat="1" applyFont="1" applyFill="1" applyBorder="1" applyAlignment="1">
      <alignment vertical="top"/>
    </xf>
    <xf numFmtId="1" fontId="10" fillId="2" borderId="7" xfId="0" applyNumberFormat="1" applyFont="1" applyFill="1" applyBorder="1" applyAlignment="1">
      <alignment vertical="top" wrapText="1"/>
    </xf>
    <xf numFmtId="1" fontId="10" fillId="2" borderId="9" xfId="0" applyNumberFormat="1" applyFont="1" applyFill="1" applyBorder="1" applyAlignment="1">
      <alignment vertical="top"/>
    </xf>
    <xf numFmtId="164" fontId="10" fillId="2" borderId="10" xfId="0" applyNumberFormat="1" applyFont="1" applyFill="1" applyBorder="1" applyAlignment="1">
      <alignment vertical="top"/>
    </xf>
    <xf numFmtId="164" fontId="13" fillId="9" borderId="2" xfId="0" applyNumberFormat="1" applyFont="1" applyFill="1" applyBorder="1" applyAlignment="1">
      <alignment horizontal="center" vertical="center" wrapText="1"/>
    </xf>
    <xf numFmtId="164" fontId="10" fillId="0" borderId="2" xfId="0" applyNumberFormat="1" applyFont="1" applyBorder="1" applyAlignment="1">
      <alignment vertical="top"/>
    </xf>
    <xf numFmtId="164" fontId="10" fillId="0" borderId="12" xfId="0" applyNumberFormat="1" applyFont="1" applyBorder="1" applyAlignment="1">
      <alignment vertical="top"/>
    </xf>
    <xf numFmtId="0" fontId="10" fillId="9" borderId="7" xfId="0" applyFont="1" applyFill="1" applyBorder="1" applyAlignment="1">
      <alignment vertical="top" wrapText="1"/>
    </xf>
    <xf numFmtId="0" fontId="10" fillId="9" borderId="8" xfId="0" applyFont="1" applyFill="1" applyBorder="1" applyAlignment="1">
      <alignment horizontal="right" vertical="top" wrapText="1"/>
    </xf>
    <xf numFmtId="0" fontId="10" fillId="9" borderId="2" xfId="0" applyFont="1" applyFill="1" applyBorder="1" applyAlignment="1">
      <alignment horizontal="right" vertical="top" wrapText="1"/>
    </xf>
    <xf numFmtId="164" fontId="13" fillId="9" borderId="1" xfId="0" applyNumberFormat="1" applyFont="1" applyFill="1" applyBorder="1" applyAlignment="1">
      <alignment vertical="center"/>
    </xf>
    <xf numFmtId="164" fontId="13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top" wrapText="1"/>
    </xf>
    <xf numFmtId="164" fontId="13" fillId="9" borderId="13" xfId="0" applyNumberFormat="1" applyFont="1" applyFill="1" applyBorder="1" applyAlignment="1">
      <alignment vertical="center"/>
    </xf>
    <xf numFmtId="164" fontId="13" fillId="9" borderId="16" xfId="0" applyNumberFormat="1" applyFont="1" applyFill="1" applyBorder="1" applyAlignment="1">
      <alignment vertical="center"/>
    </xf>
    <xf numFmtId="164" fontId="13" fillId="9" borderId="14" xfId="0" applyNumberFormat="1" applyFont="1" applyFill="1" applyBorder="1" applyAlignment="1">
      <alignment vertical="center"/>
    </xf>
    <xf numFmtId="164" fontId="13" fillId="9" borderId="7" xfId="0" applyNumberFormat="1" applyFont="1" applyFill="1" applyBorder="1" applyAlignment="1">
      <alignment vertical="center"/>
    </xf>
    <xf numFmtId="164" fontId="13" fillId="9" borderId="8" xfId="0" applyNumberFormat="1" applyFont="1" applyFill="1" applyBorder="1" applyAlignment="1">
      <alignment vertical="center"/>
    </xf>
    <xf numFmtId="0" fontId="13" fillId="9" borderId="7" xfId="0" applyFont="1" applyFill="1" applyBorder="1" applyAlignment="1">
      <alignment vertical="top"/>
    </xf>
    <xf numFmtId="0" fontId="10" fillId="9" borderId="8" xfId="0" applyFont="1" applyFill="1" applyBorder="1" applyAlignment="1">
      <alignment vertical="top" wrapText="1"/>
    </xf>
    <xf numFmtId="0" fontId="10" fillId="0" borderId="7" xfId="0" applyFont="1" applyBorder="1"/>
    <xf numFmtId="164" fontId="10" fillId="0" borderId="8" xfId="0" applyNumberFormat="1" applyFont="1" applyBorder="1" applyAlignment="1">
      <alignment vertical="top"/>
    </xf>
    <xf numFmtId="0" fontId="10" fillId="0" borderId="7" xfId="0" applyFont="1" applyBorder="1" applyAlignment="1">
      <alignment vertical="top" wrapText="1"/>
    </xf>
    <xf numFmtId="0" fontId="10" fillId="0" borderId="7" xfId="0" applyFont="1" applyBorder="1" applyAlignment="1">
      <alignment vertical="top"/>
    </xf>
    <xf numFmtId="164" fontId="10" fillId="0" borderId="8" xfId="0" applyNumberFormat="1" applyFont="1" applyBorder="1" applyAlignment="1">
      <alignment vertical="top" wrapText="1"/>
    </xf>
    <xf numFmtId="0" fontId="14" fillId="0" borderId="7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164" fontId="10" fillId="0" borderId="17" xfId="0" applyNumberFormat="1" applyFont="1" applyBorder="1" applyAlignment="1">
      <alignment horizontal="center" vertical="top"/>
    </xf>
    <xf numFmtId="164" fontId="10" fillId="0" borderId="10" xfId="0" applyNumberFormat="1" applyFont="1" applyBorder="1" applyAlignment="1">
      <alignment vertical="top"/>
    </xf>
    <xf numFmtId="164" fontId="7" fillId="6" borderId="1" xfId="0" applyNumberFormat="1" applyFont="1" applyFill="1" applyBorder="1" applyAlignment="1">
      <alignment horizontal="right" vertical="center"/>
    </xf>
    <xf numFmtId="164" fontId="7" fillId="6" borderId="3" xfId="0" applyNumberFormat="1" applyFont="1" applyFill="1" applyBorder="1" applyAlignment="1">
      <alignment horizontal="right" vertical="top" wrapText="1"/>
    </xf>
    <xf numFmtId="164" fontId="8" fillId="0" borderId="0" xfId="0" applyNumberFormat="1" applyFont="1" applyAlignment="1">
      <alignment horizontal="right" vertical="top"/>
    </xf>
    <xf numFmtId="1" fontId="8" fillId="0" borderId="0" xfId="0" applyNumberFormat="1" applyFont="1" applyAlignment="1">
      <alignment horizontal="right" vertical="top"/>
    </xf>
    <xf numFmtId="164" fontId="10" fillId="0" borderId="8" xfId="0" applyNumberFormat="1" applyFont="1" applyBorder="1" applyAlignment="1">
      <alignment horizontal="right" vertical="top"/>
    </xf>
    <xf numFmtId="0" fontId="10" fillId="9" borderId="13" xfId="0" applyFont="1" applyFill="1" applyBorder="1" applyAlignment="1">
      <alignment vertical="top" wrapText="1"/>
    </xf>
    <xf numFmtId="0" fontId="10" fillId="9" borderId="14" xfId="0" applyFont="1" applyFill="1" applyBorder="1" applyAlignment="1">
      <alignment horizontal="center" vertical="top" wrapText="1"/>
    </xf>
    <xf numFmtId="0" fontId="13" fillId="9" borderId="18" xfId="0" applyFont="1" applyFill="1" applyBorder="1" applyAlignment="1">
      <alignment vertical="top" wrapText="1"/>
    </xf>
    <xf numFmtId="164" fontId="13" fillId="9" borderId="19" xfId="0" applyNumberFormat="1" applyFont="1" applyFill="1" applyBorder="1" applyAlignment="1">
      <alignment horizontal="right" vertical="top" wrapText="1"/>
    </xf>
    <xf numFmtId="0" fontId="10" fillId="9" borderId="20" xfId="0" applyFont="1" applyFill="1" applyBorder="1" applyAlignment="1">
      <alignment vertical="top" wrapText="1"/>
    </xf>
    <xf numFmtId="0" fontId="10" fillId="9" borderId="21" xfId="0" applyFont="1" applyFill="1" applyBorder="1" applyAlignment="1">
      <alignment vertical="top" wrapText="1"/>
    </xf>
    <xf numFmtId="0" fontId="10" fillId="9" borderId="22" xfId="0" applyFont="1" applyFill="1" applyBorder="1" applyAlignment="1">
      <alignment horizontal="right" vertical="top" wrapText="1"/>
    </xf>
    <xf numFmtId="164" fontId="10" fillId="0" borderId="17" xfId="0" applyNumberFormat="1" applyFont="1" applyBorder="1" applyAlignment="1">
      <alignment horizontal="center" vertical="top" wrapText="1"/>
    </xf>
    <xf numFmtId="1" fontId="10" fillId="2" borderId="9" xfId="0" applyNumberFormat="1" applyFont="1" applyFill="1" applyBorder="1" applyAlignment="1">
      <alignment vertical="top" wrapText="1"/>
    </xf>
    <xf numFmtId="0" fontId="10" fillId="9" borderId="23" xfId="0" applyFont="1" applyFill="1" applyBorder="1" applyAlignment="1">
      <alignment vertical="top" wrapText="1"/>
    </xf>
    <xf numFmtId="0" fontId="10" fillId="9" borderId="24" xfId="0" applyFont="1" applyFill="1" applyBorder="1" applyAlignment="1">
      <alignment vertical="top" wrapText="1"/>
    </xf>
    <xf numFmtId="164" fontId="10" fillId="9" borderId="25" xfId="0" applyNumberFormat="1" applyFont="1" applyFill="1" applyBorder="1" applyAlignment="1">
      <alignment horizontal="right" vertical="top" wrapText="1"/>
    </xf>
    <xf numFmtId="0" fontId="10" fillId="0" borderId="9" xfId="0" applyFont="1" applyBorder="1"/>
    <xf numFmtId="9" fontId="10" fillId="0" borderId="17" xfId="2" applyFont="1" applyBorder="1" applyAlignment="1">
      <alignment horizontal="center" vertical="top" wrapText="1"/>
    </xf>
    <xf numFmtId="9" fontId="10" fillId="2" borderId="9" xfId="2" applyFont="1" applyFill="1" applyBorder="1" applyAlignment="1">
      <alignment vertical="top" wrapText="1"/>
    </xf>
    <xf numFmtId="164" fontId="8" fillId="0" borderId="0" xfId="0" applyNumberFormat="1" applyFont="1"/>
    <xf numFmtId="164" fontId="13" fillId="0" borderId="7" xfId="0" applyNumberFormat="1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4" fillId="5" borderId="0" xfId="0" applyNumberFormat="1" applyFont="1" applyFill="1" applyAlignment="1">
      <alignment horizontal="left" vertical="center" wrapText="1"/>
    </xf>
    <xf numFmtId="164" fontId="4" fillId="5" borderId="0" xfId="0" applyNumberFormat="1" applyFont="1" applyFill="1" applyAlignment="1">
      <alignment horizontal="left" vertical="center"/>
    </xf>
    <xf numFmtId="164" fontId="13" fillId="9" borderId="13" xfId="0" applyNumberFormat="1" applyFont="1" applyFill="1" applyBorder="1" applyAlignment="1">
      <alignment horizontal="center" vertical="center"/>
    </xf>
    <xf numFmtId="164" fontId="13" fillId="9" borderId="14" xfId="0" applyNumberFormat="1" applyFont="1" applyFill="1" applyBorder="1" applyAlignment="1">
      <alignment horizontal="center" vertical="center"/>
    </xf>
    <xf numFmtId="164" fontId="13" fillId="9" borderId="15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left" vertical="center"/>
    </xf>
    <xf numFmtId="164" fontId="7" fillId="6" borderId="3" xfId="0" applyNumberFormat="1" applyFont="1" applyFill="1" applyBorder="1" applyAlignment="1">
      <alignment horizontal="left" vertical="center"/>
    </xf>
    <xf numFmtId="164" fontId="7" fillId="6" borderId="5" xfId="0" applyNumberFormat="1" applyFont="1" applyFill="1" applyBorder="1" applyAlignment="1">
      <alignment horizontal="left" vertical="center"/>
    </xf>
    <xf numFmtId="164" fontId="7" fillId="6" borderId="6" xfId="0" applyNumberFormat="1" applyFont="1" applyFill="1" applyBorder="1" applyAlignment="1">
      <alignment horizontal="left" vertical="center"/>
    </xf>
    <xf numFmtId="164" fontId="11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DD7DF"/>
      <color rgb="FF463C4A"/>
      <color rgb="FF660066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2190750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0C95AE1-BCFA-47B0-9059-8BDF945024DE}"/>
            </a:ext>
          </a:extLst>
        </xdr:cNvPr>
        <xdr:cNvSpPr txBox="1"/>
      </xdr:nvSpPr>
      <xdr:spPr>
        <a:xfrm>
          <a:off x="612457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190750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6B39B269-99B6-4B3B-8CD3-4208070EE257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0</xdr:row>
      <xdr:rowOff>0</xdr:rowOff>
    </xdr:from>
    <xdr:ext cx="2190750" cy="381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600EA032-9968-476F-A9BF-7E5F2A8A34DC}"/>
            </a:ext>
          </a:extLst>
        </xdr:cNvPr>
        <xdr:cNvSpPr txBox="1"/>
      </xdr:nvSpPr>
      <xdr:spPr>
        <a:xfrm>
          <a:off x="612457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398F7E23-1C2D-474B-A2AA-AF676A5BAB45}"/>
            </a:ext>
          </a:extLst>
        </xdr:cNvPr>
        <xdr:cNvSpPr txBox="1"/>
      </xdr:nvSpPr>
      <xdr:spPr>
        <a:xfrm>
          <a:off x="20288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F313BEEC-5299-4A3F-91D6-34A6888BC2BD}"/>
            </a:ext>
          </a:extLst>
        </xdr:cNvPr>
        <xdr:cNvSpPr txBox="1"/>
      </xdr:nvSpPr>
      <xdr:spPr>
        <a:xfrm>
          <a:off x="20288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89B63252-1B07-417E-A199-903716735DA2}"/>
            </a:ext>
          </a:extLst>
        </xdr:cNvPr>
        <xdr:cNvSpPr txBox="1"/>
      </xdr:nvSpPr>
      <xdr:spPr>
        <a:xfrm>
          <a:off x="20288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0</xdr:col>
      <xdr:colOff>19051</xdr:colOff>
      <xdr:row>0</xdr:row>
      <xdr:rowOff>133350</xdr:rowOff>
    </xdr:from>
    <xdr:to>
      <xdr:col>0</xdr:col>
      <xdr:colOff>1543051</xdr:colOff>
      <xdr:row>0</xdr:row>
      <xdr:rowOff>883536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3C52AE-CB1A-3FC7-FD90-361D08BB3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33350"/>
          <a:ext cx="1524000" cy="753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2190750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8D78DEF-66B5-44B1-9785-62E81F87EC2C}"/>
            </a:ext>
          </a:extLst>
        </xdr:cNvPr>
        <xdr:cNvSpPr txBox="1"/>
      </xdr:nvSpPr>
      <xdr:spPr>
        <a:xfrm>
          <a:off x="77819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190750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32CDE4A5-9284-4445-AA32-E26B60AA414D}"/>
            </a:ext>
          </a:extLst>
        </xdr:cNvPr>
        <xdr:cNvSpPr txBox="1"/>
      </xdr:nvSpPr>
      <xdr:spPr>
        <a:xfrm>
          <a:off x="0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0</xdr:row>
      <xdr:rowOff>0</xdr:rowOff>
    </xdr:from>
    <xdr:ext cx="2190750" cy="381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F1574E8-EB1B-4E16-9DF2-60EDCC3BB17A}"/>
            </a:ext>
          </a:extLst>
        </xdr:cNvPr>
        <xdr:cNvSpPr txBox="1"/>
      </xdr:nvSpPr>
      <xdr:spPr>
        <a:xfrm>
          <a:off x="77819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542C587A-CE78-4051-853A-EE651F7D23BC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5FEA4729-4FBA-416A-8CE9-1292605E49C6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C4C91B82-164F-4994-BE88-2A5885D5CF14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0</xdr:col>
      <xdr:colOff>0</xdr:colOff>
      <xdr:row>0</xdr:row>
      <xdr:rowOff>12700</xdr:rowOff>
    </xdr:from>
    <xdr:to>
      <xdr:col>0</xdr:col>
      <xdr:colOff>1182488</xdr:colOff>
      <xdr:row>0</xdr:row>
      <xdr:rowOff>931333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202E17-0DE9-44FD-ADB1-FAEDC98AC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2700"/>
          <a:ext cx="1182488" cy="91863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0</xdr:rowOff>
    </xdr:from>
    <xdr:ext cx="2190750" cy="381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4223CB46-8D60-4950-9C28-9BFC88D7AE0C}"/>
            </a:ext>
          </a:extLst>
        </xdr:cNvPr>
        <xdr:cNvSpPr txBox="1"/>
      </xdr:nvSpPr>
      <xdr:spPr>
        <a:xfrm>
          <a:off x="0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A9CABC9D-2D41-44B8-AF9E-928C85D01DDD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5CCA7C78-8FAD-4E0D-883C-5EF17A884815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109E8B8-AA2E-4F29-8526-786256943E94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2190750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2E2678B-1607-47AB-B5FB-9DE261413F43}"/>
            </a:ext>
          </a:extLst>
        </xdr:cNvPr>
        <xdr:cNvSpPr txBox="1"/>
      </xdr:nvSpPr>
      <xdr:spPr>
        <a:xfrm>
          <a:off x="7943850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190750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3FE39D2D-FE48-4F39-B970-9B9D5DBA0D63}"/>
            </a:ext>
          </a:extLst>
        </xdr:cNvPr>
        <xdr:cNvSpPr txBox="1"/>
      </xdr:nvSpPr>
      <xdr:spPr>
        <a:xfrm>
          <a:off x="0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2190750" cy="381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2F16A01D-D938-4EEC-A25A-1E524D145006}"/>
            </a:ext>
          </a:extLst>
        </xdr:cNvPr>
        <xdr:cNvSpPr txBox="1"/>
      </xdr:nvSpPr>
      <xdr:spPr>
        <a:xfrm>
          <a:off x="7943850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E32EC7C4-0A85-45F1-B93C-F17FCAFE836B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FD4447EA-9A6F-4DC8-862D-58DF8B4991B7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247F0796-AEBD-4BC0-BE89-E40CE98E0B54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0</xdr:col>
      <xdr:colOff>19051</xdr:colOff>
      <xdr:row>0</xdr:row>
      <xdr:rowOff>133350</xdr:rowOff>
    </xdr:from>
    <xdr:to>
      <xdr:col>0</xdr:col>
      <xdr:colOff>1543051</xdr:colOff>
      <xdr:row>0</xdr:row>
      <xdr:rowOff>886711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76E7E46-153B-4D5F-8495-F77EB8714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33350"/>
          <a:ext cx="1524000" cy="7533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2190750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5F6F74C-895C-417A-A5AE-935C3840C2C8}"/>
            </a:ext>
          </a:extLst>
        </xdr:cNvPr>
        <xdr:cNvSpPr txBox="1"/>
      </xdr:nvSpPr>
      <xdr:spPr>
        <a:xfrm>
          <a:off x="82772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190750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C8D268D3-E79C-4948-BF26-0250B335B797}"/>
            </a:ext>
          </a:extLst>
        </xdr:cNvPr>
        <xdr:cNvSpPr txBox="1"/>
      </xdr:nvSpPr>
      <xdr:spPr>
        <a:xfrm>
          <a:off x="0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2190750" cy="381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BD908714-9553-4E40-8BAA-5C5E4910C9E1}"/>
            </a:ext>
          </a:extLst>
        </xdr:cNvPr>
        <xdr:cNvSpPr txBox="1"/>
      </xdr:nvSpPr>
      <xdr:spPr>
        <a:xfrm>
          <a:off x="82772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2A984672-C398-40D1-8757-227C225B9F8B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30C0CD20-6D09-49A7-8092-483DF4013CD3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352425</xdr:colOff>
      <xdr:row>0</xdr:row>
      <xdr:rowOff>0</xdr:rowOff>
    </xdr:from>
    <xdr:ext cx="2190750" cy="381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BF16F02D-21FB-40BD-BD13-EAFB94ADF65C}"/>
            </a:ext>
          </a:extLst>
        </xdr:cNvPr>
        <xdr:cNvSpPr txBox="1"/>
      </xdr:nvSpPr>
      <xdr:spPr>
        <a:xfrm>
          <a:off x="352425" y="0"/>
          <a:ext cx="2190750" cy="381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0</xdr:col>
      <xdr:colOff>19051</xdr:colOff>
      <xdr:row>0</xdr:row>
      <xdr:rowOff>133350</xdr:rowOff>
    </xdr:from>
    <xdr:to>
      <xdr:col>0</xdr:col>
      <xdr:colOff>1543051</xdr:colOff>
      <xdr:row>0</xdr:row>
      <xdr:rowOff>886711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A59DAA-4357-443E-AFEA-6A5674A0E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33350"/>
          <a:ext cx="1524000" cy="7533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eline Cowan" id="{709882D7-6F5A-41D5-B43B-2C5E93DC0BFE}" userId="039fa713921e9eb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" dT="2024-02-08T16:06:20.01" personId="{709882D7-6F5A-41D5-B43B-2C5E93DC0BFE}" id="{A275B3CD-5EB1-43EF-8052-20BC0A3B5009}">
    <text>HALF OF DELIVERY FEE.  REMAINDER OF FEE IN COMMON AREA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9A92-ACE0-4138-98EB-CD5B12ED3DC7}">
  <sheetPr>
    <pageSetUpPr fitToPage="1"/>
  </sheetPr>
  <dimension ref="A1:H46"/>
  <sheetViews>
    <sheetView topLeftCell="A6" zoomScale="150" zoomScaleNormal="150" workbookViewId="0">
      <selection activeCell="E6" sqref="E6"/>
    </sheetView>
  </sheetViews>
  <sheetFormatPr defaultColWidth="9.1796875" defaultRowHeight="13" x14ac:dyDescent="0.3"/>
  <cols>
    <col min="1" max="1" width="48.81640625" style="15" customWidth="1"/>
    <col min="2" max="2" width="16.1796875" style="18" bestFit="1" customWidth="1"/>
    <col min="3" max="3" width="16" style="43" bestFit="1" customWidth="1"/>
    <col min="4" max="4" width="14.54296875" style="9" customWidth="1"/>
    <col min="5" max="5" width="3.26953125" style="8" bestFit="1" customWidth="1"/>
    <col min="6" max="6" width="40.26953125" style="8" bestFit="1" customWidth="1"/>
    <col min="7" max="7" width="13.81640625" style="8" bestFit="1" customWidth="1"/>
    <col min="8" max="8" width="11.26953125" style="8" bestFit="1" customWidth="1"/>
    <col min="9" max="16384" width="9.1796875" style="8"/>
  </cols>
  <sheetData>
    <row r="1" spans="1:8" s="3" customFormat="1" ht="81" customHeight="1" x14ac:dyDescent="0.35">
      <c r="A1" s="1" t="s">
        <v>72</v>
      </c>
      <c r="B1" s="123"/>
      <c r="C1" s="124"/>
      <c r="D1" s="124"/>
      <c r="E1" s="2"/>
    </row>
    <row r="2" spans="1:8" ht="13.5" customHeight="1" x14ac:dyDescent="0.3">
      <c r="A2" s="128" t="s">
        <v>104</v>
      </c>
      <c r="B2" s="129"/>
      <c r="C2" s="42"/>
      <c r="D2" s="8"/>
      <c r="G2" s="13">
        <v>40762.51</v>
      </c>
    </row>
    <row r="3" spans="1:8" ht="13.5" customHeight="1" x14ac:dyDescent="0.3">
      <c r="A3" s="4"/>
      <c r="B3" s="99" t="s">
        <v>41</v>
      </c>
      <c r="C3" s="42"/>
      <c r="D3" s="8"/>
    </row>
    <row r="4" spans="1:8" s="52" customFormat="1" ht="16" x14ac:dyDescent="0.4">
      <c r="A4" s="48" t="s">
        <v>108</v>
      </c>
      <c r="B4" s="100">
        <v>115250</v>
      </c>
      <c r="C4" s="51"/>
    </row>
    <row r="5" spans="1:8" x14ac:dyDescent="0.3">
      <c r="C5" s="42"/>
      <c r="D5" s="8"/>
    </row>
    <row r="6" spans="1:8" ht="13.5" customHeight="1" x14ac:dyDescent="0.3">
      <c r="A6" s="128" t="s">
        <v>103</v>
      </c>
      <c r="B6" s="129"/>
      <c r="C6" s="129"/>
      <c r="D6" s="129"/>
    </row>
    <row r="7" spans="1:8" ht="13.5" customHeight="1" x14ac:dyDescent="0.3">
      <c r="A7" s="4"/>
      <c r="B7" s="99" t="s">
        <v>41</v>
      </c>
      <c r="C7" s="6" t="s">
        <v>26</v>
      </c>
      <c r="D7" s="7" t="s">
        <v>88</v>
      </c>
    </row>
    <row r="8" spans="1:8" s="9" customFormat="1" ht="13.5" customHeight="1" x14ac:dyDescent="0.3">
      <c r="A8" s="19" t="s">
        <v>90</v>
      </c>
      <c r="B8" s="38">
        <f>'Pricing Units Insurance'!E81</f>
        <v>0</v>
      </c>
      <c r="C8" s="40">
        <v>29</v>
      </c>
      <c r="D8" s="22">
        <f>B8/C8</f>
        <v>0</v>
      </c>
    </row>
    <row r="9" spans="1:8" s="9" customFormat="1" ht="13.5" customHeight="1" x14ac:dyDescent="0.35">
      <c r="A9" s="24" t="s">
        <v>102</v>
      </c>
      <c r="B9" s="39" t="e">
        <f>#REF!</f>
        <v>#REF!</v>
      </c>
      <c r="C9" s="41">
        <v>29</v>
      </c>
      <c r="D9" s="22" t="e">
        <f>B9/C9</f>
        <v>#REF!</v>
      </c>
    </row>
    <row r="10" spans="1:8" ht="16" x14ac:dyDescent="0.3">
      <c r="A10" s="48" t="s">
        <v>109</v>
      </c>
      <c r="B10" s="100" t="e">
        <f>SUM(B8:B9)</f>
        <v>#REF!</v>
      </c>
      <c r="C10" s="50">
        <v>29</v>
      </c>
      <c r="D10" s="49" t="e">
        <f>B10/C10</f>
        <v>#REF!</v>
      </c>
      <c r="G10" s="13">
        <v>692510</v>
      </c>
      <c r="H10" s="53"/>
    </row>
    <row r="11" spans="1:8" x14ac:dyDescent="0.3">
      <c r="G11" s="13">
        <v>1338420.3500000001</v>
      </c>
    </row>
    <row r="12" spans="1:8" ht="13.5" customHeight="1" x14ac:dyDescent="0.3">
      <c r="A12" s="128" t="s">
        <v>105</v>
      </c>
      <c r="B12" s="129"/>
      <c r="C12" s="42"/>
      <c r="D12" s="8"/>
      <c r="G12" s="13">
        <v>40762.51</v>
      </c>
    </row>
    <row r="13" spans="1:8" ht="13.5" customHeight="1" x14ac:dyDescent="0.3">
      <c r="A13" s="4"/>
      <c r="B13" s="99" t="s">
        <v>41</v>
      </c>
      <c r="C13" s="42"/>
      <c r="D13" s="8"/>
    </row>
    <row r="14" spans="1:8" ht="13.5" customHeight="1" x14ac:dyDescent="0.3">
      <c r="A14" s="19" t="s">
        <v>91</v>
      </c>
      <c r="B14" s="38" t="e">
        <f>#REF!</f>
        <v>#REF!</v>
      </c>
      <c r="C14" s="42"/>
      <c r="D14" s="8"/>
    </row>
    <row r="15" spans="1:8" s="9" customFormat="1" ht="13.5" customHeight="1" x14ac:dyDescent="0.3">
      <c r="A15" s="19" t="s">
        <v>92</v>
      </c>
      <c r="B15" s="38" t="e">
        <f>#REF!</f>
        <v>#REF!</v>
      </c>
      <c r="C15" s="42"/>
      <c r="D15" s="8"/>
      <c r="H15" s="36"/>
    </row>
    <row r="16" spans="1:8" s="9" customFormat="1" ht="13.5" customHeight="1" x14ac:dyDescent="0.3">
      <c r="A16" s="24" t="s">
        <v>93</v>
      </c>
      <c r="B16" s="39" t="e">
        <f>#REF!</f>
        <v>#REF!</v>
      </c>
      <c r="C16" s="42"/>
      <c r="D16" s="8"/>
    </row>
    <row r="17" spans="1:7" s="9" customFormat="1" ht="13.5" customHeight="1" x14ac:dyDescent="0.3">
      <c r="A17" s="24" t="s">
        <v>94</v>
      </c>
      <c r="B17" s="39">
        <f>ROUNDUP(2889*0.7*40/2/4,2)</f>
        <v>10111.5</v>
      </c>
      <c r="C17" s="42"/>
      <c r="D17" s="8"/>
      <c r="G17" s="9">
        <v>115250</v>
      </c>
    </row>
    <row r="18" spans="1:7" s="52" customFormat="1" ht="16" x14ac:dyDescent="0.4">
      <c r="A18" s="48" t="s">
        <v>109</v>
      </c>
      <c r="B18" s="100" t="e">
        <f>SUM(B14:B16)</f>
        <v>#REF!</v>
      </c>
      <c r="C18" s="51"/>
      <c r="G18" s="52">
        <f>132500/2</f>
        <v>66250</v>
      </c>
    </row>
    <row r="19" spans="1:7" x14ac:dyDescent="0.3">
      <c r="G19" s="8">
        <v>199240.03</v>
      </c>
    </row>
    <row r="20" spans="1:7" ht="13.5" customHeight="1" x14ac:dyDescent="0.3">
      <c r="A20" s="130" t="s">
        <v>95</v>
      </c>
      <c r="B20" s="131"/>
      <c r="C20" s="55"/>
      <c r="D20" s="55"/>
      <c r="G20" s="8">
        <v>35000</v>
      </c>
    </row>
    <row r="21" spans="1:7" ht="13.5" customHeight="1" x14ac:dyDescent="0.3">
      <c r="A21" s="4"/>
      <c r="B21" s="99" t="s">
        <v>96</v>
      </c>
      <c r="C21" s="6" t="s">
        <v>97</v>
      </c>
      <c r="D21" s="7" t="s">
        <v>56</v>
      </c>
      <c r="G21" s="8">
        <v>25000</v>
      </c>
    </row>
    <row r="22" spans="1:7" x14ac:dyDescent="0.3">
      <c r="A22" s="19" t="s">
        <v>98</v>
      </c>
      <c r="B22" s="38">
        <f>B8</f>
        <v>0</v>
      </c>
      <c r="C22" s="44" t="e">
        <f>'Pricing Units Insurance'!#REF!</f>
        <v>#REF!</v>
      </c>
      <c r="D22" s="46" t="e">
        <f>B22-C22</f>
        <v>#REF!</v>
      </c>
      <c r="G22" s="8">
        <f>SUM(G17:G21)</f>
        <v>440740.03</v>
      </c>
    </row>
    <row r="23" spans="1:7" x14ac:dyDescent="0.3">
      <c r="A23" s="19" t="s">
        <v>75</v>
      </c>
      <c r="B23" s="38">
        <f>B4</f>
        <v>115250</v>
      </c>
      <c r="C23" s="44">
        <v>115250</v>
      </c>
      <c r="D23" s="46">
        <f t="shared" ref="D23:D25" si="0">B23-C23</f>
        <v>0</v>
      </c>
    </row>
    <row r="24" spans="1:7" x14ac:dyDescent="0.3">
      <c r="A24" s="24" t="s">
        <v>99</v>
      </c>
      <c r="B24" s="39" t="e">
        <f>B9</f>
        <v>#REF!</v>
      </c>
      <c r="C24" s="45" t="e">
        <f>#REF!</f>
        <v>#REF!</v>
      </c>
      <c r="D24" s="46" t="e">
        <f t="shared" si="0"/>
        <v>#REF!</v>
      </c>
    </row>
    <row r="25" spans="1:7" x14ac:dyDescent="0.3">
      <c r="A25" s="24" t="s">
        <v>100</v>
      </c>
      <c r="B25" s="39" t="e">
        <f>B18</f>
        <v>#REF!</v>
      </c>
      <c r="C25" s="45" t="e">
        <f>#REF!+#REF!+#REF!</f>
        <v>#REF!</v>
      </c>
      <c r="D25" s="46" t="e">
        <f t="shared" si="0"/>
        <v>#REF!</v>
      </c>
    </row>
    <row r="26" spans="1:7" s="52" customFormat="1" ht="16" x14ac:dyDescent="0.4">
      <c r="A26" s="48" t="s">
        <v>101</v>
      </c>
      <c r="B26" s="100" t="e">
        <f>SUM(B22:B25)</f>
        <v>#REF!</v>
      </c>
      <c r="C26" s="49" t="e">
        <f t="shared" ref="C26:D26" si="1">SUM(C22:C25)</f>
        <v>#REF!</v>
      </c>
      <c r="D26" s="49" t="e">
        <f t="shared" si="1"/>
        <v>#REF!</v>
      </c>
      <c r="F26" s="54"/>
    </row>
    <row r="27" spans="1:7" x14ac:dyDescent="0.3">
      <c r="D27" s="47" t="e">
        <f>D26/B26</f>
        <v>#REF!</v>
      </c>
    </row>
    <row r="30" spans="1:7" x14ac:dyDescent="0.3">
      <c r="B30" s="101" t="e">
        <f>0.35*B26</f>
        <v>#REF!</v>
      </c>
    </row>
    <row r="31" spans="1:7" x14ac:dyDescent="0.3">
      <c r="B31" s="101" t="e">
        <f>B30*2</f>
        <v>#REF!</v>
      </c>
    </row>
    <row r="32" spans="1:7" x14ac:dyDescent="0.3">
      <c r="C32" s="56"/>
    </row>
    <row r="34" spans="1:4" ht="13.5" thickBot="1" x14ac:dyDescent="0.35">
      <c r="B34" s="102"/>
      <c r="C34" s="9"/>
      <c r="D34" s="8"/>
    </row>
    <row r="35" spans="1:4" x14ac:dyDescent="0.3">
      <c r="A35" s="104" t="s">
        <v>137</v>
      </c>
      <c r="B35" s="105" t="s">
        <v>97</v>
      </c>
      <c r="C35" s="8"/>
      <c r="D35" s="8"/>
    </row>
    <row r="36" spans="1:4" x14ac:dyDescent="0.3">
      <c r="A36" s="90" t="s">
        <v>118</v>
      </c>
      <c r="B36" s="103">
        <f>'Pricing Units Insurance'!D3</f>
        <v>63444.02</v>
      </c>
      <c r="C36" s="8"/>
      <c r="D36" s="8"/>
    </row>
    <row r="37" spans="1:4" x14ac:dyDescent="0.3">
      <c r="A37" s="92" t="s">
        <v>120</v>
      </c>
      <c r="B37" s="103">
        <f>'Pricing Units Insurance'!F3</f>
        <v>60498.912499999991</v>
      </c>
      <c r="C37" s="8"/>
      <c r="D37" s="8"/>
    </row>
    <row r="38" spans="1:4" x14ac:dyDescent="0.3">
      <c r="A38" s="92" t="s">
        <v>121</v>
      </c>
      <c r="B38" s="103">
        <f>'Pricing Units Insurance'!H3</f>
        <v>55749.614999999998</v>
      </c>
      <c r="C38" s="8"/>
      <c r="D38" s="8"/>
    </row>
    <row r="39" spans="1:4" x14ac:dyDescent="0.3">
      <c r="A39" s="90" t="s">
        <v>122</v>
      </c>
      <c r="B39" s="103" t="e">
        <f>'Pricing Units Insurance'!#REF!</f>
        <v>#REF!</v>
      </c>
      <c r="C39" s="8"/>
      <c r="D39" s="8"/>
    </row>
    <row r="40" spans="1:4" x14ac:dyDescent="0.3">
      <c r="A40" s="92" t="s">
        <v>123</v>
      </c>
      <c r="B40" s="103" t="e">
        <f>'Pricing Units Insurance'!#REF!</f>
        <v>#REF!</v>
      </c>
      <c r="C40" s="8"/>
      <c r="D40" s="8"/>
    </row>
    <row r="41" spans="1:4" x14ac:dyDescent="0.3">
      <c r="A41" s="93" t="s">
        <v>134</v>
      </c>
      <c r="B41" s="103" t="e">
        <f>SUM('Pricing Units Insurance'!#REF!)</f>
        <v>#REF!</v>
      </c>
      <c r="C41" s="8"/>
      <c r="D41" s="8"/>
    </row>
    <row r="42" spans="1:4" x14ac:dyDescent="0.3">
      <c r="A42" s="93" t="s">
        <v>125</v>
      </c>
      <c r="B42" s="103">
        <f>SUM('Pricing Units Insurance'!E89:E94)</f>
        <v>32304</v>
      </c>
      <c r="C42" s="8"/>
      <c r="D42" s="8"/>
    </row>
    <row r="43" spans="1:4" x14ac:dyDescent="0.3">
      <c r="A43" s="93" t="s">
        <v>135</v>
      </c>
      <c r="B43" s="103">
        <f>SUM('Pricing Units Insurance'!E108:E109)</f>
        <v>11572.5</v>
      </c>
      <c r="C43" s="8"/>
      <c r="D43" s="8"/>
    </row>
    <row r="44" spans="1:4" x14ac:dyDescent="0.3">
      <c r="A44" s="93" t="s">
        <v>136</v>
      </c>
      <c r="B44" s="103" t="e">
        <f>SUM('Pricing Units Insurance'!#REF!)</f>
        <v>#REF!</v>
      </c>
      <c r="C44" s="8"/>
      <c r="D44" s="8"/>
    </row>
    <row r="45" spans="1:4" s="52" customFormat="1" ht="16.5" thickBot="1" x14ac:dyDescent="0.45">
      <c r="A45" s="106" t="s">
        <v>130</v>
      </c>
      <c r="B45" s="107" t="e">
        <f>SUM(B36:B44)</f>
        <v>#REF!</v>
      </c>
    </row>
    <row r="46" spans="1:4" x14ac:dyDescent="0.3">
      <c r="C46" s="8"/>
      <c r="D46" s="8"/>
    </row>
  </sheetData>
  <mergeCells count="5">
    <mergeCell ref="A6:D6"/>
    <mergeCell ref="A12:B12"/>
    <mergeCell ref="A2:B2"/>
    <mergeCell ref="A20:B20"/>
    <mergeCell ref="B1:D1"/>
  </mergeCells>
  <phoneticPr fontId="1" type="noConversion"/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AC76-B866-4820-9E47-82554435804D}">
  <sheetPr>
    <pageSetUpPr fitToPage="1"/>
  </sheetPr>
  <dimension ref="A1:O114"/>
  <sheetViews>
    <sheetView tabSelected="1" topLeftCell="A85" zoomScale="150" zoomScaleNormal="150" workbookViewId="0">
      <selection activeCell="I101" sqref="I101"/>
    </sheetView>
  </sheetViews>
  <sheetFormatPr defaultColWidth="9.1796875" defaultRowHeight="13" x14ac:dyDescent="0.3"/>
  <cols>
    <col min="1" max="1" width="42.81640625" style="15" customWidth="1"/>
    <col min="2" max="2" width="8.1796875" style="16" bestFit="1" customWidth="1"/>
    <col min="3" max="3" width="9.7265625" style="9" bestFit="1" customWidth="1"/>
    <col min="4" max="4" width="4.90625" style="17" bestFit="1" customWidth="1"/>
    <col min="5" max="5" width="10.7265625" style="9" bestFit="1" customWidth="1"/>
    <col min="6" max="6" width="4.90625" style="17" bestFit="1" customWidth="1"/>
    <col min="7" max="7" width="10.7265625" style="9" bestFit="1" customWidth="1"/>
    <col min="8" max="8" width="4.90625" style="17" bestFit="1" customWidth="1"/>
    <col min="9" max="9" width="10.7265625" style="9" bestFit="1" customWidth="1"/>
    <col min="10" max="10" width="9.1796875" style="8"/>
    <col min="11" max="13" width="0" style="8" hidden="1" customWidth="1"/>
    <col min="14" max="16384" width="9.1796875" style="8"/>
  </cols>
  <sheetData>
    <row r="1" spans="1:13" s="3" customFormat="1" ht="81" customHeight="1" thickBot="1" x14ac:dyDescent="0.4">
      <c r="A1" s="59" t="s">
        <v>111</v>
      </c>
      <c r="B1" s="123"/>
      <c r="C1" s="123"/>
      <c r="D1" s="124"/>
      <c r="E1" s="124"/>
      <c r="F1" s="58"/>
      <c r="G1" s="58"/>
      <c r="H1" s="58"/>
      <c r="I1" s="58"/>
    </row>
    <row r="2" spans="1:13" ht="13.5" customHeight="1" x14ac:dyDescent="0.3">
      <c r="A2" s="83"/>
      <c r="B2" s="84"/>
      <c r="C2" s="85"/>
      <c r="D2" s="125" t="s">
        <v>139</v>
      </c>
      <c r="E2" s="126"/>
      <c r="F2" s="125" t="s">
        <v>138</v>
      </c>
      <c r="G2" s="127"/>
      <c r="H2" s="125" t="s">
        <v>140</v>
      </c>
      <c r="I2" s="126"/>
    </row>
    <row r="3" spans="1:13" ht="13.5" customHeight="1" x14ac:dyDescent="0.3">
      <c r="A3" s="86"/>
      <c r="B3" s="80"/>
      <c r="C3" s="87"/>
      <c r="D3" s="120">
        <f>SUM(E6:E80)</f>
        <v>63444.02</v>
      </c>
      <c r="E3" s="121"/>
      <c r="F3" s="120">
        <f>SUM(G6:G80)</f>
        <v>60498.912499999991</v>
      </c>
      <c r="G3" s="122"/>
      <c r="H3" s="120">
        <f>SUM(I6:I80)</f>
        <v>55749.614999999998</v>
      </c>
      <c r="I3" s="121"/>
    </row>
    <row r="4" spans="1:13" ht="13.5" customHeight="1" x14ac:dyDescent="0.3">
      <c r="A4" s="88"/>
      <c r="B4" s="81" t="s">
        <v>119</v>
      </c>
      <c r="C4" s="62" t="s">
        <v>42</v>
      </c>
      <c r="D4" s="61" t="s">
        <v>40</v>
      </c>
      <c r="E4" s="62" t="s">
        <v>41</v>
      </c>
      <c r="F4" s="61" t="s">
        <v>40</v>
      </c>
      <c r="G4" s="74" t="s">
        <v>41</v>
      </c>
      <c r="H4" s="61" t="s">
        <v>40</v>
      </c>
      <c r="I4" s="62" t="s">
        <v>41</v>
      </c>
      <c r="K4" s="8" t="s">
        <v>113</v>
      </c>
    </row>
    <row r="5" spans="1:13" ht="13.5" customHeight="1" x14ac:dyDescent="0.3">
      <c r="A5" s="77" t="s">
        <v>76</v>
      </c>
      <c r="B5" s="82"/>
      <c r="C5" s="89"/>
      <c r="D5" s="77"/>
      <c r="E5" s="78" t="str">
        <f>TEXT((SUM(E6:E7)),"$0,000.00")</f>
        <v>$14,260.00</v>
      </c>
      <c r="F5" s="77"/>
      <c r="G5" s="79" t="str">
        <f>TEXT((SUM(G6:G7)),"$0,000.00")</f>
        <v>$12,566.70</v>
      </c>
      <c r="H5" s="77"/>
      <c r="I5" s="78" t="str">
        <f>TEXT((SUM(I6:I7)),"$0,000.00")</f>
        <v>$11,022.50</v>
      </c>
    </row>
    <row r="6" spans="1:13" s="9" customFormat="1" ht="13.5" customHeight="1" x14ac:dyDescent="0.3">
      <c r="A6" s="90" t="s">
        <v>112</v>
      </c>
      <c r="B6" s="66" t="s">
        <v>27</v>
      </c>
      <c r="C6" s="91">
        <v>22</v>
      </c>
      <c r="D6" s="69">
        <v>322</v>
      </c>
      <c r="E6" s="70">
        <f>$C6*D6</f>
        <v>7084</v>
      </c>
      <c r="F6" s="63">
        <v>288</v>
      </c>
      <c r="G6" s="75">
        <f>$C6*F6</f>
        <v>6336</v>
      </c>
      <c r="H6" s="69">
        <v>236</v>
      </c>
      <c r="I6" s="70">
        <f>$C6*H6</f>
        <v>5192</v>
      </c>
      <c r="L6" s="9">
        <v>35401.71</v>
      </c>
      <c r="M6" s="9" t="s">
        <v>114</v>
      </c>
    </row>
    <row r="7" spans="1:13" s="9" customFormat="1" ht="13.5" customHeight="1" x14ac:dyDescent="0.35">
      <c r="A7" s="92" t="s">
        <v>50</v>
      </c>
      <c r="B7" s="66" t="s">
        <v>29</v>
      </c>
      <c r="C7" s="91">
        <v>6.9</v>
      </c>
      <c r="D7" s="69">
        <v>1040</v>
      </c>
      <c r="E7" s="70">
        <f>$C7*D7</f>
        <v>7176</v>
      </c>
      <c r="F7" s="63">
        <v>903</v>
      </c>
      <c r="G7" s="75">
        <f>$C7*F7</f>
        <v>6230.7000000000007</v>
      </c>
      <c r="H7" s="69">
        <v>845</v>
      </c>
      <c r="I7" s="70">
        <f>$C7*H7</f>
        <v>5830.5</v>
      </c>
      <c r="L7" s="9">
        <v>40769.71</v>
      </c>
      <c r="M7" s="9" t="s">
        <v>115</v>
      </c>
    </row>
    <row r="8" spans="1:13" ht="13.5" customHeight="1" x14ac:dyDescent="0.3">
      <c r="A8" s="77" t="s">
        <v>77</v>
      </c>
      <c r="B8" s="82"/>
      <c r="C8" s="89"/>
      <c r="D8" s="77"/>
      <c r="E8" s="78" t="str">
        <f>TEXT((SUM(E9:E21)),"$0,000.00")</f>
        <v>$9,312.20</v>
      </c>
      <c r="F8" s="77"/>
      <c r="G8" s="79" t="str">
        <f>TEXT((SUM(G9:G21)),"$0,000.00")</f>
        <v>$7,922.50</v>
      </c>
      <c r="H8" s="77"/>
      <c r="I8" s="78" t="str">
        <f>TEXT((SUM(I9:I21)),"$0,000.00")</f>
        <v>$6,237.50</v>
      </c>
    </row>
    <row r="9" spans="1:13" s="9" customFormat="1" ht="13.5" customHeight="1" x14ac:dyDescent="0.35">
      <c r="A9" s="92" t="s">
        <v>69</v>
      </c>
      <c r="B9" s="67" t="s">
        <v>28</v>
      </c>
      <c r="C9" s="91">
        <v>185</v>
      </c>
      <c r="D9" s="71">
        <v>6</v>
      </c>
      <c r="E9" s="70">
        <f t="shared" ref="E9:E21" si="0">$C9*D9</f>
        <v>1110</v>
      </c>
      <c r="F9" s="64">
        <v>4</v>
      </c>
      <c r="G9" s="75">
        <f t="shared" ref="G9:G21" si="1">$C9*F9</f>
        <v>740</v>
      </c>
      <c r="H9" s="71">
        <v>3</v>
      </c>
      <c r="I9" s="70">
        <f t="shared" ref="I9:I21" si="2">$C9*H9</f>
        <v>555</v>
      </c>
    </row>
    <row r="10" spans="1:13" s="9" customFormat="1" ht="13.5" customHeight="1" x14ac:dyDescent="0.3">
      <c r="A10" s="90" t="s">
        <v>1</v>
      </c>
      <c r="B10" s="66" t="s">
        <v>28</v>
      </c>
      <c r="C10" s="91">
        <v>450</v>
      </c>
      <c r="D10" s="69">
        <v>5</v>
      </c>
      <c r="E10" s="70">
        <f t="shared" si="0"/>
        <v>2250</v>
      </c>
      <c r="F10" s="63">
        <v>5</v>
      </c>
      <c r="G10" s="75">
        <f t="shared" si="1"/>
        <v>2250</v>
      </c>
      <c r="H10" s="69">
        <v>4</v>
      </c>
      <c r="I10" s="70">
        <f t="shared" si="2"/>
        <v>1800</v>
      </c>
      <c r="K10" s="31"/>
      <c r="M10" s="31"/>
    </row>
    <row r="11" spans="1:13" s="9" customFormat="1" ht="13.5" customHeight="1" x14ac:dyDescent="0.35">
      <c r="A11" s="93" t="s">
        <v>110</v>
      </c>
      <c r="B11" s="67" t="s">
        <v>28</v>
      </c>
      <c r="C11" s="91">
        <v>1250</v>
      </c>
      <c r="D11" s="71">
        <v>0</v>
      </c>
      <c r="E11" s="70">
        <f t="shared" si="0"/>
        <v>0</v>
      </c>
      <c r="F11" s="64">
        <v>0</v>
      </c>
      <c r="G11" s="75">
        <f t="shared" si="1"/>
        <v>0</v>
      </c>
      <c r="H11" s="71">
        <v>0</v>
      </c>
      <c r="I11" s="70">
        <f t="shared" si="2"/>
        <v>0</v>
      </c>
      <c r="K11" s="31"/>
      <c r="M11" s="31"/>
    </row>
    <row r="12" spans="1:13" s="9" customFormat="1" ht="13.5" customHeight="1" x14ac:dyDescent="0.35">
      <c r="A12" s="92" t="s">
        <v>61</v>
      </c>
      <c r="B12" s="67" t="s">
        <v>28</v>
      </c>
      <c r="C12" s="91">
        <v>190</v>
      </c>
      <c r="D12" s="71">
        <v>1</v>
      </c>
      <c r="E12" s="70">
        <f t="shared" si="0"/>
        <v>190</v>
      </c>
      <c r="F12" s="64">
        <v>1</v>
      </c>
      <c r="G12" s="75">
        <f t="shared" si="1"/>
        <v>190</v>
      </c>
      <c r="H12" s="71">
        <v>1</v>
      </c>
      <c r="I12" s="70">
        <f t="shared" si="2"/>
        <v>190</v>
      </c>
      <c r="K12" s="31"/>
      <c r="M12" s="31"/>
    </row>
    <row r="13" spans="1:13" s="9" customFormat="1" ht="13.5" customHeight="1" x14ac:dyDescent="0.3">
      <c r="A13" s="90" t="s">
        <v>15</v>
      </c>
      <c r="B13" s="66" t="s">
        <v>28</v>
      </c>
      <c r="C13" s="91">
        <v>95</v>
      </c>
      <c r="D13" s="69">
        <v>5</v>
      </c>
      <c r="E13" s="70">
        <f t="shared" si="0"/>
        <v>475</v>
      </c>
      <c r="F13" s="63">
        <v>5</v>
      </c>
      <c r="G13" s="75">
        <f t="shared" si="1"/>
        <v>475</v>
      </c>
      <c r="H13" s="69">
        <v>3</v>
      </c>
      <c r="I13" s="70">
        <f t="shared" si="2"/>
        <v>285</v>
      </c>
      <c r="K13" s="31"/>
      <c r="M13" s="31"/>
    </row>
    <row r="14" spans="1:13" s="9" customFormat="1" ht="13.5" customHeight="1" x14ac:dyDescent="0.35">
      <c r="A14" s="92" t="s">
        <v>12</v>
      </c>
      <c r="B14" s="66" t="s">
        <v>28</v>
      </c>
      <c r="C14" s="91">
        <v>200</v>
      </c>
      <c r="D14" s="69">
        <v>1</v>
      </c>
      <c r="E14" s="70">
        <f t="shared" si="0"/>
        <v>200</v>
      </c>
      <c r="F14" s="63">
        <v>1</v>
      </c>
      <c r="G14" s="75">
        <f t="shared" si="1"/>
        <v>200</v>
      </c>
      <c r="H14" s="69">
        <v>1</v>
      </c>
      <c r="I14" s="70">
        <f t="shared" si="2"/>
        <v>200</v>
      </c>
      <c r="K14" s="31"/>
      <c r="M14" s="31"/>
    </row>
    <row r="15" spans="1:13" s="9" customFormat="1" ht="13.5" customHeight="1" x14ac:dyDescent="0.35">
      <c r="A15" s="93" t="s">
        <v>68</v>
      </c>
      <c r="B15" s="67" t="s">
        <v>28</v>
      </c>
      <c r="C15" s="91">
        <v>350</v>
      </c>
      <c r="D15" s="71">
        <v>4</v>
      </c>
      <c r="E15" s="70">
        <f t="shared" si="0"/>
        <v>1400</v>
      </c>
      <c r="F15" s="64">
        <v>2</v>
      </c>
      <c r="G15" s="75">
        <f t="shared" si="1"/>
        <v>700</v>
      </c>
      <c r="H15" s="71">
        <v>1</v>
      </c>
      <c r="I15" s="70">
        <f t="shared" si="2"/>
        <v>350</v>
      </c>
    </row>
    <row r="16" spans="1:13" s="9" customFormat="1" ht="13.5" customHeight="1" x14ac:dyDescent="0.35">
      <c r="A16" s="93" t="s">
        <v>67</v>
      </c>
      <c r="B16" s="67" t="s">
        <v>28</v>
      </c>
      <c r="C16" s="91">
        <v>480</v>
      </c>
      <c r="D16" s="71">
        <v>0</v>
      </c>
      <c r="E16" s="70">
        <f t="shared" si="0"/>
        <v>0</v>
      </c>
      <c r="F16" s="64">
        <v>0</v>
      </c>
      <c r="G16" s="75">
        <f t="shared" si="1"/>
        <v>0</v>
      </c>
      <c r="H16" s="71">
        <v>0</v>
      </c>
      <c r="I16" s="70">
        <f t="shared" si="2"/>
        <v>0</v>
      </c>
    </row>
    <row r="17" spans="1:15" s="9" customFormat="1" ht="13.5" customHeight="1" x14ac:dyDescent="0.35">
      <c r="A17" s="93" t="s">
        <v>66</v>
      </c>
      <c r="B17" s="67" t="s">
        <v>28</v>
      </c>
      <c r="C17" s="91">
        <v>490</v>
      </c>
      <c r="D17" s="71">
        <v>0</v>
      </c>
      <c r="E17" s="70">
        <f t="shared" si="0"/>
        <v>0</v>
      </c>
      <c r="F17" s="64">
        <v>0</v>
      </c>
      <c r="G17" s="75">
        <f t="shared" si="1"/>
        <v>0</v>
      </c>
      <c r="H17" s="71">
        <v>0</v>
      </c>
      <c r="I17" s="70">
        <f t="shared" si="2"/>
        <v>0</v>
      </c>
    </row>
    <row r="18" spans="1:15" s="9" customFormat="1" ht="13.5" customHeight="1" x14ac:dyDescent="0.35">
      <c r="A18" s="93" t="s">
        <v>65</v>
      </c>
      <c r="B18" s="67" t="s">
        <v>28</v>
      </c>
      <c r="C18" s="91">
        <v>525</v>
      </c>
      <c r="D18" s="71">
        <v>1</v>
      </c>
      <c r="E18" s="70">
        <f t="shared" si="0"/>
        <v>525</v>
      </c>
      <c r="F18" s="64">
        <v>1</v>
      </c>
      <c r="G18" s="75">
        <f t="shared" si="1"/>
        <v>525</v>
      </c>
      <c r="H18" s="71">
        <v>1</v>
      </c>
      <c r="I18" s="70">
        <f t="shared" si="2"/>
        <v>525</v>
      </c>
    </row>
    <row r="19" spans="1:15" ht="13.5" customHeight="1" x14ac:dyDescent="0.3">
      <c r="A19" s="93" t="s">
        <v>34</v>
      </c>
      <c r="B19" s="67" t="s">
        <v>28</v>
      </c>
      <c r="C19" s="91">
        <v>250</v>
      </c>
      <c r="D19" s="71">
        <v>1</v>
      </c>
      <c r="E19" s="70">
        <f t="shared" si="0"/>
        <v>250</v>
      </c>
      <c r="F19" s="64">
        <v>1</v>
      </c>
      <c r="G19" s="75">
        <f t="shared" si="1"/>
        <v>250</v>
      </c>
      <c r="H19" s="71">
        <v>1</v>
      </c>
      <c r="I19" s="70">
        <f t="shared" si="2"/>
        <v>250</v>
      </c>
    </row>
    <row r="20" spans="1:15" s="9" customFormat="1" ht="13.5" customHeight="1" x14ac:dyDescent="0.3">
      <c r="A20" s="90" t="s">
        <v>89</v>
      </c>
      <c r="B20" s="67" t="s">
        <v>27</v>
      </c>
      <c r="C20" s="91">
        <v>4</v>
      </c>
      <c r="D20" s="71">
        <f>322*1.15</f>
        <v>370.29999999999995</v>
      </c>
      <c r="E20" s="70">
        <f t="shared" si="0"/>
        <v>1481.1999999999998</v>
      </c>
      <c r="F20" s="64">
        <f>ROUNDUP(288*1.15,0)</f>
        <v>332</v>
      </c>
      <c r="G20" s="75">
        <f t="shared" si="1"/>
        <v>1328</v>
      </c>
      <c r="H20" s="71">
        <f>ROUNDUP(236*1.15,0)</f>
        <v>272</v>
      </c>
      <c r="I20" s="70">
        <f t="shared" si="2"/>
        <v>1088</v>
      </c>
    </row>
    <row r="21" spans="1:15" s="9" customFormat="1" ht="13.5" customHeight="1" x14ac:dyDescent="0.3">
      <c r="A21" s="90" t="s">
        <v>58</v>
      </c>
      <c r="B21" s="67" t="s">
        <v>27</v>
      </c>
      <c r="C21" s="91">
        <v>4.5</v>
      </c>
      <c r="D21" s="71">
        <f>(54+211)*1.2</f>
        <v>318</v>
      </c>
      <c r="E21" s="70">
        <f t="shared" si="0"/>
        <v>1431</v>
      </c>
      <c r="F21" s="64">
        <f>ROUNDUP((210+26+8)*1.15,0)</f>
        <v>281</v>
      </c>
      <c r="G21" s="75">
        <f t="shared" si="1"/>
        <v>1264.5</v>
      </c>
      <c r="H21" s="71">
        <f>ROUNDUP((175+12+5)*1.15,0)</f>
        <v>221</v>
      </c>
      <c r="I21" s="70">
        <f t="shared" si="2"/>
        <v>994.5</v>
      </c>
    </row>
    <row r="22" spans="1:15" ht="13.5" customHeight="1" x14ac:dyDescent="0.3">
      <c r="A22" s="77" t="s">
        <v>78</v>
      </c>
      <c r="B22" s="82"/>
      <c r="C22" s="89"/>
      <c r="D22" s="77"/>
      <c r="E22" s="78" t="str">
        <f>TEXT((SUM(E23:E25)),"$0,000.00")</f>
        <v>$5,071.32</v>
      </c>
      <c r="F22" s="77"/>
      <c r="G22" s="79" t="str">
        <f>TEXT((SUM(G23:G25)),"$0,000.00")</f>
        <v>$4,235.51</v>
      </c>
      <c r="H22" s="77"/>
      <c r="I22" s="78" t="str">
        <f>TEXT((SUM(I23:I25)),"$0,000.00")</f>
        <v>$3,714.62</v>
      </c>
    </row>
    <row r="23" spans="1:15" ht="13.5" customHeight="1" x14ac:dyDescent="0.3">
      <c r="A23" s="90" t="s">
        <v>30</v>
      </c>
      <c r="B23" s="67" t="s">
        <v>29</v>
      </c>
      <c r="C23" s="91">
        <v>4.8499999999999996</v>
      </c>
      <c r="D23" s="71">
        <f>40*9*1.15</f>
        <v>413.99999999999994</v>
      </c>
      <c r="E23" s="70">
        <f>$C23*D23</f>
        <v>2007.8999999999996</v>
      </c>
      <c r="F23" s="64">
        <f>35*1.15*9</f>
        <v>362.25</v>
      </c>
      <c r="G23" s="75">
        <f>$C23*F23</f>
        <v>1756.9124999999999</v>
      </c>
      <c r="H23" s="71">
        <f>(19+55)*1.15*9</f>
        <v>765.9</v>
      </c>
      <c r="I23" s="70">
        <f>$C23*H23</f>
        <v>3714.6149999999998</v>
      </c>
      <c r="O23" s="119"/>
    </row>
    <row r="24" spans="1:15" ht="13.5" customHeight="1" x14ac:dyDescent="0.3">
      <c r="A24" s="93" t="s">
        <v>38</v>
      </c>
      <c r="B24" s="67" t="s">
        <v>29</v>
      </c>
      <c r="C24" s="91">
        <v>0.75</v>
      </c>
      <c r="D24" s="71">
        <v>0</v>
      </c>
      <c r="E24" s="70">
        <f>$C24*D24</f>
        <v>0</v>
      </c>
      <c r="F24" s="64">
        <v>0</v>
      </c>
      <c r="G24" s="75">
        <f>$C24*F24</f>
        <v>0</v>
      </c>
      <c r="H24" s="71">
        <v>0</v>
      </c>
      <c r="I24" s="70">
        <f>$C24*H24</f>
        <v>0</v>
      </c>
    </row>
    <row r="25" spans="1:15" ht="13.5" customHeight="1" x14ac:dyDescent="0.3">
      <c r="A25" s="90" t="s">
        <v>35</v>
      </c>
      <c r="B25" s="66" t="s">
        <v>29</v>
      </c>
      <c r="C25" s="91">
        <v>4.5</v>
      </c>
      <c r="D25" s="71">
        <f>62*9*1.22</f>
        <v>680.76</v>
      </c>
      <c r="E25" s="70">
        <f>$C25*D25</f>
        <v>3063.42</v>
      </c>
      <c r="F25" s="64">
        <f>51*1.2*9</f>
        <v>550.79999999999995</v>
      </c>
      <c r="G25" s="75">
        <f>$C25*F25</f>
        <v>2478.6</v>
      </c>
      <c r="H25" s="71">
        <v>0</v>
      </c>
      <c r="I25" s="70">
        <f>$C25*H25</f>
        <v>0</v>
      </c>
    </row>
    <row r="26" spans="1:15" ht="13.5" customHeight="1" x14ac:dyDescent="0.3">
      <c r="A26" s="77" t="s">
        <v>79</v>
      </c>
      <c r="B26" s="82"/>
      <c r="C26" s="89"/>
      <c r="D26" s="77"/>
      <c r="E26" s="78" t="str">
        <f>TEXT((SUM(E27:E29)),"$0,000.00")</f>
        <v>$0,350.00</v>
      </c>
      <c r="F26" s="77"/>
      <c r="G26" s="79" t="str">
        <f>TEXT((SUM(G27:G29)),"$0,000.00")</f>
        <v>$0,350.00</v>
      </c>
      <c r="H26" s="77"/>
      <c r="I26" s="78" t="str">
        <f>TEXT((SUM(I27:I29)),"$0,000.00")</f>
        <v>$0,350.00</v>
      </c>
    </row>
    <row r="27" spans="1:15" ht="13.5" customHeight="1" x14ac:dyDescent="0.3">
      <c r="A27" s="93" t="s">
        <v>7</v>
      </c>
      <c r="B27" s="67" t="s">
        <v>29</v>
      </c>
      <c r="C27" s="94">
        <v>18</v>
      </c>
      <c r="D27" s="71">
        <v>0</v>
      </c>
      <c r="E27" s="70">
        <f>$C27*D27</f>
        <v>0</v>
      </c>
      <c r="F27" s="64">
        <v>0</v>
      </c>
      <c r="G27" s="75">
        <f>$C27*F27</f>
        <v>0</v>
      </c>
      <c r="H27" s="71">
        <v>0</v>
      </c>
      <c r="I27" s="70">
        <f>$C27*H27</f>
        <v>0</v>
      </c>
    </row>
    <row r="28" spans="1:15" ht="13.5" customHeight="1" x14ac:dyDescent="0.3">
      <c r="A28" s="93" t="s">
        <v>164</v>
      </c>
      <c r="B28" s="67" t="s">
        <v>151</v>
      </c>
      <c r="C28" s="94">
        <v>350</v>
      </c>
      <c r="D28" s="71">
        <v>1</v>
      </c>
      <c r="E28" s="70">
        <f>$C28*D28</f>
        <v>350</v>
      </c>
      <c r="F28" s="64">
        <v>1</v>
      </c>
      <c r="G28" s="75">
        <f>$C28*F28</f>
        <v>350</v>
      </c>
      <c r="H28" s="71">
        <v>1</v>
      </c>
      <c r="I28" s="70">
        <f>$C28*H28</f>
        <v>350</v>
      </c>
    </row>
    <row r="29" spans="1:15" ht="13.5" customHeight="1" x14ac:dyDescent="0.3">
      <c r="A29" s="93" t="s">
        <v>10</v>
      </c>
      <c r="B29" s="67" t="s">
        <v>29</v>
      </c>
      <c r="C29" s="94">
        <v>18</v>
      </c>
      <c r="D29" s="71">
        <v>0</v>
      </c>
      <c r="E29" s="70">
        <f>$C29*D29</f>
        <v>0</v>
      </c>
      <c r="F29" s="64">
        <v>0</v>
      </c>
      <c r="G29" s="75">
        <f>$C29*F29</f>
        <v>0</v>
      </c>
      <c r="H29" s="71">
        <v>0</v>
      </c>
      <c r="I29" s="70">
        <f>$C29*H29</f>
        <v>0</v>
      </c>
    </row>
    <row r="30" spans="1:15" ht="13.5" customHeight="1" x14ac:dyDescent="0.3">
      <c r="A30" s="77" t="s">
        <v>80</v>
      </c>
      <c r="B30" s="82"/>
      <c r="C30" s="89"/>
      <c r="D30" s="77"/>
      <c r="E30" s="78" t="str">
        <f>TEXT((SUM(E31:E35)),"$0,000.00")</f>
        <v>$5,415.00</v>
      </c>
      <c r="F30" s="77"/>
      <c r="G30" s="79" t="str">
        <f>TEXT((SUM(G31:G35)),"$0,000.00")</f>
        <v>$7,335.00</v>
      </c>
      <c r="H30" s="77"/>
      <c r="I30" s="78" t="str">
        <f>TEXT((SUM(I31:I35)),"$0,000.00")</f>
        <v>$6,935.00</v>
      </c>
    </row>
    <row r="31" spans="1:15" ht="13.5" customHeight="1" x14ac:dyDescent="0.3">
      <c r="A31" s="90" t="s">
        <v>131</v>
      </c>
      <c r="B31" s="66" t="s">
        <v>27</v>
      </c>
      <c r="C31" s="91">
        <v>295</v>
      </c>
      <c r="D31" s="69">
        <v>12</v>
      </c>
      <c r="E31" s="70">
        <f>$C31*D31</f>
        <v>3540</v>
      </c>
      <c r="F31" s="63">
        <v>16</v>
      </c>
      <c r="G31" s="75">
        <f>$C31*F31</f>
        <v>4720</v>
      </c>
      <c r="H31" s="69">
        <v>16</v>
      </c>
      <c r="I31" s="70">
        <f>$C31*H31</f>
        <v>4720</v>
      </c>
    </row>
    <row r="32" spans="1:15" ht="13.5" customHeight="1" x14ac:dyDescent="0.3">
      <c r="A32" s="90" t="s">
        <v>132</v>
      </c>
      <c r="B32" s="66" t="s">
        <v>128</v>
      </c>
      <c r="C32" s="91">
        <v>1200</v>
      </c>
      <c r="D32" s="69">
        <v>0</v>
      </c>
      <c r="E32" s="70">
        <f>$C32*D32</f>
        <v>0</v>
      </c>
      <c r="F32" s="63">
        <v>0</v>
      </c>
      <c r="G32" s="75">
        <f>$C32*F32</f>
        <v>0</v>
      </c>
      <c r="H32" s="69">
        <v>0</v>
      </c>
      <c r="I32" s="70">
        <f>$C32*H32</f>
        <v>0</v>
      </c>
    </row>
    <row r="33" spans="1:14" ht="13.5" customHeight="1" x14ac:dyDescent="0.3">
      <c r="A33" s="90" t="s">
        <v>44</v>
      </c>
      <c r="B33" s="66" t="s">
        <v>27</v>
      </c>
      <c r="C33" s="91">
        <v>85</v>
      </c>
      <c r="D33" s="69">
        <v>12</v>
      </c>
      <c r="E33" s="70">
        <f>$C33*D33</f>
        <v>1020</v>
      </c>
      <c r="F33" s="63">
        <v>16</v>
      </c>
      <c r="G33" s="75">
        <f>$C33*F33</f>
        <v>1360</v>
      </c>
      <c r="H33" s="69">
        <v>16</v>
      </c>
      <c r="I33" s="70">
        <f>$C33*H33</f>
        <v>1360</v>
      </c>
    </row>
    <row r="34" spans="1:14" ht="13.5" customHeight="1" x14ac:dyDescent="0.3">
      <c r="A34" s="90" t="s">
        <v>45</v>
      </c>
      <c r="B34" s="66" t="s">
        <v>28</v>
      </c>
      <c r="C34" s="91">
        <f>855</f>
        <v>855</v>
      </c>
      <c r="D34" s="69">
        <v>1</v>
      </c>
      <c r="E34" s="70">
        <f>$C34*D34</f>
        <v>855</v>
      </c>
      <c r="F34" s="63">
        <v>0</v>
      </c>
      <c r="G34" s="75">
        <f>$C34*F34</f>
        <v>0</v>
      </c>
      <c r="H34" s="69">
        <v>1</v>
      </c>
      <c r="I34" s="70">
        <f>$C34*H34</f>
        <v>855</v>
      </c>
    </row>
    <row r="35" spans="1:14" ht="13.5" customHeight="1" x14ac:dyDescent="0.3">
      <c r="A35" s="90" t="s">
        <v>143</v>
      </c>
      <c r="B35" s="66" t="s">
        <v>28</v>
      </c>
      <c r="C35" s="91">
        <f>1255</f>
        <v>1255</v>
      </c>
      <c r="D35" s="69">
        <v>0</v>
      </c>
      <c r="E35" s="70">
        <f>$C35*D35</f>
        <v>0</v>
      </c>
      <c r="F35" s="63">
        <v>1</v>
      </c>
      <c r="G35" s="75">
        <f>$C35*F35</f>
        <v>1255</v>
      </c>
      <c r="H35" s="69">
        <v>0</v>
      </c>
      <c r="I35" s="70">
        <f>$C35*H35</f>
        <v>0</v>
      </c>
    </row>
    <row r="36" spans="1:14" ht="13.5" customHeight="1" x14ac:dyDescent="0.3">
      <c r="A36" s="77" t="s">
        <v>81</v>
      </c>
      <c r="B36" s="82"/>
      <c r="C36" s="89"/>
      <c r="D36" s="77"/>
      <c r="E36" s="78" t="str">
        <f>TEXT((SUM(E37:E44)),"$0,000.00")</f>
        <v>$4,350.00</v>
      </c>
      <c r="F36" s="77"/>
      <c r="G36" s="79" t="str">
        <f>TEXT((SUM(G37:G44)),"$0,000.00")</f>
        <v>$4,350.00</v>
      </c>
      <c r="H36" s="77"/>
      <c r="I36" s="78" t="str">
        <f>TEXT((SUM(I37:I44)),"$0,000.00")</f>
        <v>$4,350.00</v>
      </c>
    </row>
    <row r="37" spans="1:14" ht="13.5" customHeight="1" x14ac:dyDescent="0.3">
      <c r="A37" s="93" t="s">
        <v>51</v>
      </c>
      <c r="B37" s="66" t="s">
        <v>28</v>
      </c>
      <c r="C37" s="91">
        <v>590</v>
      </c>
      <c r="D37" s="69">
        <v>1</v>
      </c>
      <c r="E37" s="70">
        <f>$C37*D37</f>
        <v>590</v>
      </c>
      <c r="F37" s="63">
        <v>1</v>
      </c>
      <c r="G37" s="75">
        <f>$C37*F37</f>
        <v>590</v>
      </c>
      <c r="H37" s="69">
        <v>1</v>
      </c>
      <c r="I37" s="70">
        <f>$C37*H37</f>
        <v>590</v>
      </c>
    </row>
    <row r="38" spans="1:14" ht="13.5" customHeight="1" x14ac:dyDescent="0.3">
      <c r="A38" s="93" t="s">
        <v>52</v>
      </c>
      <c r="B38" s="66" t="s">
        <v>28</v>
      </c>
      <c r="C38" s="91">
        <v>375</v>
      </c>
      <c r="D38" s="69">
        <v>1</v>
      </c>
      <c r="E38" s="70">
        <f>$C38*D38</f>
        <v>375</v>
      </c>
      <c r="F38" s="63">
        <v>1</v>
      </c>
      <c r="G38" s="75">
        <f>$C38*F38</f>
        <v>375</v>
      </c>
      <c r="H38" s="69">
        <v>1</v>
      </c>
      <c r="I38" s="70">
        <f>$C38*H38</f>
        <v>375</v>
      </c>
    </row>
    <row r="39" spans="1:14" ht="13.5" customHeight="1" x14ac:dyDescent="0.3">
      <c r="A39" s="92" t="s">
        <v>11</v>
      </c>
      <c r="B39" s="66" t="s">
        <v>28</v>
      </c>
      <c r="C39" s="91">
        <v>1050</v>
      </c>
      <c r="D39" s="69">
        <v>1</v>
      </c>
      <c r="E39" s="70">
        <f t="shared" ref="E39:E41" si="3">$C39*D39</f>
        <v>1050</v>
      </c>
      <c r="F39" s="63">
        <v>1</v>
      </c>
      <c r="G39" s="75">
        <f t="shared" ref="G39:G41" si="4">$C39*F39</f>
        <v>1050</v>
      </c>
      <c r="H39" s="69">
        <v>1</v>
      </c>
      <c r="I39" s="70">
        <f t="shared" ref="I39:I42" si="5">$C39*H39</f>
        <v>1050</v>
      </c>
    </row>
    <row r="40" spans="1:14" ht="13.5" customHeight="1" x14ac:dyDescent="0.3">
      <c r="A40" s="92" t="s">
        <v>16</v>
      </c>
      <c r="B40" s="66" t="s">
        <v>28</v>
      </c>
      <c r="C40" s="91">
        <v>655</v>
      </c>
      <c r="D40" s="69">
        <v>1</v>
      </c>
      <c r="E40" s="70">
        <f t="shared" si="3"/>
        <v>655</v>
      </c>
      <c r="F40" s="63">
        <v>1</v>
      </c>
      <c r="G40" s="75">
        <f t="shared" si="4"/>
        <v>655</v>
      </c>
      <c r="H40" s="69">
        <v>1</v>
      </c>
      <c r="I40" s="70">
        <f t="shared" si="5"/>
        <v>655</v>
      </c>
    </row>
    <row r="41" spans="1:14" ht="13.5" customHeight="1" x14ac:dyDescent="0.3">
      <c r="A41" s="93" t="s">
        <v>25</v>
      </c>
      <c r="B41" s="67" t="s">
        <v>28</v>
      </c>
      <c r="C41" s="91">
        <v>95</v>
      </c>
      <c r="D41" s="69">
        <v>5</v>
      </c>
      <c r="E41" s="70">
        <f t="shared" si="3"/>
        <v>475</v>
      </c>
      <c r="F41" s="63">
        <v>5</v>
      </c>
      <c r="G41" s="75">
        <f t="shared" si="4"/>
        <v>475</v>
      </c>
      <c r="H41" s="69">
        <v>5</v>
      </c>
      <c r="I41" s="70">
        <f t="shared" si="5"/>
        <v>475</v>
      </c>
    </row>
    <row r="42" spans="1:14" s="9" customFormat="1" ht="13.5" customHeight="1" x14ac:dyDescent="0.35">
      <c r="A42" s="93" t="s">
        <v>53</v>
      </c>
      <c r="B42" s="67" t="s">
        <v>28</v>
      </c>
      <c r="C42" s="91">
        <v>325</v>
      </c>
      <c r="D42" s="71">
        <v>1</v>
      </c>
      <c r="E42" s="70">
        <f>$C42*D42</f>
        <v>325</v>
      </c>
      <c r="F42" s="64">
        <v>1</v>
      </c>
      <c r="G42" s="75">
        <f>$C42*F42</f>
        <v>325</v>
      </c>
      <c r="H42" s="71">
        <v>1</v>
      </c>
      <c r="I42" s="70">
        <f t="shared" si="5"/>
        <v>325</v>
      </c>
    </row>
    <row r="43" spans="1:14" s="9" customFormat="1" ht="13.5" customHeight="1" x14ac:dyDescent="0.35">
      <c r="A43" s="93" t="s">
        <v>54</v>
      </c>
      <c r="B43" s="67" t="s">
        <v>28</v>
      </c>
      <c r="C43" s="91">
        <v>290</v>
      </c>
      <c r="D43" s="71">
        <v>1</v>
      </c>
      <c r="E43" s="70">
        <f>$C43*D43</f>
        <v>290</v>
      </c>
      <c r="F43" s="64">
        <v>1</v>
      </c>
      <c r="G43" s="75">
        <f>$C43*F43</f>
        <v>290</v>
      </c>
      <c r="H43" s="71">
        <v>1</v>
      </c>
      <c r="I43" s="70">
        <f>$C43*H43</f>
        <v>290</v>
      </c>
    </row>
    <row r="44" spans="1:14" ht="13.5" customHeight="1" x14ac:dyDescent="0.3">
      <c r="A44" s="93" t="s">
        <v>5</v>
      </c>
      <c r="B44" s="67" t="s">
        <v>28</v>
      </c>
      <c r="C44" s="91">
        <v>590</v>
      </c>
      <c r="D44" s="71">
        <v>1</v>
      </c>
      <c r="E44" s="70">
        <f>$C44*D44</f>
        <v>590</v>
      </c>
      <c r="F44" s="64">
        <v>1</v>
      </c>
      <c r="G44" s="75">
        <f>$C44*F44</f>
        <v>590</v>
      </c>
      <c r="H44" s="71">
        <v>1</v>
      </c>
      <c r="I44" s="70">
        <f>$C44*H44</f>
        <v>590</v>
      </c>
    </row>
    <row r="45" spans="1:14" ht="13.5" customHeight="1" x14ac:dyDescent="0.3">
      <c r="A45" s="77" t="s">
        <v>82</v>
      </c>
      <c r="B45" s="82"/>
      <c r="C45" s="89"/>
      <c r="D45" s="77"/>
      <c r="E45" s="78" t="str">
        <f>TEXT((SUM(E46:E59)),"$0,000.00")</f>
        <v>$6,219.00</v>
      </c>
      <c r="F45" s="77"/>
      <c r="G45" s="79" t="str">
        <f>TEXT((SUM(G46:G59)),"$0,000.00")</f>
        <v>$5,944.00</v>
      </c>
      <c r="H45" s="77"/>
      <c r="I45" s="78" t="str">
        <f>TEXT((SUM(I46:I59)),"$0,000.00")</f>
        <v>$5,629.00</v>
      </c>
      <c r="N45" s="8">
        <f>E45*6+G45*5+I45</f>
        <v>72663</v>
      </c>
    </row>
    <row r="46" spans="1:14" ht="13.5" customHeight="1" x14ac:dyDescent="0.3">
      <c r="A46" s="90" t="s">
        <v>2</v>
      </c>
      <c r="B46" s="67" t="s">
        <v>28</v>
      </c>
      <c r="C46" s="94">
        <v>40</v>
      </c>
      <c r="D46" s="71">
        <v>23</v>
      </c>
      <c r="E46" s="70">
        <f t="shared" ref="E46:E59" si="6">$C46*D46</f>
        <v>920</v>
      </c>
      <c r="F46" s="64">
        <v>17</v>
      </c>
      <c r="G46" s="75">
        <f t="shared" ref="G46:G59" si="7">$C46*F46</f>
        <v>680</v>
      </c>
      <c r="H46" s="71">
        <v>13</v>
      </c>
      <c r="I46" s="70">
        <f t="shared" ref="I46:I59" si="8">$C46*H46</f>
        <v>520</v>
      </c>
    </row>
    <row r="47" spans="1:14" ht="13.5" customHeight="1" x14ac:dyDescent="0.3">
      <c r="A47" s="90" t="s">
        <v>157</v>
      </c>
      <c r="B47" s="67" t="s">
        <v>28</v>
      </c>
      <c r="C47" s="94">
        <v>120</v>
      </c>
      <c r="D47" s="71">
        <v>1</v>
      </c>
      <c r="E47" s="70">
        <f t="shared" ref="E47" si="9">$C47*D47</f>
        <v>120</v>
      </c>
      <c r="F47" s="64">
        <v>1</v>
      </c>
      <c r="G47" s="75">
        <f t="shared" ref="G47" si="10">$C47*F47</f>
        <v>120</v>
      </c>
      <c r="H47" s="71">
        <v>1</v>
      </c>
      <c r="I47" s="70">
        <f t="shared" ref="I47" si="11">$C47*H47</f>
        <v>120</v>
      </c>
    </row>
    <row r="48" spans="1:14" ht="13.5" customHeight="1" x14ac:dyDescent="0.3">
      <c r="A48" s="90" t="s">
        <v>3</v>
      </c>
      <c r="B48" s="67" t="s">
        <v>28</v>
      </c>
      <c r="C48" s="94">
        <v>80</v>
      </c>
      <c r="D48" s="71">
        <v>2</v>
      </c>
      <c r="E48" s="70">
        <f t="shared" si="6"/>
        <v>160</v>
      </c>
      <c r="F48" s="64">
        <v>3</v>
      </c>
      <c r="G48" s="75">
        <f t="shared" si="7"/>
        <v>240</v>
      </c>
      <c r="H48" s="71">
        <v>3</v>
      </c>
      <c r="I48" s="70">
        <f t="shared" si="8"/>
        <v>240</v>
      </c>
    </row>
    <row r="49" spans="1:11" ht="13.5" customHeight="1" x14ac:dyDescent="0.3">
      <c r="A49" s="90" t="s">
        <v>60</v>
      </c>
      <c r="B49" s="67" t="s">
        <v>28</v>
      </c>
      <c r="C49" s="94">
        <v>40</v>
      </c>
      <c r="D49" s="71">
        <v>12</v>
      </c>
      <c r="E49" s="70">
        <f t="shared" si="6"/>
        <v>480</v>
      </c>
      <c r="F49" s="64">
        <v>11</v>
      </c>
      <c r="G49" s="75">
        <f t="shared" si="7"/>
        <v>440</v>
      </c>
      <c r="H49" s="71">
        <v>9</v>
      </c>
      <c r="I49" s="70">
        <f t="shared" si="8"/>
        <v>360</v>
      </c>
    </row>
    <row r="50" spans="1:11" s="9" customFormat="1" ht="13.5" customHeight="1" x14ac:dyDescent="0.3">
      <c r="A50" s="90" t="s">
        <v>4</v>
      </c>
      <c r="B50" s="67" t="s">
        <v>28</v>
      </c>
      <c r="C50" s="94">
        <v>15</v>
      </c>
      <c r="D50" s="71">
        <v>2</v>
      </c>
      <c r="E50" s="70">
        <f t="shared" si="6"/>
        <v>30</v>
      </c>
      <c r="F50" s="64">
        <v>2</v>
      </c>
      <c r="G50" s="75">
        <f t="shared" si="7"/>
        <v>30</v>
      </c>
      <c r="H50" s="71">
        <v>2</v>
      </c>
      <c r="I50" s="70">
        <f t="shared" si="8"/>
        <v>30</v>
      </c>
    </row>
    <row r="51" spans="1:11" ht="13.5" customHeight="1" x14ac:dyDescent="0.3">
      <c r="A51" s="95" t="s">
        <v>144</v>
      </c>
      <c r="B51" s="66" t="s">
        <v>28</v>
      </c>
      <c r="C51" s="91">
        <v>1100</v>
      </c>
      <c r="D51" s="69">
        <v>1</v>
      </c>
      <c r="E51" s="70">
        <f t="shared" si="6"/>
        <v>1100</v>
      </c>
      <c r="F51" s="63">
        <v>1</v>
      </c>
      <c r="G51" s="75">
        <f t="shared" si="7"/>
        <v>1100</v>
      </c>
      <c r="H51" s="69">
        <v>1</v>
      </c>
      <c r="I51" s="70">
        <f t="shared" si="8"/>
        <v>1100</v>
      </c>
    </row>
    <row r="52" spans="1:11" ht="13.5" customHeight="1" x14ac:dyDescent="0.3">
      <c r="A52" s="93" t="s">
        <v>141</v>
      </c>
      <c r="B52" s="66" t="s">
        <v>28</v>
      </c>
      <c r="C52" s="91">
        <v>1500</v>
      </c>
      <c r="D52" s="69">
        <v>1</v>
      </c>
      <c r="E52" s="70">
        <f t="shared" si="6"/>
        <v>1500</v>
      </c>
      <c r="F52" s="63">
        <v>1</v>
      </c>
      <c r="G52" s="75">
        <f t="shared" si="7"/>
        <v>1500</v>
      </c>
      <c r="H52" s="69">
        <v>1</v>
      </c>
      <c r="I52" s="70">
        <f t="shared" si="8"/>
        <v>1500</v>
      </c>
    </row>
    <row r="53" spans="1:11" s="9" customFormat="1" ht="13.5" customHeight="1" x14ac:dyDescent="0.3">
      <c r="A53" s="90" t="s">
        <v>18</v>
      </c>
      <c r="B53" s="67" t="s">
        <v>28</v>
      </c>
      <c r="C53" s="94">
        <v>110</v>
      </c>
      <c r="D53" s="71">
        <v>1</v>
      </c>
      <c r="E53" s="70">
        <f t="shared" si="6"/>
        <v>110</v>
      </c>
      <c r="F53" s="64">
        <v>1</v>
      </c>
      <c r="G53" s="75">
        <f t="shared" si="7"/>
        <v>110</v>
      </c>
      <c r="H53" s="71">
        <v>1</v>
      </c>
      <c r="I53" s="70">
        <f t="shared" si="8"/>
        <v>110</v>
      </c>
      <c r="K53" s="31"/>
    </row>
    <row r="54" spans="1:11" ht="13.5" customHeight="1" x14ac:dyDescent="0.3">
      <c r="A54" s="93" t="s">
        <v>13</v>
      </c>
      <c r="B54" s="66" t="s">
        <v>28</v>
      </c>
      <c r="C54" s="91">
        <v>289</v>
      </c>
      <c r="D54" s="69">
        <v>1</v>
      </c>
      <c r="E54" s="70">
        <f t="shared" si="6"/>
        <v>289</v>
      </c>
      <c r="F54" s="63">
        <v>1</v>
      </c>
      <c r="G54" s="75">
        <f t="shared" si="7"/>
        <v>289</v>
      </c>
      <c r="H54" s="69">
        <v>1</v>
      </c>
      <c r="I54" s="70">
        <f t="shared" si="8"/>
        <v>289</v>
      </c>
      <c r="K54" s="31"/>
    </row>
    <row r="55" spans="1:11" s="9" customFormat="1" ht="13.5" customHeight="1" x14ac:dyDescent="0.35">
      <c r="A55" s="93" t="s">
        <v>116</v>
      </c>
      <c r="B55" s="66" t="s">
        <v>28</v>
      </c>
      <c r="C55" s="91">
        <v>75</v>
      </c>
      <c r="D55" s="69">
        <v>7</v>
      </c>
      <c r="E55" s="70">
        <f t="shared" si="6"/>
        <v>525</v>
      </c>
      <c r="F55" s="63">
        <v>6</v>
      </c>
      <c r="G55" s="75">
        <f t="shared" si="7"/>
        <v>450</v>
      </c>
      <c r="H55" s="69">
        <v>5</v>
      </c>
      <c r="I55" s="70">
        <f t="shared" si="8"/>
        <v>375</v>
      </c>
      <c r="K55" s="31"/>
    </row>
    <row r="56" spans="1:11" s="9" customFormat="1" ht="13.5" customHeight="1" x14ac:dyDescent="0.35">
      <c r="A56" s="93" t="s">
        <v>36</v>
      </c>
      <c r="B56" s="66" t="s">
        <v>28</v>
      </c>
      <c r="C56" s="91">
        <v>250</v>
      </c>
      <c r="D56" s="69">
        <v>2</v>
      </c>
      <c r="E56" s="70">
        <f t="shared" si="6"/>
        <v>500</v>
      </c>
      <c r="F56" s="63">
        <v>2</v>
      </c>
      <c r="G56" s="75">
        <f t="shared" si="7"/>
        <v>500</v>
      </c>
      <c r="H56" s="69">
        <v>2</v>
      </c>
      <c r="I56" s="70">
        <f t="shared" si="8"/>
        <v>500</v>
      </c>
      <c r="K56" s="31"/>
    </row>
    <row r="57" spans="1:11" s="9" customFormat="1" ht="13.5" customHeight="1" x14ac:dyDescent="0.35">
      <c r="A57" s="93" t="s">
        <v>19</v>
      </c>
      <c r="B57" s="66" t="s">
        <v>28</v>
      </c>
      <c r="C57" s="91">
        <v>110</v>
      </c>
      <c r="D57" s="69">
        <v>1</v>
      </c>
      <c r="E57" s="70">
        <f t="shared" si="6"/>
        <v>110</v>
      </c>
      <c r="F57" s="63">
        <v>1</v>
      </c>
      <c r="G57" s="75">
        <f t="shared" si="7"/>
        <v>110</v>
      </c>
      <c r="H57" s="69">
        <v>1</v>
      </c>
      <c r="I57" s="70">
        <f t="shared" si="8"/>
        <v>110</v>
      </c>
      <c r="K57" s="31"/>
    </row>
    <row r="58" spans="1:11" ht="13.5" customHeight="1" x14ac:dyDescent="0.3">
      <c r="A58" s="93" t="s">
        <v>71</v>
      </c>
      <c r="B58" s="66" t="s">
        <v>28</v>
      </c>
      <c r="C58" s="91">
        <v>295</v>
      </c>
      <c r="D58" s="69">
        <v>1</v>
      </c>
      <c r="E58" s="70">
        <f t="shared" si="6"/>
        <v>295</v>
      </c>
      <c r="F58" s="63">
        <v>1</v>
      </c>
      <c r="G58" s="75">
        <f t="shared" si="7"/>
        <v>295</v>
      </c>
      <c r="H58" s="69">
        <v>1</v>
      </c>
      <c r="I58" s="70">
        <f t="shared" si="8"/>
        <v>295</v>
      </c>
      <c r="K58" s="31"/>
    </row>
    <row r="59" spans="1:11" ht="13.5" customHeight="1" x14ac:dyDescent="0.3">
      <c r="A59" s="93" t="s">
        <v>20</v>
      </c>
      <c r="B59" s="66" t="s">
        <v>28</v>
      </c>
      <c r="C59" s="91">
        <v>80</v>
      </c>
      <c r="D59" s="69">
        <v>1</v>
      </c>
      <c r="E59" s="70">
        <f t="shared" si="6"/>
        <v>80</v>
      </c>
      <c r="F59" s="63">
        <v>1</v>
      </c>
      <c r="G59" s="75">
        <f t="shared" si="7"/>
        <v>80</v>
      </c>
      <c r="H59" s="69">
        <v>1</v>
      </c>
      <c r="I59" s="70">
        <f t="shared" si="8"/>
        <v>80</v>
      </c>
      <c r="K59" s="31"/>
    </row>
    <row r="60" spans="1:11" ht="13.5" customHeight="1" x14ac:dyDescent="0.3">
      <c r="A60" s="77" t="s">
        <v>83</v>
      </c>
      <c r="B60" s="82"/>
      <c r="C60" s="89"/>
      <c r="D60" s="77"/>
      <c r="E60" s="78" t="str">
        <f>TEXT((SUM(E61:E63)),"$0,000.00")</f>
        <v>$4,680.00</v>
      </c>
      <c r="F60" s="77"/>
      <c r="G60" s="79" t="str">
        <f>TEXT((SUM(G61:G63)),"$0,000.00")</f>
        <v>$4,063.50</v>
      </c>
      <c r="H60" s="77"/>
      <c r="I60" s="78" t="str">
        <f>TEXT((SUM(I61:I63)),"$0,000.00")</f>
        <v>$3,802.50</v>
      </c>
    </row>
    <row r="61" spans="1:11" ht="13.5" customHeight="1" x14ac:dyDescent="0.3">
      <c r="A61" s="90" t="s">
        <v>14</v>
      </c>
      <c r="B61" s="66" t="s">
        <v>29</v>
      </c>
      <c r="C61" s="91">
        <v>2.5</v>
      </c>
      <c r="D61" s="69">
        <v>1040</v>
      </c>
      <c r="E61" s="70">
        <f>$C61*D61</f>
        <v>2600</v>
      </c>
      <c r="F61" s="63">
        <v>903</v>
      </c>
      <c r="G61" s="75">
        <f>$C61*F61</f>
        <v>2257.5</v>
      </c>
      <c r="H61" s="69">
        <v>845</v>
      </c>
      <c r="I61" s="70">
        <f>$C61*H61</f>
        <v>2112.5</v>
      </c>
    </row>
    <row r="62" spans="1:11" ht="13.5" customHeight="1" x14ac:dyDescent="0.3">
      <c r="A62" s="90" t="s">
        <v>142</v>
      </c>
      <c r="B62" s="66" t="s">
        <v>29</v>
      </c>
      <c r="C62" s="91">
        <v>1</v>
      </c>
      <c r="D62" s="69">
        <v>1040</v>
      </c>
      <c r="E62" s="70">
        <f>$C62*D62</f>
        <v>1040</v>
      </c>
      <c r="F62" s="63">
        <v>903</v>
      </c>
      <c r="G62" s="75">
        <f>$C62*F62</f>
        <v>903</v>
      </c>
      <c r="H62" s="69">
        <v>845</v>
      </c>
      <c r="I62" s="70">
        <f>$C62*H62</f>
        <v>845</v>
      </c>
    </row>
    <row r="63" spans="1:11" ht="13.5" customHeight="1" x14ac:dyDescent="0.3">
      <c r="A63" s="90" t="s">
        <v>0</v>
      </c>
      <c r="B63" s="66" t="s">
        <v>29</v>
      </c>
      <c r="C63" s="91">
        <v>1</v>
      </c>
      <c r="D63" s="69">
        <v>1040</v>
      </c>
      <c r="E63" s="70">
        <f>$C63*D63</f>
        <v>1040</v>
      </c>
      <c r="F63" s="63">
        <v>903</v>
      </c>
      <c r="G63" s="75">
        <f>$C63*F63</f>
        <v>903</v>
      </c>
      <c r="H63" s="69">
        <v>845</v>
      </c>
      <c r="I63" s="70">
        <f>$C63*H63</f>
        <v>845</v>
      </c>
    </row>
    <row r="64" spans="1:11" ht="13.5" customHeight="1" x14ac:dyDescent="0.3">
      <c r="A64" s="77" t="s">
        <v>85</v>
      </c>
      <c r="B64" s="82"/>
      <c r="C64" s="89"/>
      <c r="D64" s="77"/>
      <c r="E64" s="78" t="str">
        <f>TEXT((SUM(E65)),"$0,000.00")</f>
        <v>$0,416.00</v>
      </c>
      <c r="F64" s="77"/>
      <c r="G64" s="79" t="str">
        <f>TEXT((SUM(G65)),"$0,000.00")</f>
        <v>$0,361.20</v>
      </c>
      <c r="H64" s="77"/>
      <c r="I64" s="78" t="str">
        <f>TEXT((SUM(I65)),"$0,000.00")</f>
        <v>$0,338.00</v>
      </c>
    </row>
    <row r="65" spans="1:13" ht="13.5" customHeight="1" x14ac:dyDescent="0.3">
      <c r="A65" s="90" t="s">
        <v>6</v>
      </c>
      <c r="B65" s="66" t="s">
        <v>29</v>
      </c>
      <c r="C65" s="91">
        <v>0.4</v>
      </c>
      <c r="D65" s="69">
        <v>1040</v>
      </c>
      <c r="E65" s="70">
        <f>$C65*D65</f>
        <v>416</v>
      </c>
      <c r="F65" s="63">
        <v>903</v>
      </c>
      <c r="G65" s="75">
        <f>$C65*F65</f>
        <v>361.20000000000005</v>
      </c>
      <c r="H65" s="69">
        <v>845</v>
      </c>
      <c r="I65" s="70">
        <f>$C65*H65</f>
        <v>338</v>
      </c>
    </row>
    <row r="66" spans="1:13" ht="13.5" customHeight="1" x14ac:dyDescent="0.3">
      <c r="A66" s="77" t="s">
        <v>86</v>
      </c>
      <c r="B66" s="82"/>
      <c r="C66" s="89"/>
      <c r="D66" s="77"/>
      <c r="E66" s="78" t="str">
        <f>TEXT((SUM(E67:E70)),"$0,000.00")</f>
        <v>$2,470.50</v>
      </c>
      <c r="F66" s="77"/>
      <c r="G66" s="79" t="str">
        <f>TEXT((SUM(G67:G70)),"$0,000.00")</f>
        <v>$2,470.50</v>
      </c>
      <c r="H66" s="77"/>
      <c r="I66" s="78" t="str">
        <f>TEXT((SUM(I67:I70)),"$0,000.00")</f>
        <v>$2,470.50</v>
      </c>
    </row>
    <row r="67" spans="1:13" s="9" customFormat="1" ht="13.5" customHeight="1" x14ac:dyDescent="0.3">
      <c r="A67" s="90" t="s">
        <v>39</v>
      </c>
      <c r="B67" s="66" t="s">
        <v>32</v>
      </c>
      <c r="C67" s="91">
        <f>1002.75+897.75+220+250-100</f>
        <v>2270.5</v>
      </c>
      <c r="D67" s="69">
        <v>1</v>
      </c>
      <c r="E67" s="70">
        <f>$C67*D67</f>
        <v>2270.5</v>
      </c>
      <c r="F67" s="63">
        <v>1</v>
      </c>
      <c r="G67" s="75">
        <f>$C67*F67</f>
        <v>2270.5</v>
      </c>
      <c r="H67" s="69">
        <v>1</v>
      </c>
      <c r="I67" s="70">
        <f>$C67*H67</f>
        <v>2270.5</v>
      </c>
    </row>
    <row r="68" spans="1:13" ht="13.5" customHeight="1" x14ac:dyDescent="0.3">
      <c r="A68" s="93" t="s">
        <v>23</v>
      </c>
      <c r="B68" s="66" t="s">
        <v>28</v>
      </c>
      <c r="C68" s="91">
        <f>719.25+100</f>
        <v>819.25</v>
      </c>
      <c r="D68" s="69">
        <v>0</v>
      </c>
      <c r="E68" s="70">
        <f>$C68*D68</f>
        <v>0</v>
      </c>
      <c r="F68" s="63">
        <v>0</v>
      </c>
      <c r="G68" s="75">
        <f>$C68*F68</f>
        <v>0</v>
      </c>
      <c r="H68" s="69">
        <v>0</v>
      </c>
      <c r="I68" s="70">
        <f>$C68*H68</f>
        <v>0</v>
      </c>
    </row>
    <row r="69" spans="1:13" s="9" customFormat="1" ht="13.5" customHeight="1" x14ac:dyDescent="0.35">
      <c r="A69" s="93" t="s">
        <v>47</v>
      </c>
      <c r="B69" s="66" t="s">
        <v>28</v>
      </c>
      <c r="C69" s="91">
        <v>100</v>
      </c>
      <c r="D69" s="69">
        <v>1</v>
      </c>
      <c r="E69" s="70">
        <f>$C69*D69</f>
        <v>100</v>
      </c>
      <c r="F69" s="63">
        <v>1</v>
      </c>
      <c r="G69" s="75">
        <f>$C69*F69</f>
        <v>100</v>
      </c>
      <c r="H69" s="69">
        <v>1</v>
      </c>
      <c r="I69" s="70">
        <f>$C69*H69</f>
        <v>100</v>
      </c>
    </row>
    <row r="70" spans="1:13" ht="13.5" customHeight="1" x14ac:dyDescent="0.3">
      <c r="A70" s="93" t="s">
        <v>48</v>
      </c>
      <c r="B70" s="66" t="s">
        <v>28</v>
      </c>
      <c r="C70" s="91">
        <v>100</v>
      </c>
      <c r="D70" s="69">
        <v>1</v>
      </c>
      <c r="E70" s="70">
        <f>$C70*D70</f>
        <v>100</v>
      </c>
      <c r="F70" s="63">
        <v>1</v>
      </c>
      <c r="G70" s="75">
        <f>$C70*F70</f>
        <v>100</v>
      </c>
      <c r="H70" s="69">
        <v>1</v>
      </c>
      <c r="I70" s="70">
        <f>$C70*H70</f>
        <v>100</v>
      </c>
    </row>
    <row r="71" spans="1:13" ht="13.5" customHeight="1" x14ac:dyDescent="0.3">
      <c r="A71" s="77" t="s">
        <v>84</v>
      </c>
      <c r="B71" s="82"/>
      <c r="C71" s="89"/>
      <c r="D71" s="77"/>
      <c r="E71" s="78" t="str">
        <f>TEXT((SUM(E72:E73)),"$0,000.00")</f>
        <v>$0,000.00</v>
      </c>
      <c r="F71" s="77"/>
      <c r="G71" s="79" t="str">
        <f>TEXT((SUM(G72:G73)),"$0,000.00")</f>
        <v>$0,000.00</v>
      </c>
      <c r="H71" s="77"/>
      <c r="I71" s="78" t="str">
        <f>TEXT((SUM(I72:I73)),"$0,000.00")</f>
        <v>$0,000.00</v>
      </c>
      <c r="K71" s="31"/>
      <c r="M71" s="31"/>
    </row>
    <row r="72" spans="1:13" ht="13.5" customHeight="1" x14ac:dyDescent="0.3">
      <c r="A72" s="90" t="s">
        <v>21</v>
      </c>
      <c r="B72" s="66" t="s">
        <v>28</v>
      </c>
      <c r="C72" s="91">
        <v>350</v>
      </c>
      <c r="D72" s="69">
        <v>0</v>
      </c>
      <c r="E72" s="70">
        <f>$C72*D72</f>
        <v>0</v>
      </c>
      <c r="F72" s="63">
        <v>0</v>
      </c>
      <c r="G72" s="75">
        <f>$C72*F72</f>
        <v>0</v>
      </c>
      <c r="H72" s="69">
        <v>0</v>
      </c>
      <c r="I72" s="70">
        <f>$C72*H72</f>
        <v>0</v>
      </c>
      <c r="K72" s="31"/>
      <c r="M72" s="31"/>
    </row>
    <row r="73" spans="1:13" ht="13.5" customHeight="1" x14ac:dyDescent="0.3">
      <c r="A73" s="90" t="s">
        <v>22</v>
      </c>
      <c r="B73" s="66" t="s">
        <v>28</v>
      </c>
      <c r="C73" s="91">
        <v>425</v>
      </c>
      <c r="D73" s="69">
        <v>0</v>
      </c>
      <c r="E73" s="70">
        <f>$C73*D73</f>
        <v>0</v>
      </c>
      <c r="F73" s="63">
        <v>0</v>
      </c>
      <c r="G73" s="75">
        <f>$C73*F73</f>
        <v>0</v>
      </c>
      <c r="H73" s="69">
        <v>0</v>
      </c>
      <c r="I73" s="70">
        <f>$C73*H73</f>
        <v>0</v>
      </c>
      <c r="K73" s="31"/>
      <c r="M73" s="31"/>
    </row>
    <row r="74" spans="1:13" ht="13.5" customHeight="1" x14ac:dyDescent="0.3">
      <c r="A74" s="77" t="s">
        <v>87</v>
      </c>
      <c r="B74" s="82"/>
      <c r="C74" s="89"/>
      <c r="D74" s="77"/>
      <c r="E74" s="78" t="str">
        <f>TEXT((SUM(E75:E80)),"$0,000.00")</f>
        <v>$10,900.00</v>
      </c>
      <c r="F74" s="77"/>
      <c r="G74" s="79" t="str">
        <f>TEXT((SUM(G75:G80)),"$0,000.00")</f>
        <v>$10,900.00</v>
      </c>
      <c r="H74" s="77"/>
      <c r="I74" s="78" t="str">
        <f>TEXT((SUM(I75:I80)),"$0,000.00")</f>
        <v>$10,900.00</v>
      </c>
    </row>
    <row r="75" spans="1:13" s="9" customFormat="1" ht="13.5" customHeight="1" x14ac:dyDescent="0.35">
      <c r="A75" s="93" t="s">
        <v>117</v>
      </c>
      <c r="B75" s="66" t="s">
        <v>33</v>
      </c>
      <c r="C75" s="91">
        <v>2500</v>
      </c>
      <c r="D75" s="69">
        <v>0</v>
      </c>
      <c r="E75" s="70">
        <f t="shared" ref="E75:E81" si="12">$C75*D75</f>
        <v>0</v>
      </c>
      <c r="F75" s="63">
        <v>0</v>
      </c>
      <c r="G75" s="75">
        <f t="shared" ref="G75:G81" si="13">$C75*F75</f>
        <v>0</v>
      </c>
      <c r="H75" s="69">
        <v>0</v>
      </c>
      <c r="I75" s="70">
        <f t="shared" ref="I75:I81" si="14">$C75*H75</f>
        <v>0</v>
      </c>
    </row>
    <row r="76" spans="1:13" s="9" customFormat="1" ht="13.5" customHeight="1" x14ac:dyDescent="0.35">
      <c r="A76" s="93" t="s">
        <v>124</v>
      </c>
      <c r="B76" s="66" t="s">
        <v>33</v>
      </c>
      <c r="C76" s="91">
        <v>750</v>
      </c>
      <c r="D76" s="69">
        <v>1</v>
      </c>
      <c r="E76" s="70">
        <f t="shared" si="12"/>
        <v>750</v>
      </c>
      <c r="F76" s="63">
        <v>1</v>
      </c>
      <c r="G76" s="75">
        <f t="shared" si="13"/>
        <v>750</v>
      </c>
      <c r="H76" s="69">
        <v>1</v>
      </c>
      <c r="I76" s="70">
        <f t="shared" si="14"/>
        <v>750</v>
      </c>
    </row>
    <row r="77" spans="1:13" s="9" customFormat="1" ht="13.5" customHeight="1" x14ac:dyDescent="0.35">
      <c r="A77" s="93" t="s">
        <v>8</v>
      </c>
      <c r="B77" s="66" t="s">
        <v>33</v>
      </c>
      <c r="C77" s="91">
        <v>1500</v>
      </c>
      <c r="D77" s="69">
        <v>1</v>
      </c>
      <c r="E77" s="70">
        <f t="shared" si="12"/>
        <v>1500</v>
      </c>
      <c r="F77" s="63">
        <v>1</v>
      </c>
      <c r="G77" s="75">
        <f t="shared" si="13"/>
        <v>1500</v>
      </c>
      <c r="H77" s="69">
        <v>1</v>
      </c>
      <c r="I77" s="70">
        <f t="shared" si="14"/>
        <v>1500</v>
      </c>
    </row>
    <row r="78" spans="1:13" s="9" customFormat="1" ht="13.5" customHeight="1" x14ac:dyDescent="0.35">
      <c r="A78" s="93" t="s">
        <v>106</v>
      </c>
      <c r="B78" s="66" t="s">
        <v>33</v>
      </c>
      <c r="C78" s="91">
        <v>2650</v>
      </c>
      <c r="D78" s="69">
        <v>1</v>
      </c>
      <c r="E78" s="70">
        <f t="shared" si="12"/>
        <v>2650</v>
      </c>
      <c r="F78" s="63">
        <v>1</v>
      </c>
      <c r="G78" s="75">
        <f t="shared" si="13"/>
        <v>2650</v>
      </c>
      <c r="H78" s="69">
        <v>1</v>
      </c>
      <c r="I78" s="70">
        <f t="shared" si="14"/>
        <v>2650</v>
      </c>
    </row>
    <row r="79" spans="1:13" ht="13.5" customHeight="1" x14ac:dyDescent="0.3">
      <c r="A79" s="93" t="s">
        <v>133</v>
      </c>
      <c r="B79" s="66" t="s">
        <v>33</v>
      </c>
      <c r="C79" s="91">
        <v>3000</v>
      </c>
      <c r="D79" s="69">
        <v>1</v>
      </c>
      <c r="E79" s="70">
        <f t="shared" si="12"/>
        <v>3000</v>
      </c>
      <c r="F79" s="63">
        <v>1</v>
      </c>
      <c r="G79" s="75">
        <f t="shared" si="13"/>
        <v>3000</v>
      </c>
      <c r="H79" s="69">
        <v>1</v>
      </c>
      <c r="I79" s="70">
        <f t="shared" si="14"/>
        <v>3000</v>
      </c>
    </row>
    <row r="80" spans="1:13" ht="13.5" customHeight="1" thickBot="1" x14ac:dyDescent="0.35">
      <c r="A80" s="96" t="s">
        <v>9</v>
      </c>
      <c r="B80" s="97" t="s">
        <v>33</v>
      </c>
      <c r="C80" s="98">
        <v>3000</v>
      </c>
      <c r="D80" s="72">
        <v>1</v>
      </c>
      <c r="E80" s="73">
        <f t="shared" si="12"/>
        <v>3000</v>
      </c>
      <c r="F80" s="65">
        <v>1</v>
      </c>
      <c r="G80" s="76">
        <f t="shared" si="13"/>
        <v>3000</v>
      </c>
      <c r="H80" s="72">
        <v>1</v>
      </c>
      <c r="I80" s="73">
        <f t="shared" si="14"/>
        <v>3000</v>
      </c>
    </row>
    <row r="81" spans="1:14" hidden="1" x14ac:dyDescent="0.3">
      <c r="E81" s="68">
        <f t="shared" si="12"/>
        <v>0</v>
      </c>
      <c r="G81" s="68">
        <f t="shared" si="13"/>
        <v>0</v>
      </c>
      <c r="I81" s="68">
        <f t="shared" si="14"/>
        <v>0</v>
      </c>
    </row>
    <row r="82" spans="1:14" ht="13.5" thickBot="1" x14ac:dyDescent="0.35"/>
    <row r="83" spans="1:14" ht="13.5" customHeight="1" x14ac:dyDescent="0.3">
      <c r="A83" s="108" t="s">
        <v>152</v>
      </c>
      <c r="B83" s="109"/>
      <c r="C83" s="109"/>
      <c r="D83" s="108"/>
      <c r="E83" s="110" t="str">
        <f>TEXT((SUM(E84:E86)),"$0,000.00")</f>
        <v>$738,908.30</v>
      </c>
      <c r="F83" s="8"/>
      <c r="G83" s="8"/>
      <c r="H83" s="8"/>
      <c r="I83" s="8"/>
    </row>
    <row r="84" spans="1:14" s="9" customFormat="1" ht="13.5" customHeight="1" x14ac:dyDescent="0.35">
      <c r="A84" s="93" t="s">
        <v>153</v>
      </c>
      <c r="B84" s="66" t="s">
        <v>28</v>
      </c>
      <c r="C84" s="91">
        <f>D3</f>
        <v>63444.02</v>
      </c>
      <c r="D84" s="69">
        <v>6</v>
      </c>
      <c r="E84" s="70">
        <f t="shared" ref="E84:E86" si="15">$C84*D84</f>
        <v>380664.12</v>
      </c>
    </row>
    <row r="85" spans="1:14" s="9" customFormat="1" ht="13.5" customHeight="1" x14ac:dyDescent="0.35">
      <c r="A85" s="93" t="s">
        <v>154</v>
      </c>
      <c r="B85" s="66" t="s">
        <v>28</v>
      </c>
      <c r="C85" s="91">
        <f>F3</f>
        <v>60498.912499999991</v>
      </c>
      <c r="D85" s="69">
        <v>5</v>
      </c>
      <c r="E85" s="70">
        <f t="shared" si="15"/>
        <v>302494.56249999994</v>
      </c>
      <c r="I85" s="10">
        <f>6*SUM(E6:E7)</f>
        <v>85560</v>
      </c>
    </row>
    <row r="86" spans="1:14" s="9" customFormat="1" ht="13.5" customHeight="1" thickBot="1" x14ac:dyDescent="0.35">
      <c r="A86" s="116" t="s">
        <v>155</v>
      </c>
      <c r="B86" s="97" t="s">
        <v>28</v>
      </c>
      <c r="C86" s="98">
        <f>H3</f>
        <v>55749.614999999998</v>
      </c>
      <c r="D86" s="72">
        <v>1</v>
      </c>
      <c r="E86" s="73">
        <f t="shared" si="15"/>
        <v>55749.614999999998</v>
      </c>
      <c r="I86" s="10">
        <f>5*SUM(G6:G7)</f>
        <v>62833.5</v>
      </c>
    </row>
    <row r="87" spans="1:14" ht="13.5" thickBot="1" x14ac:dyDescent="0.35">
      <c r="I87" s="10">
        <f>SUM(I6:I7)</f>
        <v>11022.5</v>
      </c>
    </row>
    <row r="88" spans="1:14" ht="13.5" customHeight="1" x14ac:dyDescent="0.3">
      <c r="A88" s="108" t="s">
        <v>145</v>
      </c>
      <c r="B88" s="109"/>
      <c r="C88" s="109"/>
      <c r="D88" s="108"/>
      <c r="E88" s="110" t="str">
        <f>TEXT((SUM(E89:E105)),"$0,000.00")</f>
        <v>$65,494.77</v>
      </c>
      <c r="F88" s="8"/>
      <c r="G88" s="8"/>
      <c r="H88" s="8"/>
      <c r="I88" s="119">
        <f>E89+E90</f>
        <v>22228</v>
      </c>
    </row>
    <row r="89" spans="1:14" s="9" customFormat="1" ht="13.5" customHeight="1" x14ac:dyDescent="0.35">
      <c r="A89" s="93" t="s">
        <v>146</v>
      </c>
      <c r="B89" s="66" t="s">
        <v>27</v>
      </c>
      <c r="C89" s="91">
        <v>32</v>
      </c>
      <c r="D89" s="69">
        <v>410</v>
      </c>
      <c r="E89" s="70">
        <f t="shared" ref="E89:E101" si="16">$C89*D89</f>
        <v>13120</v>
      </c>
      <c r="I89" s="10">
        <f>SUM(I85:I88)</f>
        <v>181644</v>
      </c>
    </row>
    <row r="90" spans="1:14" s="9" customFormat="1" ht="13.5" customHeight="1" x14ac:dyDescent="0.35">
      <c r="A90" s="93" t="s">
        <v>147</v>
      </c>
      <c r="B90" s="66" t="s">
        <v>29</v>
      </c>
      <c r="C90" s="91">
        <v>6.9</v>
      </c>
      <c r="D90" s="69">
        <f>390*3+150</f>
        <v>1320</v>
      </c>
      <c r="E90" s="70">
        <f t="shared" ref="E90" si="17">$C90*D90</f>
        <v>9108</v>
      </c>
      <c r="I90" s="10">
        <f>I89+E110+E93+E63*6+G63*5+I63</f>
        <v>209249</v>
      </c>
      <c r="N90" s="10">
        <f>I90-176273.47</f>
        <v>32975.53</v>
      </c>
    </row>
    <row r="91" spans="1:14" s="9" customFormat="1" ht="13.5" customHeight="1" x14ac:dyDescent="0.3">
      <c r="A91" s="90" t="s">
        <v>14</v>
      </c>
      <c r="B91" s="66" t="s">
        <v>107</v>
      </c>
      <c r="C91" s="91">
        <v>1850</v>
      </c>
      <c r="D91" s="69">
        <v>3</v>
      </c>
      <c r="E91" s="70">
        <f t="shared" si="16"/>
        <v>5550</v>
      </c>
      <c r="I91" s="10"/>
    </row>
    <row r="92" spans="1:14" s="9" customFormat="1" ht="13.5" customHeight="1" x14ac:dyDescent="0.3">
      <c r="A92" s="90" t="s">
        <v>142</v>
      </c>
      <c r="B92" s="66" t="s">
        <v>29</v>
      </c>
      <c r="C92" s="91">
        <v>1</v>
      </c>
      <c r="D92" s="69">
        <f>390*3+150</f>
        <v>1320</v>
      </c>
      <c r="E92" s="70">
        <f t="shared" si="16"/>
        <v>1320</v>
      </c>
      <c r="I92" s="10"/>
    </row>
    <row r="93" spans="1:14" s="9" customFormat="1" ht="13.5" customHeight="1" x14ac:dyDescent="0.3">
      <c r="A93" s="90" t="s">
        <v>0</v>
      </c>
      <c r="B93" s="66" t="s">
        <v>29</v>
      </c>
      <c r="C93" s="91">
        <v>1</v>
      </c>
      <c r="D93" s="69">
        <f>390*3+150</f>
        <v>1320</v>
      </c>
      <c r="E93" s="70">
        <f t="shared" si="16"/>
        <v>1320</v>
      </c>
      <c r="I93" s="10"/>
    </row>
    <row r="94" spans="1:14" s="9" customFormat="1" ht="13.5" customHeight="1" x14ac:dyDescent="0.35">
      <c r="A94" s="93" t="s">
        <v>31</v>
      </c>
      <c r="B94" s="60" t="s">
        <v>126</v>
      </c>
      <c r="C94" s="57">
        <v>4</v>
      </c>
      <c r="D94" s="69">
        <f>410*1.15</f>
        <v>471.49999999999994</v>
      </c>
      <c r="E94" s="70">
        <f t="shared" si="16"/>
        <v>1885.9999999999998</v>
      </c>
    </row>
    <row r="95" spans="1:14" ht="13.5" customHeight="1" x14ac:dyDescent="0.3">
      <c r="A95" s="90" t="s">
        <v>2</v>
      </c>
      <c r="B95" s="67" t="s">
        <v>28</v>
      </c>
      <c r="C95" s="94">
        <v>40</v>
      </c>
      <c r="D95" s="71">
        <v>6</v>
      </c>
      <c r="E95" s="70">
        <f t="shared" si="16"/>
        <v>240</v>
      </c>
      <c r="F95" s="8"/>
      <c r="G95" s="8"/>
      <c r="H95" s="8"/>
      <c r="I95" s="132">
        <f>E45*6+G45*5+I45+E95+E96+E97+E98+E99+E100</f>
        <v>84283</v>
      </c>
    </row>
    <row r="96" spans="1:14" ht="13.5" customHeight="1" x14ac:dyDescent="0.3">
      <c r="A96" s="90" t="s">
        <v>157</v>
      </c>
      <c r="B96" s="67" t="s">
        <v>28</v>
      </c>
      <c r="C96" s="94">
        <v>120</v>
      </c>
      <c r="D96" s="71">
        <v>1</v>
      </c>
      <c r="E96" s="70">
        <f t="shared" si="16"/>
        <v>120</v>
      </c>
      <c r="F96" s="8"/>
      <c r="G96" s="8"/>
      <c r="H96" s="8"/>
      <c r="I96" s="8"/>
    </row>
    <row r="97" spans="1:9" ht="13.5" customHeight="1" x14ac:dyDescent="0.3">
      <c r="A97" s="90" t="s">
        <v>60</v>
      </c>
      <c r="B97" s="67" t="s">
        <v>28</v>
      </c>
      <c r="C97" s="94">
        <v>40</v>
      </c>
      <c r="D97" s="71">
        <v>4</v>
      </c>
      <c r="E97" s="70">
        <f t="shared" si="16"/>
        <v>160</v>
      </c>
      <c r="F97" s="8"/>
      <c r="G97" s="8"/>
      <c r="H97" s="8"/>
      <c r="I97" s="119">
        <f>I95/12</f>
        <v>7023.583333333333</v>
      </c>
    </row>
    <row r="98" spans="1:9" s="9" customFormat="1" ht="13.5" customHeight="1" x14ac:dyDescent="0.35">
      <c r="A98" s="93" t="s">
        <v>116</v>
      </c>
      <c r="B98" s="66" t="s">
        <v>28</v>
      </c>
      <c r="C98" s="91">
        <v>75</v>
      </c>
      <c r="D98" s="69">
        <v>12</v>
      </c>
      <c r="E98" s="70">
        <f t="shared" si="16"/>
        <v>900</v>
      </c>
      <c r="F98" s="31"/>
      <c r="I98" s="10">
        <f>I95/1.3</f>
        <v>64833.076923076922</v>
      </c>
    </row>
    <row r="99" spans="1:9" ht="13.5" customHeight="1" x14ac:dyDescent="0.3">
      <c r="A99" s="90" t="s">
        <v>163</v>
      </c>
      <c r="B99" s="67" t="s">
        <v>151</v>
      </c>
      <c r="C99" s="94">
        <v>6400</v>
      </c>
      <c r="D99" s="71">
        <v>1</v>
      </c>
      <c r="E99" s="70">
        <f t="shared" si="16"/>
        <v>6400</v>
      </c>
      <c r="F99" s="8"/>
      <c r="G99" s="8"/>
      <c r="H99" s="8"/>
      <c r="I99" s="8">
        <f>38824.88/12</f>
        <v>3235.4066666666663</v>
      </c>
    </row>
    <row r="100" spans="1:9" ht="13.5" customHeight="1" x14ac:dyDescent="0.3">
      <c r="A100" s="90" t="s">
        <v>162</v>
      </c>
      <c r="B100" s="67" t="s">
        <v>151</v>
      </c>
      <c r="C100" s="94">
        <v>3800</v>
      </c>
      <c r="D100" s="71">
        <v>1</v>
      </c>
      <c r="E100" s="70">
        <f t="shared" ref="E100" si="18">$C100*D100</f>
        <v>3800</v>
      </c>
      <c r="F100" s="8"/>
      <c r="G100" s="8"/>
      <c r="H100" s="8"/>
      <c r="I100" s="8">
        <f>4500*12</f>
        <v>54000</v>
      </c>
    </row>
    <row r="101" spans="1:9" s="9" customFormat="1" ht="13.5" customHeight="1" x14ac:dyDescent="0.35">
      <c r="A101" s="93" t="s">
        <v>129</v>
      </c>
      <c r="B101" s="60" t="s">
        <v>127</v>
      </c>
      <c r="C101" s="57">
        <v>4.8499999999999996</v>
      </c>
      <c r="D101" s="69">
        <v>472</v>
      </c>
      <c r="E101" s="70">
        <f t="shared" si="16"/>
        <v>2289.1999999999998</v>
      </c>
    </row>
    <row r="102" spans="1:9" s="9" customFormat="1" ht="13.5" customHeight="1" x14ac:dyDescent="0.35">
      <c r="A102" s="93" t="s">
        <v>160</v>
      </c>
      <c r="B102" s="60" t="s">
        <v>127</v>
      </c>
      <c r="C102" s="57">
        <v>4.8499999999999996</v>
      </c>
      <c r="D102" s="69">
        <v>150</v>
      </c>
      <c r="E102" s="70">
        <f t="shared" ref="E102" si="19">$C102*D102</f>
        <v>727.5</v>
      </c>
    </row>
    <row r="103" spans="1:9" s="9" customFormat="1" ht="13.5" customHeight="1" x14ac:dyDescent="0.35">
      <c r="A103" s="93" t="s">
        <v>148</v>
      </c>
      <c r="B103" s="60" t="s">
        <v>28</v>
      </c>
      <c r="C103" s="57">
        <f>(12375-1575)/72</f>
        <v>150</v>
      </c>
      <c r="D103" s="69">
        <v>72</v>
      </c>
      <c r="E103" s="70">
        <f t="shared" ref="E103:E104" si="20">$C103*D103</f>
        <v>10800</v>
      </c>
    </row>
    <row r="104" spans="1:9" s="9" customFormat="1" ht="13.5" customHeight="1" x14ac:dyDescent="0.3">
      <c r="A104" s="90" t="s">
        <v>58</v>
      </c>
      <c r="B104" s="67" t="s">
        <v>27</v>
      </c>
      <c r="C104" s="91">
        <v>4.5</v>
      </c>
      <c r="D104" s="71">
        <f>20*16+20+20+40</f>
        <v>400</v>
      </c>
      <c r="E104" s="70">
        <f t="shared" si="20"/>
        <v>1800</v>
      </c>
    </row>
    <row r="105" spans="1:9" s="9" customFormat="1" ht="13.5" customHeight="1" thickBot="1" x14ac:dyDescent="0.35">
      <c r="A105" s="116" t="s">
        <v>159</v>
      </c>
      <c r="B105" s="117">
        <v>0.1</v>
      </c>
      <c r="C105" s="98">
        <f>SUM(E89:E104)</f>
        <v>59540.7</v>
      </c>
      <c r="D105" s="118">
        <v>0.1</v>
      </c>
      <c r="E105" s="73">
        <f t="shared" ref="E105" si="21">$C105*D105</f>
        <v>5954.07</v>
      </c>
    </row>
    <row r="106" spans="1:9" ht="13.5" thickBot="1" x14ac:dyDescent="0.35">
      <c r="F106" s="8"/>
      <c r="G106" s="8"/>
      <c r="H106" s="8"/>
      <c r="I106" s="8"/>
    </row>
    <row r="107" spans="1:9" ht="13.5" customHeight="1" x14ac:dyDescent="0.3">
      <c r="A107" s="108" t="s">
        <v>87</v>
      </c>
      <c r="B107" s="109"/>
      <c r="C107" s="109"/>
      <c r="D107" s="108"/>
      <c r="E107" s="110" t="str">
        <f>TEXT((SUM(E108:E112)),"$0,000.00")</f>
        <v>$37,307.50</v>
      </c>
      <c r="F107" s="8"/>
      <c r="G107" s="8"/>
      <c r="H107" s="8"/>
      <c r="I107" s="8"/>
    </row>
    <row r="108" spans="1:9" s="9" customFormat="1" ht="13.5" customHeight="1" x14ac:dyDescent="0.35">
      <c r="A108" s="93" t="s">
        <v>149</v>
      </c>
      <c r="B108" s="66" t="s">
        <v>29</v>
      </c>
      <c r="C108" s="57">
        <v>7.5</v>
      </c>
      <c r="D108" s="69">
        <v>903</v>
      </c>
      <c r="E108" s="70">
        <f t="shared" ref="E108:E109" si="22">$C108*D108</f>
        <v>6772.5</v>
      </c>
    </row>
    <row r="109" spans="1:9" s="9" customFormat="1" ht="13.5" customHeight="1" x14ac:dyDescent="0.35">
      <c r="A109" s="93" t="s">
        <v>150</v>
      </c>
      <c r="B109" s="60" t="s">
        <v>151</v>
      </c>
      <c r="C109" s="57">
        <v>4800</v>
      </c>
      <c r="D109" s="69">
        <v>1</v>
      </c>
      <c r="E109" s="70">
        <f t="shared" si="22"/>
        <v>4800</v>
      </c>
    </row>
    <row r="110" spans="1:9" s="9" customFormat="1" ht="13.5" customHeight="1" x14ac:dyDescent="0.35">
      <c r="A110" s="93" t="s">
        <v>156</v>
      </c>
      <c r="B110" s="60" t="s">
        <v>151</v>
      </c>
      <c r="C110" s="57">
        <v>14685</v>
      </c>
      <c r="D110" s="69">
        <v>1</v>
      </c>
      <c r="E110" s="70">
        <f t="shared" ref="E110" si="23">$C110*D110</f>
        <v>14685</v>
      </c>
    </row>
    <row r="111" spans="1:9" s="9" customFormat="1" ht="13.5" customHeight="1" x14ac:dyDescent="0.35">
      <c r="A111" s="93" t="s">
        <v>158</v>
      </c>
      <c r="B111" s="60" t="s">
        <v>151</v>
      </c>
      <c r="C111" s="57">
        <v>9800</v>
      </c>
      <c r="D111" s="69">
        <v>1</v>
      </c>
      <c r="E111" s="70">
        <f t="shared" ref="E111:E112" si="24">$C111*D111</f>
        <v>9800</v>
      </c>
    </row>
    <row r="112" spans="1:9" s="9" customFormat="1" ht="13.5" customHeight="1" thickBot="1" x14ac:dyDescent="0.4">
      <c r="A112" s="96" t="s">
        <v>110</v>
      </c>
      <c r="B112" s="111" t="s">
        <v>28</v>
      </c>
      <c r="C112" s="98">
        <v>1250</v>
      </c>
      <c r="D112" s="112">
        <v>1</v>
      </c>
      <c r="E112" s="73">
        <f t="shared" si="24"/>
        <v>1250</v>
      </c>
      <c r="G112" s="31"/>
      <c r="I112" s="31"/>
    </row>
    <row r="113" spans="1:5" ht="13.5" thickBot="1" x14ac:dyDescent="0.35"/>
    <row r="114" spans="1:5" ht="13.5" thickBot="1" x14ac:dyDescent="0.35">
      <c r="A114" s="113" t="s">
        <v>161</v>
      </c>
      <c r="B114" s="114"/>
      <c r="C114" s="114"/>
      <c r="D114" s="113"/>
      <c r="E114" s="115">
        <f>E107+E88+E83</f>
        <v>841710.57000000007</v>
      </c>
    </row>
  </sheetData>
  <mergeCells count="7">
    <mergeCell ref="D3:E3"/>
    <mergeCell ref="F3:G3"/>
    <mergeCell ref="H3:I3"/>
    <mergeCell ref="B1:E1"/>
    <mergeCell ref="D2:E2"/>
    <mergeCell ref="F2:G2"/>
    <mergeCell ref="H2:I2"/>
  </mergeCells>
  <pageMargins left="0.25" right="0.25" top="0.25" bottom="0.25" header="0.3" footer="0.3"/>
  <pageSetup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CD3B-D7F3-4488-AFF7-175D8B19A921}">
  <sheetPr>
    <pageSetUpPr fitToPage="1"/>
  </sheetPr>
  <dimension ref="A1:K82"/>
  <sheetViews>
    <sheetView zoomScale="150" zoomScaleNormal="150" workbookViewId="0">
      <selection activeCell="A3" sqref="A3:XFD4"/>
    </sheetView>
  </sheetViews>
  <sheetFormatPr defaultColWidth="9.1796875" defaultRowHeight="13" x14ac:dyDescent="0.3"/>
  <cols>
    <col min="1" max="1" width="47.54296875" style="15" customWidth="1"/>
    <col min="2" max="2" width="8.26953125" style="16" bestFit="1" customWidth="1"/>
    <col min="3" max="3" width="8.81640625" style="17" bestFit="1" customWidth="1"/>
    <col min="4" max="4" width="10.81640625" style="9" bestFit="1" customWidth="1"/>
    <col min="5" max="6" width="13.81640625" style="9" bestFit="1" customWidth="1"/>
    <col min="7" max="7" width="13.453125" style="9" bestFit="1" customWidth="1"/>
    <col min="8" max="8" width="3.26953125" style="8" bestFit="1" customWidth="1"/>
    <col min="9" max="9" width="10.81640625" style="8" bestFit="1" customWidth="1"/>
    <col min="10" max="10" width="10.26953125" style="8" bestFit="1" customWidth="1"/>
    <col min="11" max="16384" width="9.1796875" style="8"/>
  </cols>
  <sheetData>
    <row r="1" spans="1:11" s="3" customFormat="1" ht="81" customHeight="1" x14ac:dyDescent="0.35">
      <c r="A1" s="1" t="s">
        <v>72</v>
      </c>
      <c r="B1" s="123"/>
      <c r="C1" s="124"/>
      <c r="D1" s="124"/>
      <c r="E1" s="124"/>
      <c r="F1" s="124"/>
      <c r="G1" s="124"/>
      <c r="H1" s="2"/>
    </row>
    <row r="2" spans="1:11" ht="13.5" customHeight="1" x14ac:dyDescent="0.3">
      <c r="A2" s="4"/>
      <c r="B2" s="5" t="s">
        <v>26</v>
      </c>
      <c r="C2" s="6" t="s">
        <v>40</v>
      </c>
      <c r="D2" s="7" t="s">
        <v>42</v>
      </c>
      <c r="E2" s="7" t="s">
        <v>41</v>
      </c>
      <c r="F2" s="7" t="s">
        <v>55</v>
      </c>
      <c r="G2" s="7" t="s">
        <v>56</v>
      </c>
    </row>
    <row r="3" spans="1:11" ht="13.5" customHeight="1" x14ac:dyDescent="0.3">
      <c r="A3" s="29" t="s">
        <v>76</v>
      </c>
      <c r="B3" s="30"/>
      <c r="C3" s="30"/>
      <c r="D3" s="30"/>
      <c r="E3" s="35" t="str">
        <f>TEXT((SUM(E4:E7)),"$0,000.00")</f>
        <v>$205,115.50</v>
      </c>
      <c r="F3" s="35" t="str">
        <f>TEXT((SUM(F4:F7)),"$0,000.00")</f>
        <v>$199,240.03</v>
      </c>
      <c r="G3" s="35" t="str">
        <f>TEXT((SUM(G4:G7)),"$0,000.00")</f>
        <v>$5,875.47</v>
      </c>
    </row>
    <row r="4" spans="1:11" s="9" customFormat="1" ht="13.5" customHeight="1" x14ac:dyDescent="0.3">
      <c r="A4" s="19" t="s">
        <v>46</v>
      </c>
      <c r="B4" s="20" t="s">
        <v>27</v>
      </c>
      <c r="C4" s="21">
        <v>5250</v>
      </c>
      <c r="D4" s="22">
        <v>18</v>
      </c>
      <c r="E4" s="22">
        <f>D4*C4</f>
        <v>94500</v>
      </c>
      <c r="F4" s="22">
        <v>92157</v>
      </c>
      <c r="G4" s="22">
        <f t="shared" ref="G4:G7" si="0">E4-F4</f>
        <v>2343</v>
      </c>
      <c r="I4" s="10"/>
      <c r="K4" s="31"/>
    </row>
    <row r="5" spans="1:11" s="9" customFormat="1" ht="13.5" customHeight="1" x14ac:dyDescent="0.35">
      <c r="A5" s="23" t="s">
        <v>49</v>
      </c>
      <c r="B5" s="20" t="s">
        <v>29</v>
      </c>
      <c r="C5" s="21">
        <v>59937</v>
      </c>
      <c r="D5" s="22">
        <v>1.5</v>
      </c>
      <c r="E5" s="22">
        <f t="shared" ref="E5:E7" si="1">D5*C5</f>
        <v>89905.5</v>
      </c>
      <c r="F5" s="22">
        <v>87676.409999999989</v>
      </c>
      <c r="G5" s="22">
        <f t="shared" si="0"/>
        <v>2229.0900000000111</v>
      </c>
      <c r="K5" s="31"/>
    </row>
    <row r="6" spans="1:11" s="9" customFormat="1" ht="13.5" customHeight="1" x14ac:dyDescent="0.35">
      <c r="A6" s="23" t="s">
        <v>50</v>
      </c>
      <c r="B6" s="20" t="s">
        <v>29</v>
      </c>
      <c r="C6" s="21">
        <v>900</v>
      </c>
      <c r="D6" s="22">
        <v>6.9</v>
      </c>
      <c r="E6" s="22">
        <f t="shared" si="1"/>
        <v>6210</v>
      </c>
      <c r="F6" s="22">
        <v>5266.12</v>
      </c>
      <c r="G6" s="22">
        <f t="shared" si="0"/>
        <v>943.88000000000011</v>
      </c>
      <c r="K6" s="31"/>
    </row>
    <row r="7" spans="1:11" ht="13.5" customHeight="1" x14ac:dyDescent="0.3">
      <c r="A7" s="23" t="s">
        <v>17</v>
      </c>
      <c r="B7" s="20" t="s">
        <v>28</v>
      </c>
      <c r="C7" s="21">
        <v>29</v>
      </c>
      <c r="D7" s="22">
        <v>500</v>
      </c>
      <c r="E7" s="22">
        <f t="shared" si="1"/>
        <v>14500</v>
      </c>
      <c r="F7" s="22">
        <v>14140.5</v>
      </c>
      <c r="G7" s="22">
        <f t="shared" si="0"/>
        <v>359.5</v>
      </c>
      <c r="J7" s="9"/>
      <c r="K7" s="31"/>
    </row>
    <row r="8" spans="1:11" ht="13.5" customHeight="1" x14ac:dyDescent="0.3">
      <c r="A8" s="29" t="s">
        <v>77</v>
      </c>
      <c r="B8" s="30"/>
      <c r="C8" s="30"/>
      <c r="D8" s="30"/>
      <c r="E8" s="35" t="str">
        <f>TEXT((SUM(E9:E21)),"$0,000.00")</f>
        <v>$145,977.00</v>
      </c>
      <c r="F8" s="35" t="str">
        <f>TEXT((SUM(F9:F21)),"$0,000.00")</f>
        <v>$97,628.52</v>
      </c>
      <c r="G8" s="35" t="str">
        <f>TEXT((SUM(G9:G12)),"$0,000.00")</f>
        <v>$4,350.00</v>
      </c>
      <c r="I8" s="31"/>
    </row>
    <row r="9" spans="1:11" s="9" customFormat="1" ht="13.5" customHeight="1" x14ac:dyDescent="0.3">
      <c r="A9" s="19" t="s">
        <v>1</v>
      </c>
      <c r="B9" s="20" t="s">
        <v>28</v>
      </c>
      <c r="C9" s="21">
        <v>0</v>
      </c>
      <c r="D9" s="22">
        <v>290</v>
      </c>
      <c r="E9" s="22">
        <f t="shared" ref="E9:E18" si="2">D9*C9</f>
        <v>0</v>
      </c>
      <c r="F9" s="22"/>
      <c r="G9" s="22">
        <f t="shared" ref="G9:G21" si="3">E9-F9</f>
        <v>0</v>
      </c>
      <c r="I9" s="31"/>
    </row>
    <row r="10" spans="1:11" s="9" customFormat="1" ht="13.5" customHeight="1" x14ac:dyDescent="0.35">
      <c r="A10" s="24" t="s">
        <v>37</v>
      </c>
      <c r="B10" s="25" t="s">
        <v>28</v>
      </c>
      <c r="C10" s="26">
        <v>0</v>
      </c>
      <c r="D10" s="22">
        <v>1800</v>
      </c>
      <c r="E10" s="22">
        <f t="shared" si="2"/>
        <v>0</v>
      </c>
      <c r="F10" s="22"/>
      <c r="G10" s="22">
        <f t="shared" si="3"/>
        <v>0</v>
      </c>
      <c r="I10" s="31"/>
    </row>
    <row r="11" spans="1:11" s="9" customFormat="1" ht="13.5" customHeight="1" x14ac:dyDescent="0.35">
      <c r="A11" s="23" t="s">
        <v>69</v>
      </c>
      <c r="B11" s="25" t="s">
        <v>28</v>
      </c>
      <c r="C11" s="26">
        <f>84+29</f>
        <v>113</v>
      </c>
      <c r="D11" s="22">
        <v>180</v>
      </c>
      <c r="E11" s="22">
        <f t="shared" si="2"/>
        <v>20340</v>
      </c>
      <c r="F11" s="22">
        <f>3480+13380</f>
        <v>16860</v>
      </c>
      <c r="G11" s="22">
        <f t="shared" si="3"/>
        <v>3480</v>
      </c>
      <c r="I11" s="31"/>
    </row>
    <row r="12" spans="1:11" s="9" customFormat="1" ht="13.5" customHeight="1" x14ac:dyDescent="0.35">
      <c r="A12" s="23" t="s">
        <v>61</v>
      </c>
      <c r="B12" s="25" t="s">
        <v>28</v>
      </c>
      <c r="C12" s="26">
        <f>29</f>
        <v>29</v>
      </c>
      <c r="D12" s="22">
        <v>190</v>
      </c>
      <c r="E12" s="22">
        <f t="shared" si="2"/>
        <v>5510</v>
      </c>
      <c r="F12" s="22">
        <f>(85+75)*29</f>
        <v>4640</v>
      </c>
      <c r="G12" s="22">
        <f t="shared" si="3"/>
        <v>870</v>
      </c>
      <c r="I12" s="31"/>
    </row>
    <row r="13" spans="1:11" s="9" customFormat="1" ht="13.5" customHeight="1" x14ac:dyDescent="0.35">
      <c r="A13" s="24" t="s">
        <v>68</v>
      </c>
      <c r="B13" s="25" t="s">
        <v>28</v>
      </c>
      <c r="C13" s="26">
        <v>7</v>
      </c>
      <c r="D13" s="22">
        <v>350</v>
      </c>
      <c r="E13" s="22">
        <f t="shared" si="2"/>
        <v>2450</v>
      </c>
      <c r="F13" s="22">
        <v>1992.66</v>
      </c>
      <c r="G13" s="22">
        <f t="shared" si="3"/>
        <v>457.33999999999992</v>
      </c>
      <c r="I13" s="31"/>
    </row>
    <row r="14" spans="1:11" s="9" customFormat="1" ht="13.5" customHeight="1" x14ac:dyDescent="0.35">
      <c r="A14" s="24" t="s">
        <v>67</v>
      </c>
      <c r="B14" s="25" t="s">
        <v>28</v>
      </c>
      <c r="C14" s="26">
        <v>22</v>
      </c>
      <c r="D14" s="22">
        <v>480</v>
      </c>
      <c r="E14" s="22">
        <f t="shared" si="2"/>
        <v>10560</v>
      </c>
      <c r="F14" s="22">
        <v>8588.75</v>
      </c>
      <c r="G14" s="22">
        <f t="shared" si="3"/>
        <v>1971.25</v>
      </c>
      <c r="I14" s="31"/>
    </row>
    <row r="15" spans="1:11" s="9" customFormat="1" ht="13.5" customHeight="1" x14ac:dyDescent="0.35">
      <c r="A15" s="24" t="s">
        <v>66</v>
      </c>
      <c r="B15" s="25" t="s">
        <v>28</v>
      </c>
      <c r="C15" s="26">
        <v>22</v>
      </c>
      <c r="D15" s="22">
        <v>490</v>
      </c>
      <c r="E15" s="22">
        <f t="shared" si="2"/>
        <v>10780</v>
      </c>
      <c r="F15" s="22">
        <v>8767.69</v>
      </c>
      <c r="G15" s="22">
        <f t="shared" si="3"/>
        <v>2012.3099999999995</v>
      </c>
      <c r="I15" s="31"/>
    </row>
    <row r="16" spans="1:11" s="9" customFormat="1" ht="13.5" customHeight="1" x14ac:dyDescent="0.35">
      <c r="A16" s="24" t="s">
        <v>65</v>
      </c>
      <c r="B16" s="25" t="s">
        <v>28</v>
      </c>
      <c r="C16" s="26">
        <v>33</v>
      </c>
      <c r="D16" s="22">
        <v>525</v>
      </c>
      <c r="E16" s="22">
        <f t="shared" si="2"/>
        <v>17325</v>
      </c>
      <c r="F16" s="22">
        <v>14090.92</v>
      </c>
      <c r="G16" s="22">
        <f t="shared" si="3"/>
        <v>3234.08</v>
      </c>
      <c r="I16" s="31"/>
    </row>
    <row r="17" spans="1:9" ht="13.5" customHeight="1" x14ac:dyDescent="0.3">
      <c r="A17" s="24" t="s">
        <v>34</v>
      </c>
      <c r="B17" s="25" t="s">
        <v>28</v>
      </c>
      <c r="C17" s="26">
        <v>29</v>
      </c>
      <c r="D17" s="22">
        <v>110</v>
      </c>
      <c r="E17" s="22">
        <f t="shared" si="2"/>
        <v>3190</v>
      </c>
      <c r="F17" s="22">
        <f>50*29</f>
        <v>1450</v>
      </c>
      <c r="G17" s="22">
        <f t="shared" si="3"/>
        <v>1740</v>
      </c>
      <c r="I17" s="31"/>
    </row>
    <row r="18" spans="1:9" s="9" customFormat="1" ht="13.5" customHeight="1" x14ac:dyDescent="0.3">
      <c r="A18" s="19" t="s">
        <v>15</v>
      </c>
      <c r="B18" s="20" t="s">
        <v>28</v>
      </c>
      <c r="C18" s="21">
        <f>4*29</f>
        <v>116</v>
      </c>
      <c r="D18" s="22">
        <v>56</v>
      </c>
      <c r="E18" s="22">
        <f t="shared" si="2"/>
        <v>6496</v>
      </c>
      <c r="F18" s="22">
        <f>27*C18</f>
        <v>3132</v>
      </c>
      <c r="G18" s="22">
        <f t="shared" si="3"/>
        <v>3364</v>
      </c>
      <c r="I18" s="31"/>
    </row>
    <row r="19" spans="1:9" s="9" customFormat="1" ht="13.5" customHeight="1" x14ac:dyDescent="0.3">
      <c r="A19" s="19" t="s">
        <v>31</v>
      </c>
      <c r="B19" s="25" t="s">
        <v>27</v>
      </c>
      <c r="C19" s="26">
        <v>7250</v>
      </c>
      <c r="D19" s="22">
        <v>4</v>
      </c>
      <c r="E19" s="22">
        <f>D19*C19</f>
        <v>29000</v>
      </c>
      <c r="F19" s="22">
        <f>1.1*C19+700*29/2</f>
        <v>18125</v>
      </c>
      <c r="G19" s="22">
        <f>E19-F19</f>
        <v>10875</v>
      </c>
      <c r="I19" s="31"/>
    </row>
    <row r="20" spans="1:9" s="9" customFormat="1" ht="13.5" customHeight="1" x14ac:dyDescent="0.3">
      <c r="A20" s="19" t="s">
        <v>58</v>
      </c>
      <c r="B20" s="25" t="s">
        <v>27</v>
      </c>
      <c r="C20" s="26">
        <v>9284</v>
      </c>
      <c r="D20" s="22">
        <v>4</v>
      </c>
      <c r="E20" s="22">
        <f>D20*C20</f>
        <v>37136</v>
      </c>
      <c r="F20" s="22">
        <f>0.85*C20+700*29/2</f>
        <v>18041.400000000001</v>
      </c>
      <c r="G20" s="22">
        <f>E20-F20</f>
        <v>19094.599999999999</v>
      </c>
      <c r="I20" s="31"/>
    </row>
    <row r="21" spans="1:9" s="9" customFormat="1" ht="13.5" customHeight="1" x14ac:dyDescent="0.35">
      <c r="A21" s="23" t="s">
        <v>12</v>
      </c>
      <c r="B21" s="20" t="s">
        <v>28</v>
      </c>
      <c r="C21" s="21">
        <v>29</v>
      </c>
      <c r="D21" s="22">
        <v>110</v>
      </c>
      <c r="E21" s="22">
        <f>D21*C21</f>
        <v>3190</v>
      </c>
      <c r="F21" s="22">
        <f>66.9*C21</f>
        <v>1940.1000000000001</v>
      </c>
      <c r="G21" s="22">
        <f t="shared" si="3"/>
        <v>1249.8999999999999</v>
      </c>
      <c r="I21" s="31"/>
    </row>
    <row r="22" spans="1:9" ht="13.5" customHeight="1" x14ac:dyDescent="0.3">
      <c r="A22" s="29" t="s">
        <v>78</v>
      </c>
      <c r="B22" s="30"/>
      <c r="C22" s="30"/>
      <c r="D22" s="30"/>
      <c r="E22" s="35" t="str">
        <f>TEXT((SUM(E23:E25)),"$0,000.00")</f>
        <v>$112,569.60</v>
      </c>
      <c r="F22" s="35" t="str">
        <f t="shared" ref="F22:G22" si="4">TEXT((SUM(F23:F25)),"$0,000.00")</f>
        <v>$85,001.26</v>
      </c>
      <c r="G22" s="35" t="str">
        <f t="shared" si="4"/>
        <v>$27,568.34</v>
      </c>
      <c r="I22" s="31"/>
    </row>
    <row r="23" spans="1:9" ht="13.5" customHeight="1" x14ac:dyDescent="0.3">
      <c r="A23" s="19" t="s">
        <v>30</v>
      </c>
      <c r="B23" s="25" t="s">
        <v>29</v>
      </c>
      <c r="C23" s="26">
        <v>12516</v>
      </c>
      <c r="D23" s="22">
        <v>4.8499999999999996</v>
      </c>
      <c r="E23" s="22">
        <f t="shared" ref="E23:E25" si="5">D23*C23</f>
        <v>60702.6</v>
      </c>
      <c r="F23" s="22">
        <v>45043.5</v>
      </c>
      <c r="G23" s="22">
        <f t="shared" ref="G23:G25" si="6">E23-F23</f>
        <v>15659.099999999999</v>
      </c>
      <c r="I23" s="31"/>
    </row>
    <row r="24" spans="1:9" ht="13.5" customHeight="1" x14ac:dyDescent="0.3">
      <c r="A24" s="24" t="s">
        <v>38</v>
      </c>
      <c r="B24" s="25" t="s">
        <v>29</v>
      </c>
      <c r="C24" s="26">
        <v>0</v>
      </c>
      <c r="D24" s="22">
        <v>0.75</v>
      </c>
      <c r="E24" s="22">
        <f t="shared" si="5"/>
        <v>0</v>
      </c>
      <c r="F24" s="22">
        <f>2850/2</f>
        <v>1425</v>
      </c>
      <c r="G24" s="22">
        <f t="shared" si="6"/>
        <v>-1425</v>
      </c>
    </row>
    <row r="25" spans="1:9" ht="13.5" customHeight="1" x14ac:dyDescent="0.3">
      <c r="A25" s="19" t="s">
        <v>35</v>
      </c>
      <c r="B25" s="20" t="s">
        <v>29</v>
      </c>
      <c r="C25" s="21">
        <v>11526</v>
      </c>
      <c r="D25" s="22">
        <v>4.5</v>
      </c>
      <c r="E25" s="22">
        <f t="shared" si="5"/>
        <v>51867</v>
      </c>
      <c r="F25" s="22">
        <v>38532.759999999995</v>
      </c>
      <c r="G25" s="22">
        <f t="shared" si="6"/>
        <v>13334.240000000005</v>
      </c>
      <c r="I25" s="31"/>
    </row>
    <row r="26" spans="1:9" ht="13.5" customHeight="1" x14ac:dyDescent="0.3">
      <c r="A26" s="29" t="s">
        <v>79</v>
      </c>
      <c r="B26" s="30"/>
      <c r="C26" s="30"/>
      <c r="D26" s="30"/>
      <c r="E26" s="35" t="str">
        <f>TEXT((SUM(E27:E28)),"$0,000.00")</f>
        <v>$23,345.00</v>
      </c>
      <c r="F26" s="35" t="str">
        <f t="shared" ref="F26:G26" si="7">TEXT((SUM(F27:F28)),"$0,000.00")</f>
        <v>$23,200.00</v>
      </c>
      <c r="G26" s="35" t="str">
        <f t="shared" si="7"/>
        <v>$0,145.00</v>
      </c>
      <c r="I26" s="31"/>
    </row>
    <row r="27" spans="1:9" ht="13.5" customHeight="1" x14ac:dyDescent="0.3">
      <c r="A27" s="24" t="s">
        <v>7</v>
      </c>
      <c r="B27" s="25" t="s">
        <v>29</v>
      </c>
      <c r="C27" s="26">
        <f>70*29</f>
        <v>2030</v>
      </c>
      <c r="D27" s="27">
        <v>11.5</v>
      </c>
      <c r="E27" s="22">
        <f t="shared" ref="E27:E42" si="8">D27*C27</f>
        <v>23345</v>
      </c>
      <c r="F27" s="22">
        <f>800*29</f>
        <v>23200</v>
      </c>
      <c r="G27" s="22">
        <f t="shared" ref="G27:G28" si="9">E27-F27</f>
        <v>145</v>
      </c>
      <c r="I27" s="31"/>
    </row>
    <row r="28" spans="1:9" ht="13.5" customHeight="1" x14ac:dyDescent="0.3">
      <c r="A28" s="24" t="s">
        <v>10</v>
      </c>
      <c r="B28" s="25" t="s">
        <v>29</v>
      </c>
      <c r="C28" s="26">
        <v>0</v>
      </c>
      <c r="D28" s="27">
        <v>11.5</v>
      </c>
      <c r="E28" s="22">
        <f t="shared" si="8"/>
        <v>0</v>
      </c>
      <c r="F28" s="22"/>
      <c r="G28" s="22">
        <f t="shared" si="9"/>
        <v>0</v>
      </c>
      <c r="I28" s="31"/>
    </row>
    <row r="29" spans="1:9" ht="13.5" customHeight="1" x14ac:dyDescent="0.3">
      <c r="A29" s="29" t="s">
        <v>80</v>
      </c>
      <c r="B29" s="30"/>
      <c r="C29" s="30"/>
      <c r="D29" s="30"/>
      <c r="E29" s="35" t="str">
        <f>TEXT((SUM(E30:E32)),"$0,000.00")</f>
        <v>$189,515.00</v>
      </c>
      <c r="F29" s="35" t="str">
        <f t="shared" ref="F29:G29" si="10">TEXT((SUM(F30:F32)),"$0,000.00")</f>
        <v>$132,500.00</v>
      </c>
      <c r="G29" s="35" t="str">
        <f t="shared" si="10"/>
        <v>$57,015.00</v>
      </c>
      <c r="I29" s="31"/>
    </row>
    <row r="30" spans="1:9" ht="13.5" customHeight="1" x14ac:dyDescent="0.3">
      <c r="A30" s="19" t="s">
        <v>43</v>
      </c>
      <c r="B30" s="20" t="s">
        <v>27</v>
      </c>
      <c r="C30" s="21">
        <f>29*16</f>
        <v>464</v>
      </c>
      <c r="D30" s="22">
        <v>295</v>
      </c>
      <c r="E30" s="22">
        <f t="shared" si="8"/>
        <v>136880</v>
      </c>
      <c r="F30" s="22">
        <v>132500</v>
      </c>
      <c r="G30" s="22">
        <f t="shared" ref="G30:G32" si="11">E30-F30</f>
        <v>4380</v>
      </c>
      <c r="I30" s="31"/>
    </row>
    <row r="31" spans="1:9" ht="13.5" customHeight="1" x14ac:dyDescent="0.3">
      <c r="A31" s="19" t="s">
        <v>44</v>
      </c>
      <c r="B31" s="20" t="s">
        <v>27</v>
      </c>
      <c r="C31" s="21">
        <f>C30</f>
        <v>464</v>
      </c>
      <c r="D31" s="22">
        <v>60</v>
      </c>
      <c r="E31" s="22">
        <f t="shared" si="8"/>
        <v>27840</v>
      </c>
      <c r="F31" s="22"/>
      <c r="G31" s="22">
        <f t="shared" si="11"/>
        <v>27840</v>
      </c>
      <c r="I31" s="31"/>
    </row>
    <row r="32" spans="1:9" ht="13.5" customHeight="1" x14ac:dyDescent="0.3">
      <c r="A32" s="19" t="s">
        <v>45</v>
      </c>
      <c r="B32" s="20" t="s">
        <v>28</v>
      </c>
      <c r="C32" s="21">
        <v>29</v>
      </c>
      <c r="D32" s="22">
        <v>855</v>
      </c>
      <c r="E32" s="22">
        <f t="shared" si="8"/>
        <v>24795</v>
      </c>
      <c r="F32" s="22"/>
      <c r="G32" s="22">
        <f t="shared" si="11"/>
        <v>24795</v>
      </c>
      <c r="I32" s="31"/>
    </row>
    <row r="33" spans="1:11" ht="13.5" customHeight="1" x14ac:dyDescent="0.3">
      <c r="A33" s="29" t="s">
        <v>81</v>
      </c>
      <c r="B33" s="30"/>
      <c r="C33" s="30"/>
      <c r="D33" s="30"/>
      <c r="E33" s="35" t="str">
        <f>TEXT((SUM(E34:E42)),"$0,000.00")</f>
        <v>$92,930.00</v>
      </c>
      <c r="F33" s="35" t="str">
        <f t="shared" ref="F33:G33" si="12">TEXT((SUM(F34:F42)),"$0,000.00")</f>
        <v>$68,975.95</v>
      </c>
      <c r="G33" s="35" t="str">
        <f t="shared" si="12"/>
        <v>$23,954.05</v>
      </c>
      <c r="I33" s="31"/>
    </row>
    <row r="34" spans="1:11" ht="13.5" customHeight="1" x14ac:dyDescent="0.3">
      <c r="A34" s="24" t="s">
        <v>51</v>
      </c>
      <c r="B34" s="20" t="s">
        <v>28</v>
      </c>
      <c r="C34" s="21">
        <v>29</v>
      </c>
      <c r="D34" s="22">
        <v>590</v>
      </c>
      <c r="E34" s="22">
        <f t="shared" si="8"/>
        <v>17110</v>
      </c>
      <c r="F34" s="22">
        <v>12670.286862979463</v>
      </c>
      <c r="G34" s="22">
        <f t="shared" ref="G34:G42" si="13">E34-F34</f>
        <v>4439.713137020537</v>
      </c>
      <c r="I34" s="31"/>
      <c r="J34" s="13"/>
    </row>
    <row r="35" spans="1:11" s="9" customFormat="1" ht="13.5" customHeight="1" x14ac:dyDescent="0.3">
      <c r="A35" s="24" t="s">
        <v>25</v>
      </c>
      <c r="B35" s="25" t="s">
        <v>28</v>
      </c>
      <c r="C35" s="26">
        <f>29*7</f>
        <v>203</v>
      </c>
      <c r="D35" s="22">
        <v>70</v>
      </c>
      <c r="E35" s="22">
        <f t="shared" si="8"/>
        <v>14210</v>
      </c>
      <c r="F35" s="22">
        <v>10522.780615016842</v>
      </c>
      <c r="G35" s="22">
        <f t="shared" si="13"/>
        <v>3687.2193849831583</v>
      </c>
      <c r="I35" s="31"/>
      <c r="J35" s="37"/>
      <c r="K35" s="8"/>
    </row>
    <row r="36" spans="1:11" ht="13.5" customHeight="1" x14ac:dyDescent="0.3">
      <c r="A36" s="24" t="s">
        <v>52</v>
      </c>
      <c r="B36" s="20" t="s">
        <v>28</v>
      </c>
      <c r="C36" s="21">
        <v>29</v>
      </c>
      <c r="D36" s="22">
        <v>300</v>
      </c>
      <c r="E36" s="22">
        <f t="shared" si="8"/>
        <v>8700</v>
      </c>
      <c r="F36" s="22">
        <v>6442.5187438878629</v>
      </c>
      <c r="G36" s="22">
        <f t="shared" si="13"/>
        <v>2257.4812561121371</v>
      </c>
      <c r="I36" s="31"/>
      <c r="J36" s="37"/>
    </row>
    <row r="37" spans="1:11" s="9" customFormat="1" ht="13.5" customHeight="1" x14ac:dyDescent="0.3">
      <c r="A37" s="24" t="s">
        <v>53</v>
      </c>
      <c r="B37" s="25" t="s">
        <v>28</v>
      </c>
      <c r="C37" s="26">
        <v>29</v>
      </c>
      <c r="D37" s="22">
        <v>325</v>
      </c>
      <c r="E37" s="22">
        <f t="shared" si="8"/>
        <v>9425</v>
      </c>
      <c r="F37" s="22">
        <v>6979.3953058785182</v>
      </c>
      <c r="G37" s="22">
        <f t="shared" si="13"/>
        <v>2445.6046941214818</v>
      </c>
      <c r="I37" s="31"/>
      <c r="J37" s="37"/>
      <c r="K37" s="8"/>
    </row>
    <row r="38" spans="1:11" s="9" customFormat="1" ht="13.5" customHeight="1" x14ac:dyDescent="0.3">
      <c r="A38" s="24" t="s">
        <v>54</v>
      </c>
      <c r="B38" s="25" t="s">
        <v>28</v>
      </c>
      <c r="C38" s="26">
        <v>29</v>
      </c>
      <c r="D38" s="22">
        <v>290</v>
      </c>
      <c r="E38" s="22">
        <f t="shared" si="8"/>
        <v>8410</v>
      </c>
      <c r="F38" s="22">
        <v>6227.7681190916001</v>
      </c>
      <c r="G38" s="22">
        <f t="shared" si="13"/>
        <v>2182.2318809083999</v>
      </c>
      <c r="I38" s="31"/>
      <c r="J38" s="37"/>
      <c r="K38" s="8"/>
    </row>
    <row r="39" spans="1:11" s="9" customFormat="1" ht="13.5" customHeight="1" x14ac:dyDescent="0.3">
      <c r="A39" s="23" t="s">
        <v>11</v>
      </c>
      <c r="B39" s="20" t="s">
        <v>28</v>
      </c>
      <c r="C39" s="21">
        <v>0</v>
      </c>
      <c r="D39" s="22">
        <v>900</v>
      </c>
      <c r="E39" s="22">
        <f t="shared" si="8"/>
        <v>0</v>
      </c>
      <c r="F39" s="22">
        <v>0</v>
      </c>
      <c r="G39" s="22">
        <f t="shared" si="13"/>
        <v>0</v>
      </c>
      <c r="I39" s="31"/>
      <c r="J39" s="37"/>
      <c r="K39" s="8"/>
    </row>
    <row r="40" spans="1:11" s="9" customFormat="1" ht="13.5" customHeight="1" x14ac:dyDescent="0.3">
      <c r="A40" s="23" t="s">
        <v>16</v>
      </c>
      <c r="B40" s="20" t="s">
        <v>28</v>
      </c>
      <c r="C40" s="21">
        <v>29</v>
      </c>
      <c r="D40" s="22">
        <v>585</v>
      </c>
      <c r="E40" s="22">
        <f t="shared" si="8"/>
        <v>16965</v>
      </c>
      <c r="F40" s="22">
        <v>12562.911550581332</v>
      </c>
      <c r="G40" s="22">
        <f t="shared" si="13"/>
        <v>4402.0884494186685</v>
      </c>
      <c r="I40" s="31"/>
      <c r="J40" s="37"/>
      <c r="K40" s="8"/>
    </row>
    <row r="41" spans="1:11" ht="13.5" customHeight="1" x14ac:dyDescent="0.3">
      <c r="A41" s="24" t="s">
        <v>57</v>
      </c>
      <c r="B41" s="25" t="s">
        <v>28</v>
      </c>
      <c r="C41" s="26">
        <v>1</v>
      </c>
      <c r="D41" s="22">
        <v>1000</v>
      </c>
      <c r="E41" s="22">
        <f t="shared" si="8"/>
        <v>1000</v>
      </c>
      <c r="F41" s="22">
        <v>900</v>
      </c>
      <c r="G41" s="22">
        <f t="shared" si="13"/>
        <v>100</v>
      </c>
      <c r="I41" s="31"/>
      <c r="J41" s="37"/>
    </row>
    <row r="42" spans="1:11" ht="13.5" customHeight="1" x14ac:dyDescent="0.3">
      <c r="A42" s="24" t="s">
        <v>5</v>
      </c>
      <c r="B42" s="25" t="s">
        <v>28</v>
      </c>
      <c r="C42" s="26">
        <v>29</v>
      </c>
      <c r="D42" s="22">
        <v>590</v>
      </c>
      <c r="E42" s="22">
        <f t="shared" si="8"/>
        <v>17110</v>
      </c>
      <c r="F42" s="22">
        <v>12670.286862979463</v>
      </c>
      <c r="G42" s="22">
        <f t="shared" si="13"/>
        <v>4439.713137020537</v>
      </c>
      <c r="I42" s="31"/>
      <c r="J42" s="37"/>
    </row>
    <row r="43" spans="1:11" ht="13.5" customHeight="1" x14ac:dyDescent="0.3">
      <c r="A43" s="29" t="s">
        <v>82</v>
      </c>
      <c r="B43" s="30"/>
      <c r="C43" s="30"/>
      <c r="D43" s="30"/>
      <c r="E43" s="35" t="str">
        <f>TEXT((SUM(E44:E56)),"$0,000.00")</f>
        <v>$79,567.00</v>
      </c>
      <c r="F43" s="35" t="str">
        <f t="shared" ref="F43:G43" si="14">TEXT((SUM(F44:F56)),"$0,000.00")</f>
        <v>$74,820.01</v>
      </c>
      <c r="G43" s="35" t="str">
        <f t="shared" si="14"/>
        <v>$4,746.99</v>
      </c>
      <c r="I43" s="31"/>
    </row>
    <row r="44" spans="1:11" ht="13.5" customHeight="1" x14ac:dyDescent="0.3">
      <c r="A44" s="19" t="s">
        <v>2</v>
      </c>
      <c r="B44" s="25" t="s">
        <v>28</v>
      </c>
      <c r="C44" s="26">
        <v>408</v>
      </c>
      <c r="D44" s="27">
        <v>20</v>
      </c>
      <c r="E44" s="22">
        <f t="shared" ref="E44:E56" si="15">D44*C44</f>
        <v>8160</v>
      </c>
      <c r="F44" s="22">
        <v>43065</v>
      </c>
      <c r="G44" s="22">
        <f t="shared" ref="G44:G56" si="16">E44-F44</f>
        <v>-34905</v>
      </c>
      <c r="I44" s="31"/>
    </row>
    <row r="45" spans="1:11" ht="13.5" customHeight="1" x14ac:dyDescent="0.3">
      <c r="A45" s="19" t="s">
        <v>3</v>
      </c>
      <c r="B45" s="25" t="s">
        <v>28</v>
      </c>
      <c r="C45" s="26">
        <v>116</v>
      </c>
      <c r="D45" s="27">
        <v>95</v>
      </c>
      <c r="E45" s="22">
        <f t="shared" si="15"/>
        <v>11020</v>
      </c>
      <c r="F45" s="22"/>
      <c r="G45" s="22">
        <f t="shared" si="16"/>
        <v>11020</v>
      </c>
      <c r="I45" s="31"/>
    </row>
    <row r="46" spans="1:11" ht="13.5" customHeight="1" x14ac:dyDescent="0.3">
      <c r="A46" s="19" t="s">
        <v>60</v>
      </c>
      <c r="B46" s="25" t="s">
        <v>28</v>
      </c>
      <c r="C46" s="26">
        <v>226</v>
      </c>
      <c r="D46" s="27">
        <v>20</v>
      </c>
      <c r="E46" s="22">
        <f t="shared" si="15"/>
        <v>4520</v>
      </c>
      <c r="F46" s="22"/>
      <c r="G46" s="22">
        <f t="shared" si="16"/>
        <v>4520</v>
      </c>
      <c r="I46" s="31"/>
    </row>
    <row r="47" spans="1:11" s="9" customFormat="1" ht="13.5" customHeight="1" x14ac:dyDescent="0.3">
      <c r="A47" s="19" t="s">
        <v>4</v>
      </c>
      <c r="B47" s="25" t="s">
        <v>28</v>
      </c>
      <c r="C47" s="26">
        <f>29*3</f>
        <v>87</v>
      </c>
      <c r="D47" s="27">
        <v>20</v>
      </c>
      <c r="E47" s="22">
        <f t="shared" si="15"/>
        <v>1740</v>
      </c>
      <c r="F47" s="22"/>
      <c r="G47" s="22">
        <f t="shared" si="16"/>
        <v>1740</v>
      </c>
      <c r="I47" s="31"/>
    </row>
    <row r="48" spans="1:11" ht="13.5" customHeight="1" x14ac:dyDescent="0.3">
      <c r="A48" s="24" t="s">
        <v>13</v>
      </c>
      <c r="B48" s="20" t="s">
        <v>28</v>
      </c>
      <c r="C48" s="21">
        <v>29</v>
      </c>
      <c r="D48" s="22">
        <v>289</v>
      </c>
      <c r="E48" s="22">
        <f t="shared" si="15"/>
        <v>8381</v>
      </c>
      <c r="F48" s="22">
        <v>8309.0400000000009</v>
      </c>
      <c r="G48" s="22">
        <f t="shared" si="16"/>
        <v>71.959999999999127</v>
      </c>
      <c r="I48" s="31"/>
    </row>
    <row r="49" spans="1:9" s="9" customFormat="1" ht="13.5" customHeight="1" x14ac:dyDescent="0.3">
      <c r="A49" s="19" t="s">
        <v>18</v>
      </c>
      <c r="B49" s="25" t="s">
        <v>28</v>
      </c>
      <c r="C49" s="26">
        <v>29</v>
      </c>
      <c r="D49" s="27">
        <v>65</v>
      </c>
      <c r="E49" s="22">
        <f t="shared" si="15"/>
        <v>1885</v>
      </c>
      <c r="F49" s="22"/>
      <c r="G49" s="22">
        <f t="shared" si="16"/>
        <v>1885</v>
      </c>
      <c r="I49" s="31"/>
    </row>
    <row r="50" spans="1:9" s="9" customFormat="1" ht="13.5" customHeight="1" x14ac:dyDescent="0.35">
      <c r="A50" s="24" t="s">
        <v>24</v>
      </c>
      <c r="B50" s="20" t="s">
        <v>28</v>
      </c>
      <c r="C50" s="21">
        <v>127</v>
      </c>
      <c r="D50" s="22">
        <v>75</v>
      </c>
      <c r="E50" s="22">
        <f t="shared" si="15"/>
        <v>9525</v>
      </c>
      <c r="F50" s="22">
        <v>9443.2199999999993</v>
      </c>
      <c r="G50" s="22">
        <f t="shared" si="16"/>
        <v>81.780000000000655</v>
      </c>
      <c r="I50" s="31"/>
    </row>
    <row r="51" spans="1:9" s="9" customFormat="1" ht="13.5" customHeight="1" x14ac:dyDescent="0.35">
      <c r="A51" s="24" t="s">
        <v>36</v>
      </c>
      <c r="B51" s="20" t="s">
        <v>28</v>
      </c>
      <c r="C51" s="21">
        <v>29</v>
      </c>
      <c r="D51" s="22">
        <v>250</v>
      </c>
      <c r="E51" s="22">
        <f t="shared" si="15"/>
        <v>7250</v>
      </c>
      <c r="F51" s="22">
        <v>7187.75</v>
      </c>
      <c r="G51" s="22">
        <f t="shared" si="16"/>
        <v>62.25</v>
      </c>
      <c r="I51" s="31"/>
    </row>
    <row r="52" spans="1:9" s="9" customFormat="1" ht="13.5" customHeight="1" x14ac:dyDescent="0.35">
      <c r="A52" s="24" t="s">
        <v>19</v>
      </c>
      <c r="B52" s="20" t="s">
        <v>28</v>
      </c>
      <c r="C52" s="21">
        <v>29</v>
      </c>
      <c r="D52" s="22">
        <v>95</v>
      </c>
      <c r="E52" s="22">
        <f t="shared" si="15"/>
        <v>2755</v>
      </c>
      <c r="F52" s="22"/>
      <c r="G52" s="22">
        <f t="shared" si="16"/>
        <v>2755</v>
      </c>
      <c r="I52" s="31"/>
    </row>
    <row r="53" spans="1:9" ht="13.5" customHeight="1" x14ac:dyDescent="0.3">
      <c r="A53" s="24" t="s">
        <v>71</v>
      </c>
      <c r="B53" s="20" t="s">
        <v>28</v>
      </c>
      <c r="C53" s="21">
        <v>29</v>
      </c>
      <c r="D53" s="22">
        <v>175</v>
      </c>
      <c r="E53" s="22">
        <f t="shared" si="15"/>
        <v>5075</v>
      </c>
      <c r="F53" s="22">
        <v>4060</v>
      </c>
      <c r="G53" s="22">
        <f t="shared" si="16"/>
        <v>1015</v>
      </c>
      <c r="I53" s="31"/>
    </row>
    <row r="54" spans="1:9" ht="13.5" customHeight="1" x14ac:dyDescent="0.3">
      <c r="A54" s="24" t="s">
        <v>73</v>
      </c>
      <c r="B54" s="20" t="s">
        <v>28</v>
      </c>
      <c r="C54" s="21">
        <v>29</v>
      </c>
      <c r="D54" s="22">
        <v>300</v>
      </c>
      <c r="E54" s="22">
        <f t="shared" si="15"/>
        <v>8700</v>
      </c>
      <c r="F54" s="22"/>
      <c r="G54" s="22">
        <f t="shared" si="16"/>
        <v>8700</v>
      </c>
      <c r="I54" s="31"/>
    </row>
    <row r="55" spans="1:9" ht="13.5" customHeight="1" x14ac:dyDescent="0.3">
      <c r="A55" s="24" t="s">
        <v>63</v>
      </c>
      <c r="B55" s="20" t="s">
        <v>28</v>
      </c>
      <c r="C55" s="21">
        <v>29</v>
      </c>
      <c r="D55" s="22">
        <v>250</v>
      </c>
      <c r="E55" s="22">
        <f t="shared" si="15"/>
        <v>7250</v>
      </c>
      <c r="F55" s="22">
        <v>2755</v>
      </c>
      <c r="G55" s="22">
        <f t="shared" si="16"/>
        <v>4495</v>
      </c>
      <c r="I55" s="31"/>
    </row>
    <row r="56" spans="1:9" ht="13.5" customHeight="1" x14ac:dyDescent="0.3">
      <c r="A56" s="24" t="s">
        <v>20</v>
      </c>
      <c r="B56" s="20" t="s">
        <v>28</v>
      </c>
      <c r="C56" s="21">
        <f>29*2</f>
        <v>58</v>
      </c>
      <c r="D56" s="22">
        <v>57</v>
      </c>
      <c r="E56" s="22">
        <f t="shared" si="15"/>
        <v>3306</v>
      </c>
      <c r="F56" s="22"/>
      <c r="G56" s="22">
        <f t="shared" si="16"/>
        <v>3306</v>
      </c>
      <c r="I56" s="31"/>
    </row>
    <row r="57" spans="1:9" ht="13.5" customHeight="1" x14ac:dyDescent="0.3">
      <c r="A57" s="29" t="s">
        <v>83</v>
      </c>
      <c r="B57" s="30"/>
      <c r="C57" s="30"/>
      <c r="D57" s="30"/>
      <c r="E57" s="35" t="str">
        <f>TEXT((SUM(E58:E60)),"$0,000.00")</f>
        <v>$83,164.00</v>
      </c>
      <c r="F57" s="35" t="str">
        <f t="shared" ref="F57:G57" si="17">TEXT((SUM(F58:F60)),"$0,000.00")</f>
        <v>$67,903.41</v>
      </c>
      <c r="G57" s="35" t="str">
        <f t="shared" si="17"/>
        <v>$15,260.59</v>
      </c>
      <c r="I57" s="31"/>
    </row>
    <row r="58" spans="1:9" ht="13.5" customHeight="1" x14ac:dyDescent="0.3">
      <c r="A58" s="19" t="s">
        <v>14</v>
      </c>
      <c r="B58" s="20" t="s">
        <v>29</v>
      </c>
      <c r="C58" s="21">
        <v>20791</v>
      </c>
      <c r="D58" s="22">
        <v>2.5</v>
      </c>
      <c r="E58" s="22">
        <f t="shared" ref="E58:E60" si="18">D58*C58</f>
        <v>51977.5</v>
      </c>
      <c r="F58" s="22">
        <f>2.3*C58*0.92</f>
        <v>43993.756000000001</v>
      </c>
      <c r="G58" s="22">
        <f t="shared" ref="G58:G60" si="19">E58-F58</f>
        <v>7983.7439999999988</v>
      </c>
      <c r="I58" s="31"/>
    </row>
    <row r="59" spans="1:9" ht="13.5" customHeight="1" x14ac:dyDescent="0.3">
      <c r="A59" s="19" t="s">
        <v>64</v>
      </c>
      <c r="B59" s="20" t="s">
        <v>29</v>
      </c>
      <c r="C59" s="21">
        <v>20791</v>
      </c>
      <c r="D59" s="22">
        <v>0.5</v>
      </c>
      <c r="E59" s="22">
        <f t="shared" si="18"/>
        <v>10395.5</v>
      </c>
      <c r="F59" s="22">
        <f>C59*0.92*0.25</f>
        <v>4781.93</v>
      </c>
      <c r="G59" s="22">
        <f t="shared" si="19"/>
        <v>5613.57</v>
      </c>
      <c r="I59" s="31"/>
    </row>
    <row r="60" spans="1:9" ht="13.5" customHeight="1" x14ac:dyDescent="0.3">
      <c r="A60" s="19" t="s">
        <v>0</v>
      </c>
      <c r="B60" s="20" t="s">
        <v>29</v>
      </c>
      <c r="C60" s="21">
        <v>20791</v>
      </c>
      <c r="D60" s="22">
        <v>1</v>
      </c>
      <c r="E60" s="22">
        <f t="shared" si="18"/>
        <v>20791</v>
      </c>
      <c r="F60" s="22">
        <f>1*0.92*C60</f>
        <v>19127.72</v>
      </c>
      <c r="G60" s="22">
        <f t="shared" si="19"/>
        <v>1663.2799999999988</v>
      </c>
      <c r="I60" s="31"/>
    </row>
    <row r="61" spans="1:9" ht="13.5" customHeight="1" x14ac:dyDescent="0.3">
      <c r="A61" s="29" t="s">
        <v>84</v>
      </c>
      <c r="B61" s="30"/>
      <c r="C61" s="30"/>
      <c r="D61" s="30"/>
      <c r="E61" s="35" t="str">
        <f>TEXT((SUM(E62:E63)),"$0,000.00")</f>
        <v>$32,275.00</v>
      </c>
      <c r="F61" s="35" t="str">
        <f>TEXT((SUM(F62:F63)),"$0,000.00")</f>
        <v>$22,496.00</v>
      </c>
      <c r="G61" s="35" t="str">
        <f t="shared" ref="G61" si="20">TEXT((SUM(G62:G63)),"$0,000.00")</f>
        <v>$9,779.00</v>
      </c>
      <c r="I61" s="31"/>
    </row>
    <row r="62" spans="1:9" ht="13.5" customHeight="1" x14ac:dyDescent="0.3">
      <c r="A62" s="19" t="s">
        <v>21</v>
      </c>
      <c r="B62" s="20" t="s">
        <v>28</v>
      </c>
      <c r="C62" s="21">
        <v>57</v>
      </c>
      <c r="D62" s="22">
        <v>350</v>
      </c>
      <c r="E62" s="22">
        <f t="shared" ref="E62:E63" si="21">D62*C62</f>
        <v>19950</v>
      </c>
      <c r="F62" s="22">
        <f>240*C62</f>
        <v>13680</v>
      </c>
      <c r="G62" s="22">
        <f t="shared" ref="G62:G63" si="22">E62-F62</f>
        <v>6270</v>
      </c>
      <c r="I62" s="31"/>
    </row>
    <row r="63" spans="1:9" ht="13.5" customHeight="1" x14ac:dyDescent="0.3">
      <c r="A63" s="19" t="s">
        <v>22</v>
      </c>
      <c r="B63" s="20" t="s">
        <v>28</v>
      </c>
      <c r="C63" s="21">
        <f>29</f>
        <v>29</v>
      </c>
      <c r="D63" s="22">
        <v>425</v>
      </c>
      <c r="E63" s="22">
        <f t="shared" si="21"/>
        <v>12325</v>
      </c>
      <c r="F63" s="22">
        <f>304*C63</f>
        <v>8816</v>
      </c>
      <c r="G63" s="22">
        <f t="shared" si="22"/>
        <v>3509</v>
      </c>
      <c r="I63" s="31"/>
    </row>
    <row r="64" spans="1:9" ht="13.5" customHeight="1" x14ac:dyDescent="0.3">
      <c r="A64" s="29" t="s">
        <v>85</v>
      </c>
      <c r="B64" s="30"/>
      <c r="C64" s="30"/>
      <c r="D64" s="30"/>
      <c r="E64" s="35" t="str">
        <f>TEXT((SUM(E65)),"$0,000.00")</f>
        <v>$8,316.40</v>
      </c>
      <c r="F64" s="35" t="str">
        <f t="shared" ref="F64:G64" si="23">TEXT((SUM(F65)),"$0,000.00")</f>
        <v>$8,316.40</v>
      </c>
      <c r="G64" s="35" t="str">
        <f t="shared" si="23"/>
        <v>$0,000.00</v>
      </c>
      <c r="I64" s="31"/>
    </row>
    <row r="65" spans="1:9" ht="13.5" customHeight="1" x14ac:dyDescent="0.3">
      <c r="A65" s="19" t="s">
        <v>6</v>
      </c>
      <c r="B65" s="20" t="s">
        <v>29</v>
      </c>
      <c r="C65" s="21">
        <v>20791</v>
      </c>
      <c r="D65" s="22">
        <v>0.4</v>
      </c>
      <c r="E65" s="22">
        <f>D65*C65</f>
        <v>8316.4</v>
      </c>
      <c r="F65" s="22">
        <f>E65</f>
        <v>8316.4</v>
      </c>
      <c r="G65" s="22">
        <f>E65-F65</f>
        <v>0</v>
      </c>
      <c r="I65" s="31"/>
    </row>
    <row r="66" spans="1:9" ht="13.5" customHeight="1" x14ac:dyDescent="0.3">
      <c r="A66" s="29" t="s">
        <v>86</v>
      </c>
      <c r="B66" s="30"/>
      <c r="C66" s="30"/>
      <c r="D66" s="30"/>
      <c r="E66" s="35" t="str">
        <f>TEXT((SUM(E67:E70)),"$0,000.00")</f>
        <v>$95,402.75</v>
      </c>
      <c r="F66" s="35" t="str">
        <f t="shared" ref="F66:G66" si="24">TEXT((SUM(F67:F70)),"$0,000.00")</f>
        <v>$67,135.00</v>
      </c>
      <c r="G66" s="35" t="str">
        <f t="shared" si="24"/>
        <v>$28,267.75</v>
      </c>
      <c r="I66" s="31"/>
    </row>
    <row r="67" spans="1:9" s="9" customFormat="1" ht="13.5" customHeight="1" x14ac:dyDescent="0.3">
      <c r="A67" s="19" t="s">
        <v>39</v>
      </c>
      <c r="B67" s="20" t="s">
        <v>32</v>
      </c>
      <c r="C67" s="21">
        <v>29</v>
      </c>
      <c r="D67" s="22">
        <f>1002.75+897.75+220+250-100</f>
        <v>2270.5</v>
      </c>
      <c r="E67" s="22">
        <f>D67*C67</f>
        <v>65844.5</v>
      </c>
      <c r="F67" s="22">
        <f>1780*29</f>
        <v>51620</v>
      </c>
      <c r="G67" s="22">
        <f t="shared" ref="G67:G70" si="25">E67-F67</f>
        <v>14224.5</v>
      </c>
      <c r="I67" s="31"/>
    </row>
    <row r="68" spans="1:9" ht="13.5" customHeight="1" x14ac:dyDescent="0.3">
      <c r="A68" s="24" t="s">
        <v>23</v>
      </c>
      <c r="B68" s="20" t="s">
        <v>28</v>
      </c>
      <c r="C68" s="21">
        <v>29</v>
      </c>
      <c r="D68" s="22">
        <f>719.25+100</f>
        <v>819.25</v>
      </c>
      <c r="E68" s="22">
        <f t="shared" ref="E68" si="26">D68*C68</f>
        <v>23758.25</v>
      </c>
      <c r="F68" s="22">
        <f>435*29</f>
        <v>12615</v>
      </c>
      <c r="G68" s="22">
        <f t="shared" si="25"/>
        <v>11143.25</v>
      </c>
      <c r="I68" s="31"/>
    </row>
    <row r="69" spans="1:9" s="9" customFormat="1" ht="13.5" customHeight="1" x14ac:dyDescent="0.35">
      <c r="A69" s="24" t="s">
        <v>47</v>
      </c>
      <c r="B69" s="20" t="s">
        <v>28</v>
      </c>
      <c r="C69" s="21">
        <v>29</v>
      </c>
      <c r="D69" s="22">
        <v>100</v>
      </c>
      <c r="E69" s="22">
        <f>D69*C69</f>
        <v>2900</v>
      </c>
      <c r="F69" s="22">
        <v>2900</v>
      </c>
      <c r="G69" s="22">
        <f t="shared" si="25"/>
        <v>0</v>
      </c>
      <c r="I69" s="31"/>
    </row>
    <row r="70" spans="1:9" ht="13.5" customHeight="1" x14ac:dyDescent="0.3">
      <c r="A70" s="24" t="s">
        <v>48</v>
      </c>
      <c r="B70" s="20" t="s">
        <v>28</v>
      </c>
      <c r="C70" s="21">
        <v>29</v>
      </c>
      <c r="D70" s="22">
        <v>100</v>
      </c>
      <c r="E70" s="22">
        <f>D70*C70</f>
        <v>2900</v>
      </c>
      <c r="F70" s="22"/>
      <c r="G70" s="22">
        <f t="shared" si="25"/>
        <v>2900</v>
      </c>
      <c r="I70" s="31"/>
    </row>
    <row r="71" spans="1:9" ht="13.5" customHeight="1" x14ac:dyDescent="0.3">
      <c r="A71" s="29" t="s">
        <v>87</v>
      </c>
      <c r="B71" s="30"/>
      <c r="C71" s="30"/>
      <c r="D71" s="30"/>
      <c r="E71" s="35" t="str">
        <f>TEXT((SUM(E72:E74)),"$0,000.00")</f>
        <v>$207,350.00</v>
      </c>
      <c r="F71" s="35" t="str">
        <f t="shared" ref="F71:G71" si="27">TEXT((SUM(F72:F74)),"$0,000.00")</f>
        <v>$32,500.00</v>
      </c>
      <c r="G71" s="35" t="str">
        <f t="shared" si="27"/>
        <v>$174,850.00</v>
      </c>
      <c r="I71" s="31"/>
    </row>
    <row r="72" spans="1:9" s="9" customFormat="1" ht="13.5" customHeight="1" x14ac:dyDescent="0.35">
      <c r="A72" s="24" t="s">
        <v>8</v>
      </c>
      <c r="B72" s="20" t="s">
        <v>33</v>
      </c>
      <c r="C72" s="21">
        <v>29</v>
      </c>
      <c r="D72" s="22">
        <v>1500</v>
      </c>
      <c r="E72" s="22">
        <f t="shared" ref="E72:E74" si="28">D72*C72</f>
        <v>43500</v>
      </c>
      <c r="F72" s="22"/>
      <c r="G72" s="22">
        <f t="shared" ref="G72:G74" si="29">E72-F72</f>
        <v>43500</v>
      </c>
      <c r="I72" s="31"/>
    </row>
    <row r="73" spans="1:9" s="9" customFormat="1" ht="13.5" customHeight="1" x14ac:dyDescent="0.35">
      <c r="A73" s="24" t="s">
        <v>70</v>
      </c>
      <c r="B73" s="20" t="s">
        <v>33</v>
      </c>
      <c r="C73" s="21">
        <v>29</v>
      </c>
      <c r="D73" s="22">
        <v>2650</v>
      </c>
      <c r="E73" s="22">
        <f t="shared" si="28"/>
        <v>76850</v>
      </c>
      <c r="F73" s="22"/>
      <c r="G73" s="22">
        <f t="shared" si="29"/>
        <v>76850</v>
      </c>
      <c r="I73" s="31"/>
    </row>
    <row r="74" spans="1:9" ht="13.5" customHeight="1" x14ac:dyDescent="0.3">
      <c r="A74" s="24" t="s">
        <v>9</v>
      </c>
      <c r="B74" s="20" t="s">
        <v>33</v>
      </c>
      <c r="C74" s="21">
        <v>29</v>
      </c>
      <c r="D74" s="22">
        <v>3000</v>
      </c>
      <c r="E74" s="22">
        <f t="shared" si="28"/>
        <v>87000</v>
      </c>
      <c r="F74" s="22">
        <v>32500</v>
      </c>
      <c r="G74" s="22">
        <f t="shared" si="29"/>
        <v>54500</v>
      </c>
      <c r="I74" s="31"/>
    </row>
    <row r="75" spans="1:9" x14ac:dyDescent="0.3">
      <c r="E75" s="10">
        <f>SUM(E3:E74)</f>
        <v>1275527.25</v>
      </c>
      <c r="F75" s="10">
        <f>SUM(F3:F74)</f>
        <v>879716.57406041515</v>
      </c>
      <c r="G75" s="10">
        <f>SUM(G3:G74)</f>
        <v>395810.67593958497</v>
      </c>
    </row>
    <row r="77" spans="1:9" x14ac:dyDescent="0.3">
      <c r="D77" s="18"/>
      <c r="E77" s="10"/>
    </row>
    <row r="78" spans="1:9" x14ac:dyDescent="0.3">
      <c r="G78" s="10"/>
    </row>
    <row r="79" spans="1:9" x14ac:dyDescent="0.3">
      <c r="F79" s="10"/>
    </row>
    <row r="80" spans="1:9" x14ac:dyDescent="0.3">
      <c r="F80" s="10"/>
      <c r="G80" s="28"/>
    </row>
    <row r="82" spans="5:7" x14ac:dyDescent="0.3">
      <c r="E82" s="36" t="e">
        <f>SUM(#REF!+'Rebuild Summary'!#REF!)</f>
        <v>#REF!</v>
      </c>
      <c r="F82" s="36" t="e">
        <f>SUM(#REF!+'Rebuild Summary'!#REF!)</f>
        <v>#REF!</v>
      </c>
      <c r="G82" s="36" t="e">
        <f>E82-F82</f>
        <v>#REF!</v>
      </c>
    </row>
  </sheetData>
  <mergeCells count="1">
    <mergeCell ref="B1:G1"/>
  </mergeCells>
  <pageMargins left="0.25" right="0.25" top="0.25" bottom="0.25" header="0.3" footer="0.3"/>
  <pageSetup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DECC-F780-4228-8F92-80865FF3E0EB}">
  <sheetPr>
    <pageSetUpPr fitToPage="1"/>
  </sheetPr>
  <dimension ref="A1:K82"/>
  <sheetViews>
    <sheetView topLeftCell="A63" zoomScale="150" zoomScaleNormal="150" workbookViewId="0">
      <selection activeCell="D25" sqref="D25:D27"/>
    </sheetView>
  </sheetViews>
  <sheetFormatPr defaultColWidth="9.1796875" defaultRowHeight="13" x14ac:dyDescent="0.3"/>
  <cols>
    <col min="1" max="1" width="52.54296875" style="15" customWidth="1"/>
    <col min="2" max="2" width="8.26953125" style="16" bestFit="1" customWidth="1"/>
    <col min="3" max="3" width="8.81640625" style="17" bestFit="1" customWidth="1"/>
    <col min="4" max="4" width="10.81640625" style="9" bestFit="1" customWidth="1"/>
    <col min="5" max="7" width="13.453125" style="9" bestFit="1" customWidth="1"/>
    <col min="8" max="8" width="3.26953125" style="8" bestFit="1" customWidth="1"/>
    <col min="9" max="9" width="10.81640625" style="8" bestFit="1" customWidth="1"/>
    <col min="10" max="16384" width="9.1796875" style="8"/>
  </cols>
  <sheetData>
    <row r="1" spans="1:11" s="3" customFormat="1" ht="81" customHeight="1" x14ac:dyDescent="0.35">
      <c r="A1" s="1" t="s">
        <v>72</v>
      </c>
      <c r="B1" s="123"/>
      <c r="C1" s="124"/>
      <c r="D1" s="124"/>
      <c r="E1" s="124"/>
      <c r="F1" s="124"/>
      <c r="G1" s="124"/>
      <c r="H1" s="2"/>
    </row>
    <row r="2" spans="1:11" ht="16" x14ac:dyDescent="0.3">
      <c r="A2" s="4"/>
      <c r="B2" s="5" t="s">
        <v>26</v>
      </c>
      <c r="C2" s="6" t="s">
        <v>40</v>
      </c>
      <c r="D2" s="7" t="s">
        <v>42</v>
      </c>
      <c r="E2" s="7" t="s">
        <v>41</v>
      </c>
      <c r="F2" s="7" t="s">
        <v>55</v>
      </c>
      <c r="G2" s="7" t="s">
        <v>56</v>
      </c>
    </row>
    <row r="3" spans="1:11" ht="13.9" customHeight="1" x14ac:dyDescent="0.3">
      <c r="A3" s="29" t="s">
        <v>75</v>
      </c>
      <c r="B3" s="30"/>
      <c r="C3" s="30"/>
      <c r="D3" s="30"/>
      <c r="E3" s="35" t="str">
        <f>TEXT((SUM(E4)),"$0,000.00")</f>
        <v>$130,500.00</v>
      </c>
      <c r="F3" s="35" t="str">
        <f>TEXT((SUM(F4)),"$0,000.00")</f>
        <v>$115,250.00</v>
      </c>
      <c r="G3" s="35" t="str">
        <f>TEXT((SUM(G4)),"$0,000.00")</f>
        <v>$15,250.00</v>
      </c>
    </row>
    <row r="4" spans="1:11" x14ac:dyDescent="0.3">
      <c r="A4" s="19" t="s">
        <v>59</v>
      </c>
      <c r="B4" s="20" t="s">
        <v>26</v>
      </c>
      <c r="C4" s="21">
        <v>29</v>
      </c>
      <c r="D4" s="22">
        <v>4500</v>
      </c>
      <c r="E4" s="22">
        <f>D4*C4</f>
        <v>130500</v>
      </c>
      <c r="F4" s="22">
        <v>115250</v>
      </c>
      <c r="G4" s="22">
        <f>E4-F4</f>
        <v>15250</v>
      </c>
    </row>
    <row r="5" spans="1:11" ht="13.9" customHeight="1" x14ac:dyDescent="0.3">
      <c r="A5" s="29" t="s">
        <v>76</v>
      </c>
      <c r="B5" s="30"/>
      <c r="C5" s="30"/>
      <c r="D5" s="30"/>
      <c r="E5" s="35" t="str">
        <f>TEXT((SUM(E6:E9)),"$0,000.00")</f>
        <v>$204,305.50</v>
      </c>
      <c r="F5" s="35" t="str">
        <f>TEXT((SUM(F6:F9)),"$0,000.00")</f>
        <v>$199,240.03</v>
      </c>
      <c r="G5" s="35" t="str">
        <f>TEXT((SUM(G6:G9)),"$0,000.00")</f>
        <v>$5,065.47</v>
      </c>
    </row>
    <row r="6" spans="1:11" s="9" customFormat="1" x14ac:dyDescent="0.3">
      <c r="A6" s="19" t="s">
        <v>46</v>
      </c>
      <c r="B6" s="20" t="s">
        <v>27</v>
      </c>
      <c r="C6" s="21">
        <v>5250</v>
      </c>
      <c r="D6" s="22">
        <v>18</v>
      </c>
      <c r="E6" s="22">
        <f>D6*C6</f>
        <v>94500</v>
      </c>
      <c r="F6" s="22">
        <v>92157</v>
      </c>
      <c r="G6" s="22">
        <f t="shared" ref="G6:G9" si="0">E6-F6</f>
        <v>2343</v>
      </c>
      <c r="I6" s="10"/>
      <c r="K6" s="31"/>
    </row>
    <row r="7" spans="1:11" s="9" customFormat="1" x14ac:dyDescent="0.35">
      <c r="A7" s="23" t="s">
        <v>49</v>
      </c>
      <c r="B7" s="20" t="s">
        <v>29</v>
      </c>
      <c r="C7" s="21">
        <v>59937</v>
      </c>
      <c r="D7" s="22">
        <v>1.5</v>
      </c>
      <c r="E7" s="22">
        <f t="shared" ref="E7:E9" si="1">D7*C7</f>
        <v>89905.5</v>
      </c>
      <c r="F7" s="22">
        <v>87676.409999999989</v>
      </c>
      <c r="G7" s="22">
        <f t="shared" si="0"/>
        <v>2229.0900000000111</v>
      </c>
      <c r="K7" s="31"/>
    </row>
    <row r="8" spans="1:11" s="9" customFormat="1" x14ac:dyDescent="0.35">
      <c r="A8" s="23" t="s">
        <v>50</v>
      </c>
      <c r="B8" s="20" t="s">
        <v>29</v>
      </c>
      <c r="C8" s="21">
        <v>900</v>
      </c>
      <c r="D8" s="22">
        <v>6</v>
      </c>
      <c r="E8" s="22">
        <f t="shared" si="1"/>
        <v>5400</v>
      </c>
      <c r="F8" s="22">
        <v>5266.12</v>
      </c>
      <c r="G8" s="22">
        <f t="shared" si="0"/>
        <v>133.88000000000011</v>
      </c>
      <c r="K8" s="31"/>
    </row>
    <row r="9" spans="1:11" x14ac:dyDescent="0.3">
      <c r="A9" s="23" t="s">
        <v>17</v>
      </c>
      <c r="B9" s="20" t="s">
        <v>28</v>
      </c>
      <c r="C9" s="21">
        <v>29</v>
      </c>
      <c r="D9" s="22">
        <v>500</v>
      </c>
      <c r="E9" s="22">
        <f t="shared" si="1"/>
        <v>14500</v>
      </c>
      <c r="F9" s="22">
        <v>14140.5</v>
      </c>
      <c r="G9" s="22">
        <f t="shared" si="0"/>
        <v>359.5</v>
      </c>
      <c r="J9" s="9"/>
      <c r="K9" s="31"/>
    </row>
    <row r="10" spans="1:11" ht="13.9" customHeight="1" x14ac:dyDescent="0.3">
      <c r="A10" s="29" t="s">
        <v>77</v>
      </c>
      <c r="B10" s="30"/>
      <c r="C10" s="30"/>
      <c r="D10" s="30"/>
      <c r="E10" s="35" t="str">
        <f>TEXT((SUM(E11:E23)),"$0,000.00")</f>
        <v>$144,775.50</v>
      </c>
      <c r="F10" s="35" t="str">
        <f>TEXT((SUM(F11:F23)),"$0,000.00")</f>
        <v>$97,628.52</v>
      </c>
      <c r="G10" s="35" t="str">
        <f>TEXT((SUM(G11:G14)),"$0,000.00")</f>
        <v>$4,350.00</v>
      </c>
    </row>
    <row r="11" spans="1:11" s="9" customFormat="1" x14ac:dyDescent="0.3">
      <c r="A11" s="19" t="s">
        <v>1</v>
      </c>
      <c r="B11" s="20" t="s">
        <v>28</v>
      </c>
      <c r="C11" s="21">
        <v>0</v>
      </c>
      <c r="D11" s="33">
        <v>310</v>
      </c>
      <c r="E11" s="22">
        <f t="shared" ref="E11:E20" si="2">D11*C11</f>
        <v>0</v>
      </c>
      <c r="F11" s="22"/>
      <c r="G11" s="22">
        <f t="shared" ref="G11:G23" si="3">E11-F11</f>
        <v>0</v>
      </c>
      <c r="I11" s="11">
        <v>310</v>
      </c>
    </row>
    <row r="12" spans="1:11" s="9" customFormat="1" ht="14.25" customHeight="1" x14ac:dyDescent="0.35">
      <c r="A12" s="24" t="s">
        <v>37</v>
      </c>
      <c r="B12" s="25" t="s">
        <v>28</v>
      </c>
      <c r="C12" s="26">
        <v>0</v>
      </c>
      <c r="D12" s="27">
        <v>1800</v>
      </c>
      <c r="E12" s="22">
        <f t="shared" si="2"/>
        <v>0</v>
      </c>
      <c r="F12" s="22"/>
      <c r="G12" s="22">
        <f t="shared" si="3"/>
        <v>0</v>
      </c>
      <c r="I12" s="12">
        <v>1800</v>
      </c>
    </row>
    <row r="13" spans="1:11" s="9" customFormat="1" x14ac:dyDescent="0.35">
      <c r="A13" s="23" t="s">
        <v>69</v>
      </c>
      <c r="B13" s="25" t="s">
        <v>28</v>
      </c>
      <c r="C13" s="26">
        <f>84+29</f>
        <v>113</v>
      </c>
      <c r="D13" s="27">
        <v>180</v>
      </c>
      <c r="E13" s="22">
        <f t="shared" si="2"/>
        <v>20340</v>
      </c>
      <c r="F13" s="22">
        <f>3480+13380</f>
        <v>16860</v>
      </c>
      <c r="G13" s="22">
        <f t="shared" si="3"/>
        <v>3480</v>
      </c>
      <c r="I13" s="12">
        <v>180</v>
      </c>
    </row>
    <row r="14" spans="1:11" s="9" customFormat="1" x14ac:dyDescent="0.35">
      <c r="A14" s="23" t="s">
        <v>61</v>
      </c>
      <c r="B14" s="25" t="s">
        <v>28</v>
      </c>
      <c r="C14" s="26">
        <f>29</f>
        <v>29</v>
      </c>
      <c r="D14" s="27">
        <v>190</v>
      </c>
      <c r="E14" s="22">
        <f t="shared" si="2"/>
        <v>5510</v>
      </c>
      <c r="F14" s="22">
        <f>(85+75)*29</f>
        <v>4640</v>
      </c>
      <c r="G14" s="22">
        <f t="shared" si="3"/>
        <v>870</v>
      </c>
      <c r="I14" s="12">
        <v>190</v>
      </c>
    </row>
    <row r="15" spans="1:11" s="9" customFormat="1" x14ac:dyDescent="0.35">
      <c r="A15" s="24" t="s">
        <v>68</v>
      </c>
      <c r="B15" s="25" t="s">
        <v>28</v>
      </c>
      <c r="C15" s="26">
        <v>7</v>
      </c>
      <c r="D15" s="27">
        <v>350</v>
      </c>
      <c r="E15" s="22">
        <f t="shared" si="2"/>
        <v>2450</v>
      </c>
      <c r="F15" s="22">
        <v>1992.66</v>
      </c>
      <c r="G15" s="22">
        <f t="shared" si="3"/>
        <v>457.33999999999992</v>
      </c>
      <c r="I15" s="12">
        <v>350</v>
      </c>
    </row>
    <row r="16" spans="1:11" s="9" customFormat="1" x14ac:dyDescent="0.35">
      <c r="A16" s="24" t="s">
        <v>67</v>
      </c>
      <c r="B16" s="25" t="s">
        <v>28</v>
      </c>
      <c r="C16" s="26">
        <v>22</v>
      </c>
      <c r="D16" s="32">
        <v>350</v>
      </c>
      <c r="E16" s="22">
        <f t="shared" si="2"/>
        <v>7700</v>
      </c>
      <c r="F16" s="22">
        <v>8588.75</v>
      </c>
      <c r="G16" s="22">
        <f t="shared" si="3"/>
        <v>-888.75</v>
      </c>
      <c r="I16" s="12">
        <v>350</v>
      </c>
    </row>
    <row r="17" spans="1:10" s="9" customFormat="1" x14ac:dyDescent="0.35">
      <c r="A17" s="24" t="s">
        <v>66</v>
      </c>
      <c r="B17" s="25" t="s">
        <v>28</v>
      </c>
      <c r="C17" s="26">
        <v>22</v>
      </c>
      <c r="D17" s="32">
        <v>350</v>
      </c>
      <c r="E17" s="22">
        <f t="shared" si="2"/>
        <v>7700</v>
      </c>
      <c r="F17" s="22">
        <v>8767.69</v>
      </c>
      <c r="G17" s="22">
        <f t="shared" si="3"/>
        <v>-1067.6900000000005</v>
      </c>
      <c r="I17" s="12">
        <v>350</v>
      </c>
    </row>
    <row r="18" spans="1:10" s="9" customFormat="1" x14ac:dyDescent="0.35">
      <c r="A18" s="24" t="s">
        <v>65</v>
      </c>
      <c r="B18" s="25" t="s">
        <v>28</v>
      </c>
      <c r="C18" s="26">
        <v>33</v>
      </c>
      <c r="D18" s="32">
        <v>350</v>
      </c>
      <c r="E18" s="22">
        <f t="shared" si="2"/>
        <v>11550</v>
      </c>
      <c r="F18" s="22">
        <v>14090.92</v>
      </c>
      <c r="G18" s="22">
        <f t="shared" si="3"/>
        <v>-2540.92</v>
      </c>
      <c r="I18" s="12">
        <v>350</v>
      </c>
    </row>
    <row r="19" spans="1:10" ht="15.75" customHeight="1" x14ac:dyDescent="0.3">
      <c r="A19" s="24" t="s">
        <v>34</v>
      </c>
      <c r="B19" s="25" t="s">
        <v>28</v>
      </c>
      <c r="C19" s="26">
        <v>29</v>
      </c>
      <c r="D19" s="27">
        <v>110</v>
      </c>
      <c r="E19" s="22">
        <f t="shared" si="2"/>
        <v>3190</v>
      </c>
      <c r="F19" s="22">
        <f>50*29</f>
        <v>1450</v>
      </c>
      <c r="G19" s="22">
        <f t="shared" si="3"/>
        <v>1740</v>
      </c>
      <c r="I19" s="12">
        <v>110</v>
      </c>
    </row>
    <row r="20" spans="1:10" s="9" customFormat="1" x14ac:dyDescent="0.3">
      <c r="A20" s="19" t="s">
        <v>15</v>
      </c>
      <c r="B20" s="20" t="s">
        <v>28</v>
      </c>
      <c r="C20" s="21">
        <f>4*29</f>
        <v>116</v>
      </c>
      <c r="D20" s="33">
        <v>106</v>
      </c>
      <c r="E20" s="22">
        <f t="shared" si="2"/>
        <v>12296</v>
      </c>
      <c r="F20" s="22">
        <f>27*C20</f>
        <v>3132</v>
      </c>
      <c r="G20" s="22">
        <f t="shared" si="3"/>
        <v>9164</v>
      </c>
      <c r="I20" s="11">
        <f>65+35+6</f>
        <v>106</v>
      </c>
    </row>
    <row r="21" spans="1:10" s="9" customFormat="1" x14ac:dyDescent="0.3">
      <c r="A21" s="19" t="s">
        <v>31</v>
      </c>
      <c r="B21" s="25" t="s">
        <v>27</v>
      </c>
      <c r="C21" s="26">
        <v>7250</v>
      </c>
      <c r="D21" s="34">
        <v>4.25</v>
      </c>
      <c r="E21" s="22">
        <f>D21*C21</f>
        <v>30812.5</v>
      </c>
      <c r="F21" s="22">
        <f>1.1*C21+700*29/2</f>
        <v>18125</v>
      </c>
      <c r="G21" s="22">
        <f>E21-F21</f>
        <v>12687.5</v>
      </c>
      <c r="I21" s="12">
        <v>4.25</v>
      </c>
    </row>
    <row r="22" spans="1:10" s="9" customFormat="1" x14ac:dyDescent="0.3">
      <c r="A22" s="19" t="s">
        <v>58</v>
      </c>
      <c r="B22" s="25" t="s">
        <v>27</v>
      </c>
      <c r="C22" s="26">
        <v>9284</v>
      </c>
      <c r="D22" s="34">
        <v>4.25</v>
      </c>
      <c r="E22" s="22">
        <f>D22*C22</f>
        <v>39457</v>
      </c>
      <c r="F22" s="22">
        <f>0.85*C22+700*29/2</f>
        <v>18041.400000000001</v>
      </c>
      <c r="G22" s="22">
        <f>E22-F22</f>
        <v>21415.599999999999</v>
      </c>
      <c r="I22" s="12">
        <v>4.25</v>
      </c>
    </row>
    <row r="23" spans="1:10" s="9" customFormat="1" x14ac:dyDescent="0.35">
      <c r="A23" s="23" t="s">
        <v>12</v>
      </c>
      <c r="B23" s="20" t="s">
        <v>28</v>
      </c>
      <c r="C23" s="21">
        <v>29</v>
      </c>
      <c r="D23" s="33">
        <v>130</v>
      </c>
      <c r="E23" s="22">
        <f>D23*C23</f>
        <v>3770</v>
      </c>
      <c r="F23" s="22">
        <f>66.9*C23</f>
        <v>1940.1000000000001</v>
      </c>
      <c r="G23" s="22">
        <f t="shared" si="3"/>
        <v>1829.8999999999999</v>
      </c>
      <c r="I23" s="11">
        <v>130</v>
      </c>
    </row>
    <row r="24" spans="1:10" ht="13.9" customHeight="1" x14ac:dyDescent="0.3">
      <c r="A24" s="29" t="s">
        <v>78</v>
      </c>
      <c r="B24" s="30"/>
      <c r="C24" s="30"/>
      <c r="D24" s="30"/>
      <c r="E24" s="35" t="str">
        <f>TEXT((SUM(E25:E27)),"$0,000.00")</f>
        <v>$124,590.60</v>
      </c>
      <c r="F24" s="35" t="str">
        <f t="shared" ref="F24:G24" si="4">TEXT((SUM(F25:F27)),"$0,000.00")</f>
        <v>$85,001.26</v>
      </c>
      <c r="G24" s="35" t="str">
        <f t="shared" si="4"/>
        <v>$39,589.34</v>
      </c>
    </row>
    <row r="25" spans="1:10" ht="14.25" customHeight="1" x14ac:dyDescent="0.3">
      <c r="A25" s="19" t="s">
        <v>30</v>
      </c>
      <c r="B25" s="25" t="s">
        <v>29</v>
      </c>
      <c r="C25" s="26">
        <v>12516</v>
      </c>
      <c r="D25" s="34">
        <v>5.35</v>
      </c>
      <c r="E25" s="22">
        <f t="shared" ref="E25:E27" si="5">D25*C25</f>
        <v>66960.599999999991</v>
      </c>
      <c r="F25" s="22">
        <v>45043.5</v>
      </c>
      <c r="G25" s="22">
        <f t="shared" ref="G25:G27" si="6">E25-F25</f>
        <v>21917.099999999991</v>
      </c>
      <c r="I25" s="13">
        <v>5.35</v>
      </c>
    </row>
    <row r="26" spans="1:10" ht="14.25" customHeight="1" x14ac:dyDescent="0.3">
      <c r="A26" s="24" t="s">
        <v>38</v>
      </c>
      <c r="B26" s="25" t="s">
        <v>29</v>
      </c>
      <c r="C26" s="26">
        <v>0</v>
      </c>
      <c r="D26" s="27">
        <v>0.75</v>
      </c>
      <c r="E26" s="22">
        <f t="shared" si="5"/>
        <v>0</v>
      </c>
      <c r="F26" s="22">
        <f>2850/2</f>
        <v>1425</v>
      </c>
      <c r="G26" s="22">
        <f t="shared" si="6"/>
        <v>-1425</v>
      </c>
      <c r="I26" s="13">
        <v>0.75</v>
      </c>
      <c r="J26" s="8" t="s">
        <v>74</v>
      </c>
    </row>
    <row r="27" spans="1:10" ht="14.25" customHeight="1" x14ac:dyDescent="0.3">
      <c r="A27" s="19" t="s">
        <v>35</v>
      </c>
      <c r="B27" s="20" t="s">
        <v>29</v>
      </c>
      <c r="C27" s="21">
        <v>11526</v>
      </c>
      <c r="D27" s="33">
        <v>5</v>
      </c>
      <c r="E27" s="22">
        <f t="shared" si="5"/>
        <v>57630</v>
      </c>
      <c r="F27" s="22">
        <v>38532.759999999995</v>
      </c>
      <c r="G27" s="22">
        <f t="shared" si="6"/>
        <v>19097.240000000005</v>
      </c>
      <c r="I27" s="13">
        <v>5</v>
      </c>
    </row>
    <row r="28" spans="1:10" ht="13.9" customHeight="1" x14ac:dyDescent="0.3">
      <c r="A28" s="29" t="s">
        <v>79</v>
      </c>
      <c r="B28" s="30"/>
      <c r="C28" s="30"/>
      <c r="D28" s="30"/>
      <c r="E28" s="35" t="str">
        <f>TEXT((SUM(E29:E30)),"$0,000.00")</f>
        <v>$23,345.00</v>
      </c>
      <c r="F28" s="35" t="str">
        <f t="shared" ref="F28:G28" si="7">TEXT((SUM(F29:F30)),"$0,000.00")</f>
        <v>$23,200.00</v>
      </c>
      <c r="G28" s="35" t="str">
        <f t="shared" si="7"/>
        <v>$0,145.00</v>
      </c>
    </row>
    <row r="29" spans="1:10" ht="15.75" customHeight="1" x14ac:dyDescent="0.3">
      <c r="A29" s="24" t="s">
        <v>7</v>
      </c>
      <c r="B29" s="25" t="s">
        <v>29</v>
      </c>
      <c r="C29" s="26">
        <f>70*29</f>
        <v>2030</v>
      </c>
      <c r="D29" s="27">
        <v>11.5</v>
      </c>
      <c r="E29" s="22">
        <f t="shared" ref="E29:E44" si="8">D29*C29</f>
        <v>23345</v>
      </c>
      <c r="F29" s="22">
        <f>800*29</f>
        <v>23200</v>
      </c>
      <c r="G29" s="22">
        <f t="shared" ref="G29:G30" si="9">E29-F29</f>
        <v>145</v>
      </c>
    </row>
    <row r="30" spans="1:10" ht="15" customHeight="1" x14ac:dyDescent="0.3">
      <c r="A30" s="24" t="s">
        <v>10</v>
      </c>
      <c r="B30" s="25" t="s">
        <v>29</v>
      </c>
      <c r="C30" s="26">
        <v>0</v>
      </c>
      <c r="D30" s="27">
        <v>11.5</v>
      </c>
      <c r="E30" s="22">
        <f t="shared" si="8"/>
        <v>0</v>
      </c>
      <c r="F30" s="22"/>
      <c r="G30" s="22">
        <f t="shared" si="9"/>
        <v>0</v>
      </c>
    </row>
    <row r="31" spans="1:10" ht="13.9" customHeight="1" x14ac:dyDescent="0.3">
      <c r="A31" s="29" t="s">
        <v>80</v>
      </c>
      <c r="B31" s="30"/>
      <c r="C31" s="30"/>
      <c r="D31" s="30"/>
      <c r="E31" s="35" t="str">
        <f>TEXT((SUM(E32:E34)),"$0,000.00")</f>
        <v>$189,515.00</v>
      </c>
      <c r="F31" s="35" t="str">
        <f t="shared" ref="F31:G31" si="10">TEXT((SUM(F32:F34)),"$0,000.00")</f>
        <v>$132,500.00</v>
      </c>
      <c r="G31" s="35" t="str">
        <f t="shared" si="10"/>
        <v>$57,015.00</v>
      </c>
    </row>
    <row r="32" spans="1:10" ht="15" customHeight="1" x14ac:dyDescent="0.3">
      <c r="A32" s="19" t="s">
        <v>43</v>
      </c>
      <c r="B32" s="20" t="s">
        <v>27</v>
      </c>
      <c r="C32" s="21">
        <f>29*16</f>
        <v>464</v>
      </c>
      <c r="D32" s="22">
        <v>295</v>
      </c>
      <c r="E32" s="22">
        <f t="shared" si="8"/>
        <v>136880</v>
      </c>
      <c r="F32" s="22">
        <v>132500</v>
      </c>
      <c r="G32" s="22">
        <f t="shared" ref="G32:G34" si="11">E32-F32</f>
        <v>4380</v>
      </c>
    </row>
    <row r="33" spans="1:9" x14ac:dyDescent="0.3">
      <c r="A33" s="19" t="s">
        <v>44</v>
      </c>
      <c r="B33" s="20" t="s">
        <v>27</v>
      </c>
      <c r="C33" s="21">
        <f>C32</f>
        <v>464</v>
      </c>
      <c r="D33" s="22">
        <v>60</v>
      </c>
      <c r="E33" s="22">
        <f t="shared" si="8"/>
        <v>27840</v>
      </c>
      <c r="F33" s="22"/>
      <c r="G33" s="22">
        <f t="shared" si="11"/>
        <v>27840</v>
      </c>
    </row>
    <row r="34" spans="1:9" ht="15" customHeight="1" x14ac:dyDescent="0.3">
      <c r="A34" s="19" t="s">
        <v>45</v>
      </c>
      <c r="B34" s="20" t="s">
        <v>28</v>
      </c>
      <c r="C34" s="21">
        <v>29</v>
      </c>
      <c r="D34" s="22">
        <v>855</v>
      </c>
      <c r="E34" s="22">
        <f t="shared" si="8"/>
        <v>24795</v>
      </c>
      <c r="F34" s="22"/>
      <c r="G34" s="22">
        <f t="shared" si="11"/>
        <v>24795</v>
      </c>
    </row>
    <row r="35" spans="1:9" ht="13.9" customHeight="1" x14ac:dyDescent="0.3">
      <c r="A35" s="29" t="s">
        <v>81</v>
      </c>
      <c r="B35" s="30"/>
      <c r="C35" s="30"/>
      <c r="D35" s="30"/>
      <c r="E35" s="35" t="str">
        <f>TEXT((SUM(E36:E44)),"$0,000.00")</f>
        <v>$92,930.00</v>
      </c>
      <c r="F35" s="35" t="str">
        <f t="shared" ref="F35:G35" si="12">TEXT((SUM(F36:F44)),"$0,000.00")</f>
        <v>$69,050.00</v>
      </c>
      <c r="G35" s="35" t="str">
        <f t="shared" si="12"/>
        <v>$23,880.00</v>
      </c>
    </row>
    <row r="36" spans="1:9" ht="15" customHeight="1" x14ac:dyDescent="0.3">
      <c r="A36" s="24" t="s">
        <v>51</v>
      </c>
      <c r="B36" s="20" t="s">
        <v>28</v>
      </c>
      <c r="C36" s="21">
        <v>29</v>
      </c>
      <c r="D36" s="33">
        <v>590</v>
      </c>
      <c r="E36" s="22">
        <f t="shared" si="8"/>
        <v>17110</v>
      </c>
      <c r="F36" s="22">
        <f>29*(1100+1250)</f>
        <v>68150</v>
      </c>
      <c r="G36" s="22">
        <f t="shared" ref="G36:G44" si="13">E36-F36</f>
        <v>-51040</v>
      </c>
      <c r="I36" s="11">
        <v>590</v>
      </c>
    </row>
    <row r="37" spans="1:9" s="9" customFormat="1" ht="15.75" customHeight="1" x14ac:dyDescent="0.35">
      <c r="A37" s="24" t="s">
        <v>25</v>
      </c>
      <c r="B37" s="25" t="s">
        <v>28</v>
      </c>
      <c r="C37" s="26">
        <f>29*7</f>
        <v>203</v>
      </c>
      <c r="D37" s="27">
        <v>70</v>
      </c>
      <c r="E37" s="22">
        <f t="shared" si="8"/>
        <v>14210</v>
      </c>
      <c r="F37" s="22"/>
      <c r="G37" s="22">
        <f t="shared" si="13"/>
        <v>14210</v>
      </c>
      <c r="I37" s="12">
        <v>70</v>
      </c>
    </row>
    <row r="38" spans="1:9" x14ac:dyDescent="0.3">
      <c r="A38" s="24" t="s">
        <v>52</v>
      </c>
      <c r="B38" s="20" t="s">
        <v>28</v>
      </c>
      <c r="C38" s="21">
        <v>29</v>
      </c>
      <c r="D38" s="33">
        <v>300</v>
      </c>
      <c r="E38" s="22">
        <f t="shared" si="8"/>
        <v>8700</v>
      </c>
      <c r="F38" s="22"/>
      <c r="G38" s="22">
        <f t="shared" si="13"/>
        <v>8700</v>
      </c>
      <c r="I38" s="11">
        <v>300</v>
      </c>
    </row>
    <row r="39" spans="1:9" s="9" customFormat="1" x14ac:dyDescent="0.35">
      <c r="A39" s="24" t="s">
        <v>53</v>
      </c>
      <c r="B39" s="25" t="s">
        <v>28</v>
      </c>
      <c r="C39" s="26">
        <v>29</v>
      </c>
      <c r="D39" s="34">
        <v>325</v>
      </c>
      <c r="E39" s="22">
        <f t="shared" si="8"/>
        <v>9425</v>
      </c>
      <c r="F39" s="22"/>
      <c r="G39" s="22">
        <f t="shared" si="13"/>
        <v>9425</v>
      </c>
      <c r="I39" s="12">
        <v>325</v>
      </c>
    </row>
    <row r="40" spans="1:9" s="9" customFormat="1" x14ac:dyDescent="0.35">
      <c r="A40" s="24" t="s">
        <v>54</v>
      </c>
      <c r="B40" s="25" t="s">
        <v>28</v>
      </c>
      <c r="C40" s="26">
        <v>29</v>
      </c>
      <c r="D40" s="34">
        <v>290</v>
      </c>
      <c r="E40" s="22">
        <f t="shared" si="8"/>
        <v>8410</v>
      </c>
      <c r="F40" s="22"/>
      <c r="G40" s="22">
        <f t="shared" si="13"/>
        <v>8410</v>
      </c>
      <c r="I40" s="12">
        <v>290</v>
      </c>
    </row>
    <row r="41" spans="1:9" s="9" customFormat="1" x14ac:dyDescent="0.35">
      <c r="A41" s="23" t="s">
        <v>11</v>
      </c>
      <c r="B41" s="20" t="s">
        <v>28</v>
      </c>
      <c r="C41" s="21">
        <v>0</v>
      </c>
      <c r="D41" s="33">
        <v>900</v>
      </c>
      <c r="E41" s="22">
        <f t="shared" si="8"/>
        <v>0</v>
      </c>
      <c r="F41" s="22"/>
      <c r="G41" s="22">
        <f t="shared" si="13"/>
        <v>0</v>
      </c>
      <c r="I41" s="11">
        <v>900</v>
      </c>
    </row>
    <row r="42" spans="1:9" s="9" customFormat="1" x14ac:dyDescent="0.35">
      <c r="A42" s="23" t="s">
        <v>16</v>
      </c>
      <c r="B42" s="20" t="s">
        <v>28</v>
      </c>
      <c r="C42" s="21">
        <v>29</v>
      </c>
      <c r="D42" s="33">
        <v>585</v>
      </c>
      <c r="E42" s="22">
        <f t="shared" si="8"/>
        <v>16965</v>
      </c>
      <c r="F42" s="22"/>
      <c r="G42" s="22">
        <f t="shared" si="13"/>
        <v>16965</v>
      </c>
      <c r="I42" s="11">
        <v>585</v>
      </c>
    </row>
    <row r="43" spans="1:9" x14ac:dyDescent="0.3">
      <c r="A43" s="24" t="s">
        <v>57</v>
      </c>
      <c r="B43" s="25" t="s">
        <v>28</v>
      </c>
      <c r="C43" s="26">
        <v>1</v>
      </c>
      <c r="D43" s="27">
        <v>1000</v>
      </c>
      <c r="E43" s="22">
        <f t="shared" si="8"/>
        <v>1000</v>
      </c>
      <c r="F43" s="22">
        <v>900</v>
      </c>
      <c r="G43" s="22">
        <f t="shared" si="13"/>
        <v>100</v>
      </c>
      <c r="I43" s="12">
        <v>1000</v>
      </c>
    </row>
    <row r="44" spans="1:9" x14ac:dyDescent="0.3">
      <c r="A44" s="24" t="s">
        <v>5</v>
      </c>
      <c r="B44" s="25" t="s">
        <v>28</v>
      </c>
      <c r="C44" s="26">
        <v>29</v>
      </c>
      <c r="D44" s="34">
        <v>590</v>
      </c>
      <c r="E44" s="22">
        <f t="shared" si="8"/>
        <v>17110</v>
      </c>
      <c r="F44" s="22"/>
      <c r="G44" s="22">
        <f t="shared" si="13"/>
        <v>17110</v>
      </c>
      <c r="I44" s="12">
        <v>590</v>
      </c>
    </row>
    <row r="45" spans="1:9" ht="13.9" customHeight="1" x14ac:dyDescent="0.3">
      <c r="A45" s="29" t="s">
        <v>82</v>
      </c>
      <c r="B45" s="30"/>
      <c r="C45" s="30"/>
      <c r="D45" s="30"/>
      <c r="E45" s="35" t="str">
        <f>TEXT((SUM(E46:E58)),"$0,000.00")</f>
        <v>$79,567.00</v>
      </c>
      <c r="F45" s="35" t="str">
        <f t="shared" ref="F45:G45" si="14">TEXT((SUM(F46:F58)),"$0,000.00")</f>
        <v>$74,820.01</v>
      </c>
      <c r="G45" s="35" t="str">
        <f t="shared" si="14"/>
        <v>$4,746.99</v>
      </c>
    </row>
    <row r="46" spans="1:9" ht="15" customHeight="1" x14ac:dyDescent="0.3">
      <c r="A46" s="19" t="s">
        <v>2</v>
      </c>
      <c r="B46" s="25" t="s">
        <v>28</v>
      </c>
      <c r="C46" s="26">
        <v>408</v>
      </c>
      <c r="D46" s="27">
        <v>20</v>
      </c>
      <c r="E46" s="22">
        <f t="shared" ref="E46:E58" si="15">D46*C46</f>
        <v>8160</v>
      </c>
      <c r="F46" s="22">
        <v>43065</v>
      </c>
      <c r="G46" s="22">
        <f t="shared" ref="G46:G58" si="16">E46-F46</f>
        <v>-34905</v>
      </c>
    </row>
    <row r="47" spans="1:9" ht="15" customHeight="1" x14ac:dyDescent="0.3">
      <c r="A47" s="19" t="s">
        <v>3</v>
      </c>
      <c r="B47" s="25" t="s">
        <v>28</v>
      </c>
      <c r="C47" s="26">
        <v>116</v>
      </c>
      <c r="D47" s="27">
        <v>95</v>
      </c>
      <c r="E47" s="22">
        <f t="shared" si="15"/>
        <v>11020</v>
      </c>
      <c r="F47" s="22"/>
      <c r="G47" s="22">
        <f t="shared" si="16"/>
        <v>11020</v>
      </c>
    </row>
    <row r="48" spans="1:9" ht="15" customHeight="1" x14ac:dyDescent="0.3">
      <c r="A48" s="19" t="s">
        <v>60</v>
      </c>
      <c r="B48" s="25" t="s">
        <v>28</v>
      </c>
      <c r="C48" s="26">
        <v>226</v>
      </c>
      <c r="D48" s="27">
        <v>20</v>
      </c>
      <c r="E48" s="22">
        <f t="shared" si="15"/>
        <v>4520</v>
      </c>
      <c r="F48" s="22"/>
      <c r="G48" s="22">
        <f t="shared" si="16"/>
        <v>4520</v>
      </c>
    </row>
    <row r="49" spans="1:9" s="9" customFormat="1" x14ac:dyDescent="0.3">
      <c r="A49" s="19" t="s">
        <v>4</v>
      </c>
      <c r="B49" s="25" t="s">
        <v>28</v>
      </c>
      <c r="C49" s="26">
        <f>29*3</f>
        <v>87</v>
      </c>
      <c r="D49" s="27">
        <v>20</v>
      </c>
      <c r="E49" s="22">
        <f t="shared" si="15"/>
        <v>1740</v>
      </c>
      <c r="F49" s="22"/>
      <c r="G49" s="22">
        <f t="shared" si="16"/>
        <v>1740</v>
      </c>
    </row>
    <row r="50" spans="1:9" x14ac:dyDescent="0.3">
      <c r="A50" s="24" t="s">
        <v>13</v>
      </c>
      <c r="B50" s="20" t="s">
        <v>28</v>
      </c>
      <c r="C50" s="21">
        <v>29</v>
      </c>
      <c r="D50" s="22">
        <v>289</v>
      </c>
      <c r="E50" s="22">
        <f t="shared" si="15"/>
        <v>8381</v>
      </c>
      <c r="F50" s="22">
        <v>8309.0400000000009</v>
      </c>
      <c r="G50" s="22">
        <f t="shared" si="16"/>
        <v>71.959999999999127</v>
      </c>
    </row>
    <row r="51" spans="1:9" s="9" customFormat="1" x14ac:dyDescent="0.3">
      <c r="A51" s="19" t="s">
        <v>18</v>
      </c>
      <c r="B51" s="25" t="s">
        <v>28</v>
      </c>
      <c r="C51" s="26">
        <v>29</v>
      </c>
      <c r="D51" s="27">
        <v>65</v>
      </c>
      <c r="E51" s="22">
        <f t="shared" si="15"/>
        <v>1885</v>
      </c>
      <c r="F51" s="22"/>
      <c r="G51" s="22">
        <f t="shared" si="16"/>
        <v>1885</v>
      </c>
    </row>
    <row r="52" spans="1:9" s="9" customFormat="1" x14ac:dyDescent="0.35">
      <c r="A52" s="24" t="s">
        <v>24</v>
      </c>
      <c r="B52" s="20" t="s">
        <v>28</v>
      </c>
      <c r="C52" s="21">
        <v>127</v>
      </c>
      <c r="D52" s="22">
        <v>75</v>
      </c>
      <c r="E52" s="22">
        <f t="shared" si="15"/>
        <v>9525</v>
      </c>
      <c r="F52" s="22">
        <v>9443.2199999999993</v>
      </c>
      <c r="G52" s="22">
        <f t="shared" si="16"/>
        <v>81.780000000000655</v>
      </c>
    </row>
    <row r="53" spans="1:9" s="9" customFormat="1" x14ac:dyDescent="0.35">
      <c r="A53" s="24" t="s">
        <v>36</v>
      </c>
      <c r="B53" s="20" t="s">
        <v>28</v>
      </c>
      <c r="C53" s="21">
        <v>29</v>
      </c>
      <c r="D53" s="22">
        <v>250</v>
      </c>
      <c r="E53" s="22">
        <f t="shared" si="15"/>
        <v>7250</v>
      </c>
      <c r="F53" s="22">
        <v>7187.75</v>
      </c>
      <c r="G53" s="22">
        <f t="shared" si="16"/>
        <v>62.25</v>
      </c>
    </row>
    <row r="54" spans="1:9" s="9" customFormat="1" x14ac:dyDescent="0.35">
      <c r="A54" s="24" t="s">
        <v>19</v>
      </c>
      <c r="B54" s="20" t="s">
        <v>28</v>
      </c>
      <c r="C54" s="21">
        <v>29</v>
      </c>
      <c r="D54" s="22">
        <v>95</v>
      </c>
      <c r="E54" s="22">
        <f t="shared" si="15"/>
        <v>2755</v>
      </c>
      <c r="F54" s="22"/>
      <c r="G54" s="22">
        <f t="shared" si="16"/>
        <v>2755</v>
      </c>
    </row>
    <row r="55" spans="1:9" x14ac:dyDescent="0.3">
      <c r="A55" s="24" t="s">
        <v>71</v>
      </c>
      <c r="B55" s="20" t="s">
        <v>28</v>
      </c>
      <c r="C55" s="21">
        <v>29</v>
      </c>
      <c r="D55" s="22">
        <v>175</v>
      </c>
      <c r="E55" s="22">
        <f t="shared" si="15"/>
        <v>5075</v>
      </c>
      <c r="F55" s="22">
        <v>4060</v>
      </c>
      <c r="G55" s="22">
        <f t="shared" si="16"/>
        <v>1015</v>
      </c>
    </row>
    <row r="56" spans="1:9" x14ac:dyDescent="0.3">
      <c r="A56" s="24" t="s">
        <v>73</v>
      </c>
      <c r="B56" s="20" t="s">
        <v>28</v>
      </c>
      <c r="C56" s="21">
        <v>29</v>
      </c>
      <c r="D56" s="22">
        <v>300</v>
      </c>
      <c r="E56" s="22">
        <f t="shared" si="15"/>
        <v>8700</v>
      </c>
      <c r="F56" s="22"/>
      <c r="G56" s="22">
        <f t="shared" si="16"/>
        <v>8700</v>
      </c>
    </row>
    <row r="57" spans="1:9" x14ac:dyDescent="0.3">
      <c r="A57" s="24" t="s">
        <v>63</v>
      </c>
      <c r="B57" s="20" t="s">
        <v>28</v>
      </c>
      <c r="C57" s="21">
        <v>29</v>
      </c>
      <c r="D57" s="22">
        <v>250</v>
      </c>
      <c r="E57" s="22">
        <f t="shared" si="15"/>
        <v>7250</v>
      </c>
      <c r="F57" s="22">
        <v>2755</v>
      </c>
      <c r="G57" s="22">
        <f t="shared" si="16"/>
        <v>4495</v>
      </c>
    </row>
    <row r="58" spans="1:9" x14ac:dyDescent="0.3">
      <c r="A58" s="24" t="s">
        <v>20</v>
      </c>
      <c r="B58" s="20" t="s">
        <v>28</v>
      </c>
      <c r="C58" s="21">
        <f>29*2</f>
        <v>58</v>
      </c>
      <c r="D58" s="22">
        <v>57</v>
      </c>
      <c r="E58" s="22">
        <f t="shared" si="15"/>
        <v>3306</v>
      </c>
      <c r="F58" s="22"/>
      <c r="G58" s="22">
        <f t="shared" si="16"/>
        <v>3306</v>
      </c>
    </row>
    <row r="59" spans="1:9" ht="13.9" customHeight="1" x14ac:dyDescent="0.3">
      <c r="A59" s="29" t="s">
        <v>83</v>
      </c>
      <c r="B59" s="30"/>
      <c r="C59" s="30"/>
      <c r="D59" s="30"/>
      <c r="E59" s="35" t="str">
        <f>TEXT((SUM(E60:E62)),"$0,000.00")</f>
        <v>$90,440.85</v>
      </c>
      <c r="F59" s="35" t="str">
        <f t="shared" ref="F59:G59" si="17">TEXT((SUM(F60:F62)),"$0,000.00")</f>
        <v>$67,903.41</v>
      </c>
      <c r="G59" s="35" t="str">
        <f t="shared" si="17"/>
        <v>$22,537.44</v>
      </c>
    </row>
    <row r="60" spans="1:9" x14ac:dyDescent="0.3">
      <c r="A60" s="19" t="s">
        <v>14</v>
      </c>
      <c r="B60" s="20" t="s">
        <v>29</v>
      </c>
      <c r="C60" s="21">
        <v>20791</v>
      </c>
      <c r="D60" s="22">
        <v>2.75</v>
      </c>
      <c r="E60" s="22">
        <f t="shared" ref="E60:E62" si="18">D60*C60</f>
        <v>57175.25</v>
      </c>
      <c r="F60" s="22">
        <f>2.3*C60*0.92</f>
        <v>43993.756000000001</v>
      </c>
      <c r="G60" s="22">
        <f t="shared" ref="G60:G62" si="19">E60-F60</f>
        <v>13181.493999999999</v>
      </c>
      <c r="I60" s="11">
        <v>2.75</v>
      </c>
    </row>
    <row r="61" spans="1:9" x14ac:dyDescent="0.3">
      <c r="A61" s="19" t="s">
        <v>64</v>
      </c>
      <c r="B61" s="20" t="s">
        <v>29</v>
      </c>
      <c r="C61" s="21">
        <v>20791</v>
      </c>
      <c r="D61" s="22">
        <v>0.5</v>
      </c>
      <c r="E61" s="22">
        <f t="shared" si="18"/>
        <v>10395.5</v>
      </c>
      <c r="F61" s="22">
        <f>C61*0.92*0.25</f>
        <v>4781.93</v>
      </c>
      <c r="G61" s="22">
        <f t="shared" si="19"/>
        <v>5613.57</v>
      </c>
      <c r="I61" s="11">
        <v>0.5</v>
      </c>
    </row>
    <row r="62" spans="1:9" x14ac:dyDescent="0.3">
      <c r="A62" s="19" t="s">
        <v>0</v>
      </c>
      <c r="B62" s="20" t="s">
        <v>29</v>
      </c>
      <c r="C62" s="21">
        <v>20791</v>
      </c>
      <c r="D62" s="22">
        <v>1.1000000000000001</v>
      </c>
      <c r="E62" s="22">
        <f t="shared" si="18"/>
        <v>22870.100000000002</v>
      </c>
      <c r="F62" s="22">
        <f>1*0.92*C62</f>
        <v>19127.72</v>
      </c>
      <c r="G62" s="22">
        <f t="shared" si="19"/>
        <v>3742.380000000001</v>
      </c>
      <c r="I62" s="11">
        <v>1.1000000000000001</v>
      </c>
    </row>
    <row r="63" spans="1:9" ht="13.9" customHeight="1" x14ac:dyDescent="0.3">
      <c r="A63" s="29" t="s">
        <v>84</v>
      </c>
      <c r="B63" s="30"/>
      <c r="C63" s="30"/>
      <c r="D63" s="30"/>
      <c r="E63" s="35" t="str">
        <f>TEXT((SUM(E64:E65)),"$0,000.00")</f>
        <v>$42,775.00</v>
      </c>
      <c r="F63" s="35" t="str">
        <f t="shared" ref="F63:G63" si="20">TEXT((SUM(F64:F65)),"$0,000.00")</f>
        <v>$34,220.00</v>
      </c>
      <c r="G63" s="35" t="str">
        <f t="shared" si="20"/>
        <v>$8,555.00</v>
      </c>
    </row>
    <row r="64" spans="1:9" x14ac:dyDescent="0.3">
      <c r="A64" s="19" t="s">
        <v>21</v>
      </c>
      <c r="B64" s="20" t="s">
        <v>28</v>
      </c>
      <c r="C64" s="21">
        <f>3*29</f>
        <v>87</v>
      </c>
      <c r="D64" s="22">
        <v>350</v>
      </c>
      <c r="E64" s="22">
        <f t="shared" ref="E64:E65" si="21">D64*C64</f>
        <v>30450</v>
      </c>
      <c r="F64" s="14">
        <f>SUM(E64:E65)/1.25</f>
        <v>34220</v>
      </c>
      <c r="G64" s="22">
        <f t="shared" ref="G64:G65" si="22">E64-F64</f>
        <v>-3770</v>
      </c>
    </row>
    <row r="65" spans="1:9" x14ac:dyDescent="0.3">
      <c r="A65" s="19" t="s">
        <v>22</v>
      </c>
      <c r="B65" s="20" t="s">
        <v>28</v>
      </c>
      <c r="C65" s="21">
        <f>29</f>
        <v>29</v>
      </c>
      <c r="D65" s="22">
        <v>425</v>
      </c>
      <c r="E65" s="22">
        <f t="shared" si="21"/>
        <v>12325</v>
      </c>
      <c r="F65" s="22"/>
      <c r="G65" s="22">
        <f t="shared" si="22"/>
        <v>12325</v>
      </c>
    </row>
    <row r="66" spans="1:9" ht="13.9" customHeight="1" x14ac:dyDescent="0.3">
      <c r="A66" s="29" t="s">
        <v>85</v>
      </c>
      <c r="B66" s="30"/>
      <c r="C66" s="30"/>
      <c r="D66" s="30"/>
      <c r="E66" s="35" t="str">
        <f>TEXT((SUM(E67)),"$0,000.00")</f>
        <v>$8,316.40</v>
      </c>
      <c r="F66" s="35" t="str">
        <f t="shared" ref="F66:G66" si="23">TEXT((SUM(F67)),"$0,000.00")</f>
        <v>$8,316.40</v>
      </c>
      <c r="G66" s="35" t="str">
        <f t="shared" si="23"/>
        <v>$0,000.00</v>
      </c>
    </row>
    <row r="67" spans="1:9" x14ac:dyDescent="0.3">
      <c r="A67" s="19" t="s">
        <v>6</v>
      </c>
      <c r="B67" s="20" t="s">
        <v>29</v>
      </c>
      <c r="C67" s="21">
        <v>20791</v>
      </c>
      <c r="D67" s="22">
        <v>0.4</v>
      </c>
      <c r="E67" s="22">
        <f>D67*C67</f>
        <v>8316.4</v>
      </c>
      <c r="F67" s="22">
        <f>E67</f>
        <v>8316.4</v>
      </c>
      <c r="G67" s="22">
        <f>E67-F67</f>
        <v>0</v>
      </c>
    </row>
    <row r="68" spans="1:9" ht="13.9" customHeight="1" x14ac:dyDescent="0.3">
      <c r="A68" s="29" t="s">
        <v>86</v>
      </c>
      <c r="B68" s="30"/>
      <c r="C68" s="30"/>
      <c r="D68" s="30"/>
      <c r="E68" s="35" t="str">
        <f>TEXT((SUM(E69:E72)),"$0,000.00")</f>
        <v>$95,402.75</v>
      </c>
      <c r="F68" s="35" t="str">
        <f t="shared" ref="F68:G68" si="24">TEXT((SUM(F69:F72)),"$0,000.00")</f>
        <v>$67,135.00</v>
      </c>
      <c r="G68" s="35" t="str">
        <f t="shared" si="24"/>
        <v>$28,267.75</v>
      </c>
    </row>
    <row r="69" spans="1:9" s="9" customFormat="1" x14ac:dyDescent="0.3">
      <c r="A69" s="19" t="s">
        <v>39</v>
      </c>
      <c r="B69" s="20" t="s">
        <v>32</v>
      </c>
      <c r="C69" s="21">
        <v>29</v>
      </c>
      <c r="D69" s="22">
        <f>1002.75+897.75+220+250-100</f>
        <v>2270.5</v>
      </c>
      <c r="E69" s="22">
        <f>D69*C69</f>
        <v>65844.5</v>
      </c>
      <c r="F69" s="22">
        <f>1780*29</f>
        <v>51620</v>
      </c>
      <c r="G69" s="22">
        <f t="shared" ref="G69:G72" si="25">E69-F69</f>
        <v>14224.5</v>
      </c>
      <c r="I69" s="8"/>
    </row>
    <row r="70" spans="1:9" ht="15" customHeight="1" x14ac:dyDescent="0.3">
      <c r="A70" s="24" t="s">
        <v>23</v>
      </c>
      <c r="B70" s="20" t="s">
        <v>28</v>
      </c>
      <c r="C70" s="21">
        <v>29</v>
      </c>
      <c r="D70" s="22">
        <f>719.25+100</f>
        <v>819.25</v>
      </c>
      <c r="E70" s="22">
        <f t="shared" ref="E70" si="26">D70*C70</f>
        <v>23758.25</v>
      </c>
      <c r="F70" s="22">
        <f>435*29</f>
        <v>12615</v>
      </c>
      <c r="G70" s="22">
        <f t="shared" si="25"/>
        <v>11143.25</v>
      </c>
    </row>
    <row r="71" spans="1:9" s="9" customFormat="1" x14ac:dyDescent="0.35">
      <c r="A71" s="24" t="s">
        <v>47</v>
      </c>
      <c r="B71" s="20" t="s">
        <v>28</v>
      </c>
      <c r="C71" s="21">
        <v>29</v>
      </c>
      <c r="D71" s="22">
        <v>100</v>
      </c>
      <c r="E71" s="22">
        <f>D71*C71</f>
        <v>2900</v>
      </c>
      <c r="F71" s="22">
        <v>2900</v>
      </c>
      <c r="G71" s="22">
        <f t="shared" si="25"/>
        <v>0</v>
      </c>
    </row>
    <row r="72" spans="1:9" x14ac:dyDescent="0.3">
      <c r="A72" s="24" t="s">
        <v>48</v>
      </c>
      <c r="B72" s="20" t="s">
        <v>28</v>
      </c>
      <c r="C72" s="21">
        <v>29</v>
      </c>
      <c r="D72" s="22">
        <v>100</v>
      </c>
      <c r="E72" s="22">
        <f>D72*C72</f>
        <v>2900</v>
      </c>
      <c r="F72" s="22"/>
      <c r="G72" s="22">
        <f t="shared" si="25"/>
        <v>2900</v>
      </c>
    </row>
    <row r="73" spans="1:9" ht="13.9" customHeight="1" x14ac:dyDescent="0.3">
      <c r="A73" s="29" t="s">
        <v>86</v>
      </c>
      <c r="B73" s="30"/>
      <c r="C73" s="30"/>
      <c r="D73" s="30"/>
      <c r="E73" s="35" t="str">
        <f>TEXT((SUM(E74:E76)),"$0,000.00")</f>
        <v>$207,350.00</v>
      </c>
      <c r="F73" s="35" t="str">
        <f t="shared" ref="F73:G73" si="27">TEXT((SUM(F74:F76)),"$0,000.00")</f>
        <v>$32,500.00</v>
      </c>
      <c r="G73" s="35" t="str">
        <f t="shared" si="27"/>
        <v>$174,850.00</v>
      </c>
    </row>
    <row r="74" spans="1:9" s="9" customFormat="1" ht="15" customHeight="1" x14ac:dyDescent="0.35">
      <c r="A74" s="24" t="s">
        <v>8</v>
      </c>
      <c r="B74" s="20" t="s">
        <v>33</v>
      </c>
      <c r="C74" s="21">
        <v>29</v>
      </c>
      <c r="D74" s="22">
        <v>1500</v>
      </c>
      <c r="E74" s="22">
        <f t="shared" ref="E74:E76" si="28">D74*C74</f>
        <v>43500</v>
      </c>
      <c r="F74" s="22"/>
      <c r="G74" s="22">
        <f t="shared" ref="G74:G76" si="29">E74-F74</f>
        <v>43500</v>
      </c>
    </row>
    <row r="75" spans="1:9" s="9" customFormat="1" ht="15" customHeight="1" x14ac:dyDescent="0.35">
      <c r="A75" s="24" t="s">
        <v>70</v>
      </c>
      <c r="B75" s="20" t="s">
        <v>33</v>
      </c>
      <c r="C75" s="21">
        <v>29</v>
      </c>
      <c r="D75" s="22">
        <v>2650</v>
      </c>
      <c r="E75" s="22">
        <f t="shared" si="28"/>
        <v>76850</v>
      </c>
      <c r="F75" s="22"/>
      <c r="G75" s="22">
        <f t="shared" si="29"/>
        <v>76850</v>
      </c>
    </row>
    <row r="76" spans="1:9" ht="15" customHeight="1" x14ac:dyDescent="0.3">
      <c r="A76" s="24" t="s">
        <v>9</v>
      </c>
      <c r="B76" s="20" t="s">
        <v>33</v>
      </c>
      <c r="C76" s="21">
        <v>29</v>
      </c>
      <c r="D76" s="22">
        <v>3000</v>
      </c>
      <c r="E76" s="22">
        <f t="shared" si="28"/>
        <v>87000</v>
      </c>
      <c r="F76" s="22">
        <v>32500</v>
      </c>
      <c r="G76" s="22">
        <f t="shared" si="29"/>
        <v>54500</v>
      </c>
    </row>
    <row r="77" spans="1:9" x14ac:dyDescent="0.3">
      <c r="E77" s="10">
        <f>SUM(E4:E76)</f>
        <v>1433813.6</v>
      </c>
      <c r="F77" s="10">
        <f>SUM(F4:F76)</f>
        <v>1006764.626</v>
      </c>
      <c r="G77" s="10">
        <f>SUM(G4:G76)</f>
        <v>427048.97400000005</v>
      </c>
    </row>
    <row r="79" spans="1:9" x14ac:dyDescent="0.3">
      <c r="D79" s="18" t="s">
        <v>62</v>
      </c>
      <c r="E79" s="10">
        <f>(E77-E4)/29</f>
        <v>44941.848275862074</v>
      </c>
    </row>
    <row r="80" spans="1:9" x14ac:dyDescent="0.3">
      <c r="G80" s="10"/>
    </row>
    <row r="82" spans="6:7" x14ac:dyDescent="0.3">
      <c r="F82" s="10"/>
      <c r="G82" s="28">
        <f>G77/E77</f>
        <v>0.29784134702028214</v>
      </c>
    </row>
  </sheetData>
  <mergeCells count="1">
    <mergeCell ref="B1:G1"/>
  </mergeCells>
  <pageMargins left="0.25" right="0.25" top="0.25" bottom="0.25" header="0.3" footer="0.3"/>
  <pageSetup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Rebuild Summary</vt:lpstr>
      <vt:lpstr>Pricing Units Insurance</vt:lpstr>
      <vt:lpstr>Pricing UNITS Combined</vt:lpstr>
      <vt:lpstr>Price - Breakdown (A)</vt:lpstr>
      <vt:lpstr>'Price - Breakdown (A)'!Print_Area</vt:lpstr>
      <vt:lpstr>'Pricing UNITS Combined'!Print_Area</vt:lpstr>
      <vt:lpstr>'Pricing Units Insurance'!Print_Area</vt:lpstr>
      <vt:lpstr>'Rebuild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O</dc:creator>
  <cp:lastModifiedBy>Celine Cowan</cp:lastModifiedBy>
  <cp:lastPrinted>2026-06-18T18:50:41Z</cp:lastPrinted>
  <dcterms:created xsi:type="dcterms:W3CDTF">2015-06-05T18:17:20Z</dcterms:created>
  <dcterms:modified xsi:type="dcterms:W3CDTF">2026-08-11T19:27:08Z</dcterms:modified>
</cp:coreProperties>
</file>