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e-Tech\Documents\R\rye-tech-home\2021-season-summary\check sample work\TA processing 20210408\"/>
    </mc:Choice>
  </mc:AlternateContent>
  <xr:revisionPtr revIDLastSave="0" documentId="13_ncr:1_{A9B103EC-6CD9-4E20-841D-21DBD24FE43A}" xr6:coauthVersionLast="46" xr6:coauthVersionMax="46" xr10:uidLastSave="{00000000-0000-0000-0000-000000000000}"/>
  <bookViews>
    <workbookView xWindow="-120" yWindow="-120" windowWidth="24240" windowHeight="13140" activeTab="1" xr2:uid="{00000000-000D-0000-FFFF-FFFF00000000}"/>
  </bookViews>
  <sheets>
    <sheet name="pH to mV from calibration" sheetId="4" r:id="rId1"/>
    <sheet name="sample meta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" i="4" l="1"/>
  <c r="C16" i="4"/>
  <c r="P19" i="4" l="1"/>
  <c r="P16" i="4" l="1"/>
  <c r="C21" i="4" l="1"/>
  <c r="P18" i="4" l="1"/>
  <c r="P17" i="4"/>
  <c r="I17" i="4"/>
  <c r="I20" i="4" s="1"/>
  <c r="I16" i="4"/>
  <c r="K17" i="4" l="1"/>
  <c r="C22" i="4"/>
  <c r="D22" i="4" s="1"/>
  <c r="D21" i="4"/>
  <c r="F16" i="4"/>
  <c r="C17" i="4"/>
  <c r="D17" i="4" s="1"/>
  <c r="C18" i="4"/>
  <c r="D18" i="4" s="1"/>
  <c r="C19" i="4"/>
  <c r="D19" i="4" s="1"/>
  <c r="C20" i="4"/>
  <c r="D20" i="4" s="1"/>
  <c r="D16" i="4"/>
  <c r="B7" i="4"/>
  <c r="D7" i="4" s="1"/>
  <c r="B6" i="4"/>
  <c r="D6" i="4" s="1"/>
  <c r="B5" i="4"/>
  <c r="C5" i="4" s="1"/>
  <c r="B4" i="4"/>
  <c r="D4" i="4" s="1"/>
  <c r="B3" i="4"/>
  <c r="D3" i="4" s="1"/>
  <c r="D5" i="4" l="1"/>
  <c r="G4" i="4"/>
  <c r="J4" i="4" s="1"/>
  <c r="G3" i="4"/>
  <c r="J3" i="4" s="1"/>
  <c r="C3" i="4"/>
  <c r="C7" i="4"/>
  <c r="C4" i="4"/>
  <c r="C6" i="4"/>
</calcChain>
</file>

<file path=xl/sharedStrings.xml><?xml version="1.0" encoding="utf-8"?>
<sst xmlns="http://schemas.openxmlformats.org/spreadsheetml/2006/main" count="53" uniqueCount="43">
  <si>
    <t>"+- 25 mV"</t>
  </si>
  <si>
    <t>acceptable slope offset</t>
  </si>
  <si>
    <t>85-105%</t>
  </si>
  <si>
    <t>mV from calibration</t>
  </si>
  <si>
    <t>slope1</t>
  </si>
  <si>
    <t>slope2</t>
  </si>
  <si>
    <t>slope1%</t>
  </si>
  <si>
    <t>slope2%</t>
  </si>
  <si>
    <t>acceptable probe offset from 0mV at pH7</t>
  </si>
  <si>
    <t>pH</t>
  </si>
  <si>
    <t>"+25mV"</t>
  </si>
  <si>
    <t>"-25mV"</t>
  </si>
  <si>
    <t>Nernst Slope at 25degC with offsets</t>
  </si>
  <si>
    <t>slope</t>
  </si>
  <si>
    <t>mV</t>
  </si>
  <si>
    <t>Enter from calibration</t>
  </si>
  <si>
    <t>slope%</t>
  </si>
  <si>
    <t>Use calibration generated slope to calculate mV</t>
  </si>
  <si>
    <t>no offset at pH7</t>
  </si>
  <si>
    <t>offset at pH 7</t>
  </si>
  <si>
    <t>mL</t>
  </si>
  <si>
    <t>cup mass</t>
  </si>
  <si>
    <t>sample +cup</t>
  </si>
  <si>
    <t>sample mass</t>
  </si>
  <si>
    <t>sample id</t>
  </si>
  <si>
    <t>dispense increment Volume</t>
  </si>
  <si>
    <t>first aliquot</t>
  </si>
  <si>
    <t>sample #</t>
  </si>
  <si>
    <t>Enter This value to end first titration, round down to next mV</t>
  </si>
  <si>
    <t>Enter This value to end gran titration, round up to next mV</t>
  </si>
  <si>
    <t>salinity</t>
  </si>
  <si>
    <t>in situ temperature</t>
  </si>
  <si>
    <t>ETris</t>
  </si>
  <si>
    <t>pHTris</t>
  </si>
  <si>
    <t>EHigh</t>
  </si>
  <si>
    <t>ELow</t>
  </si>
  <si>
    <t>Gran titration "upper bound" aka Ehigh</t>
  </si>
  <si>
    <t>Gran titration "lower bound" aka Elow</t>
  </si>
  <si>
    <t>SAC-1</t>
  </si>
  <si>
    <t>SAC-2</t>
  </si>
  <si>
    <t>BAY-STD-1</t>
  </si>
  <si>
    <t>P-0084-1</t>
  </si>
  <si>
    <t>P-0084-2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</si>
</sst>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2" borderId="0" xfId="0" applyFill="1" applyBorder="1"/>
    <xf numFmtId="0" fontId="0" fillId="3" borderId="0" xfId="0" applyFill="1" applyBorder="1"/>
    <xf numFmtId="164" fontId="0" fillId="0" borderId="0" xfId="0" applyNumberForma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workbookViewId="0">
      <selection activeCell="D19" sqref="D19"/>
    </sheetView>
  </sheetViews>
  <sheetFormatPr defaultRowHeight="15" x14ac:dyDescent="0.25"/>
  <cols>
    <col min="1" max="1" width="11.28515625" customWidth="1"/>
    <col min="2" max="2" width="18.85546875" bestFit="1" customWidth="1"/>
    <col min="3" max="3" width="15.140625" bestFit="1" customWidth="1"/>
    <col min="4" max="4" width="15.42578125" style="4" customWidth="1"/>
    <col min="5" max="5" width="30.85546875" style="10" customWidth="1"/>
    <col min="13" max="13" width="19.42578125" bestFit="1" customWidth="1"/>
    <col min="14" max="14" width="12" style="9" bestFit="1" customWidth="1"/>
    <col min="15" max="16" width="12.28515625" style="9" bestFit="1" customWidth="1"/>
  </cols>
  <sheetData>
    <row r="1" spans="1:17" x14ac:dyDescent="0.25">
      <c r="A1" t="s">
        <v>12</v>
      </c>
    </row>
    <row r="2" spans="1:17" x14ac:dyDescent="0.25">
      <c r="A2" t="s">
        <v>9</v>
      </c>
      <c r="B2" t="s">
        <v>3</v>
      </c>
      <c r="C2" t="s">
        <v>10</v>
      </c>
      <c r="D2" s="4" t="s">
        <v>11</v>
      </c>
    </row>
    <row r="3" spans="1:17" x14ac:dyDescent="0.25">
      <c r="A3">
        <v>4</v>
      </c>
      <c r="B3">
        <f>(7-A3)*59.16</f>
        <v>177.48</v>
      </c>
      <c r="C3">
        <f>B3+25</f>
        <v>202.48</v>
      </c>
      <c r="D3" s="4">
        <f>B3-25</f>
        <v>152.47999999999999</v>
      </c>
      <c r="F3" t="s">
        <v>4</v>
      </c>
      <c r="G3">
        <f>(B4-B3)/(A4-A3)</f>
        <v>-59.16</v>
      </c>
      <c r="I3" t="s">
        <v>6</v>
      </c>
      <c r="J3">
        <f>ABS(G3/59.16)*100</f>
        <v>100</v>
      </c>
      <c r="L3" t="s">
        <v>8</v>
      </c>
    </row>
    <row r="4" spans="1:17" x14ac:dyDescent="0.25">
      <c r="A4">
        <v>7</v>
      </c>
      <c r="B4">
        <f t="shared" ref="B4:B7" si="0">(7-A4)*59.16</f>
        <v>0</v>
      </c>
      <c r="C4">
        <f t="shared" ref="C4:C7" si="1">B4+25</f>
        <v>25</v>
      </c>
      <c r="D4" s="4">
        <f t="shared" ref="D4:D7" si="2">B4-25</f>
        <v>-25</v>
      </c>
      <c r="F4" t="s">
        <v>5</v>
      </c>
      <c r="G4">
        <f>(B4-B5)/(A4-A5)</f>
        <v>-59.16</v>
      </c>
      <c r="I4" t="s">
        <v>7</v>
      </c>
      <c r="J4">
        <f>ABS(G4/59.16)*100</f>
        <v>100</v>
      </c>
      <c r="L4" t="s">
        <v>0</v>
      </c>
    </row>
    <row r="5" spans="1:17" x14ac:dyDescent="0.25">
      <c r="A5">
        <v>10</v>
      </c>
      <c r="B5">
        <f t="shared" si="0"/>
        <v>-177.48</v>
      </c>
      <c r="C5">
        <f t="shared" si="1"/>
        <v>-152.47999999999999</v>
      </c>
      <c r="D5" s="4">
        <f t="shared" si="2"/>
        <v>-202.48</v>
      </c>
    </row>
    <row r="6" spans="1:17" x14ac:dyDescent="0.25">
      <c r="A6">
        <v>3</v>
      </c>
      <c r="B6">
        <f t="shared" si="0"/>
        <v>236.64</v>
      </c>
      <c r="C6">
        <f t="shared" si="1"/>
        <v>261.64</v>
      </c>
      <c r="D6" s="4">
        <f t="shared" si="2"/>
        <v>211.64</v>
      </c>
      <c r="L6" t="s">
        <v>1</v>
      </c>
    </row>
    <row r="7" spans="1:17" x14ac:dyDescent="0.25">
      <c r="A7">
        <v>3.5</v>
      </c>
      <c r="B7">
        <f t="shared" si="0"/>
        <v>207.06</v>
      </c>
      <c r="C7">
        <f t="shared" si="1"/>
        <v>232.06</v>
      </c>
      <c r="D7" s="4">
        <f t="shared" si="2"/>
        <v>182.06</v>
      </c>
      <c r="L7" t="s">
        <v>2</v>
      </c>
    </row>
    <row r="11" spans="1:17" x14ac:dyDescent="0.25">
      <c r="A11" t="s">
        <v>17</v>
      </c>
    </row>
    <row r="12" spans="1:17" x14ac:dyDescent="0.25">
      <c r="A12" s="2" t="s">
        <v>15</v>
      </c>
    </row>
    <row r="13" spans="1:17" ht="15.75" thickBot="1" x14ac:dyDescent="0.3">
      <c r="A13" s="2"/>
      <c r="C13" t="s">
        <v>18</v>
      </c>
      <c r="D13" s="4" t="s">
        <v>19</v>
      </c>
    </row>
    <row r="14" spans="1:17" ht="15.75" thickBot="1" x14ac:dyDescent="0.3">
      <c r="A14" s="2"/>
      <c r="D14" s="6">
        <v>-5.9</v>
      </c>
    </row>
    <row r="15" spans="1:17" ht="15.75" thickBot="1" x14ac:dyDescent="0.3">
      <c r="A15" t="s">
        <v>9</v>
      </c>
      <c r="B15" t="s">
        <v>13</v>
      </c>
      <c r="C15" t="s">
        <v>14</v>
      </c>
      <c r="D15" t="s">
        <v>14</v>
      </c>
      <c r="F15" t="s">
        <v>16</v>
      </c>
      <c r="I15" t="s">
        <v>25</v>
      </c>
      <c r="M15" t="s">
        <v>24</v>
      </c>
      <c r="N15" s="9" t="s">
        <v>21</v>
      </c>
      <c r="O15" s="9" t="s">
        <v>22</v>
      </c>
      <c r="P15" s="9" t="s">
        <v>23</v>
      </c>
      <c r="Q15" t="s">
        <v>27</v>
      </c>
    </row>
    <row r="16" spans="1:17" ht="15.75" thickBot="1" x14ac:dyDescent="0.3">
      <c r="A16">
        <v>4</v>
      </c>
      <c r="B16" s="1">
        <v>57.72</v>
      </c>
      <c r="C16">
        <f>(7-A16)*$B$16</f>
        <v>173.16</v>
      </c>
      <c r="D16" s="5">
        <f>C16+$D$14</f>
        <v>167.26</v>
      </c>
      <c r="F16">
        <f>(B16/59.16)*100</f>
        <v>97.565922920892504</v>
      </c>
      <c r="I16">
        <f>(50/125)*0.05</f>
        <v>2.0000000000000004E-2</v>
      </c>
      <c r="J16" t="s">
        <v>20</v>
      </c>
      <c r="M16" t="s">
        <v>38</v>
      </c>
      <c r="N16" s="9">
        <v>7.2789999999999999</v>
      </c>
      <c r="O16" s="9">
        <v>58.302999999999997</v>
      </c>
      <c r="P16" s="9">
        <f>O16-N16</f>
        <v>51.024000000000001</v>
      </c>
      <c r="Q16">
        <v>1</v>
      </c>
    </row>
    <row r="17" spans="1:17" x14ac:dyDescent="0.25">
      <c r="A17">
        <v>7</v>
      </c>
      <c r="C17">
        <f t="shared" ref="C17:C22" si="3">(7-A17)*$B$16</f>
        <v>0</v>
      </c>
      <c r="D17" s="5">
        <f t="shared" ref="D17:D22" si="4">C17+$D$14</f>
        <v>-5.9</v>
      </c>
      <c r="I17">
        <f>50/125</f>
        <v>0.4</v>
      </c>
      <c r="J17">
        <v>0.05</v>
      </c>
      <c r="K17">
        <f>I17*J17</f>
        <v>2.0000000000000004E-2</v>
      </c>
      <c r="M17" t="s">
        <v>40</v>
      </c>
      <c r="N17" s="9">
        <v>7.3049999999999997</v>
      </c>
      <c r="O17" s="9">
        <v>58.677</v>
      </c>
      <c r="P17" s="9">
        <f>O17-N17</f>
        <v>51.372</v>
      </c>
      <c r="Q17">
        <v>2</v>
      </c>
    </row>
    <row r="18" spans="1:17" x14ac:dyDescent="0.25">
      <c r="A18">
        <v>10</v>
      </c>
      <c r="C18">
        <f t="shared" si="3"/>
        <v>-173.16</v>
      </c>
      <c r="D18" s="5">
        <f t="shared" si="4"/>
        <v>-179.06</v>
      </c>
      <c r="M18" t="s">
        <v>39</v>
      </c>
      <c r="N18" s="9">
        <v>7.2949999999999999</v>
      </c>
      <c r="O18" s="9">
        <v>58.814</v>
      </c>
      <c r="P18" s="9">
        <f t="shared" ref="P18" si="5">O18-N18</f>
        <v>51.518999999999998</v>
      </c>
      <c r="Q18">
        <v>3</v>
      </c>
    </row>
    <row r="19" spans="1:17" ht="30" x14ac:dyDescent="0.25">
      <c r="A19">
        <v>3.5</v>
      </c>
      <c r="C19">
        <f t="shared" si="3"/>
        <v>202.01999999999998</v>
      </c>
      <c r="D19" s="5">
        <f t="shared" si="4"/>
        <v>196.11999999999998</v>
      </c>
      <c r="E19" s="10" t="s">
        <v>36</v>
      </c>
      <c r="I19" t="s">
        <v>26</v>
      </c>
      <c r="M19" t="s">
        <v>41</v>
      </c>
      <c r="N19" s="9">
        <v>7.28</v>
      </c>
      <c r="O19" s="9">
        <v>58.83</v>
      </c>
      <c r="P19" s="9">
        <f t="shared" ref="P19:P20" si="6">O19-N19</f>
        <v>51.55</v>
      </c>
      <c r="Q19">
        <v>4</v>
      </c>
    </row>
    <row r="20" spans="1:17" ht="30" x14ac:dyDescent="0.25">
      <c r="A20">
        <v>3</v>
      </c>
      <c r="C20">
        <f t="shared" si="3"/>
        <v>230.88</v>
      </c>
      <c r="D20" s="5">
        <f t="shared" si="4"/>
        <v>224.98</v>
      </c>
      <c r="E20" s="10" t="s">
        <v>37</v>
      </c>
      <c r="I20">
        <f>I17*3</f>
        <v>1.2000000000000002</v>
      </c>
      <c r="J20" t="s">
        <v>20</v>
      </c>
      <c r="M20" t="s">
        <v>42</v>
      </c>
      <c r="N20" s="9">
        <v>7.3</v>
      </c>
      <c r="O20" s="9">
        <v>57.747999999999998</v>
      </c>
      <c r="P20" s="9">
        <f t="shared" si="6"/>
        <v>50.448</v>
      </c>
      <c r="Q20">
        <v>5</v>
      </c>
    </row>
    <row r="21" spans="1:17" ht="34.5" customHeight="1" x14ac:dyDescent="0.25">
      <c r="A21">
        <v>3.7</v>
      </c>
      <c r="C21" s="3">
        <f>(7-A21)*$B$16</f>
        <v>190.476</v>
      </c>
      <c r="D21" s="7">
        <f t="shared" si="4"/>
        <v>184.57599999999999</v>
      </c>
      <c r="E21" s="11" t="s">
        <v>28</v>
      </c>
    </row>
    <row r="22" spans="1:17" ht="36.75" customHeight="1" x14ac:dyDescent="0.25">
      <c r="A22">
        <v>2.8</v>
      </c>
      <c r="C22" s="3">
        <f t="shared" si="3"/>
        <v>242.42400000000001</v>
      </c>
      <c r="D22" s="8">
        <f t="shared" si="4"/>
        <v>236.524</v>
      </c>
      <c r="E22" s="12" t="s">
        <v>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49A-1587-482E-88F7-7947B3554D67}">
  <dimension ref="A1:H6"/>
  <sheetViews>
    <sheetView tabSelected="1" workbookViewId="0">
      <selection activeCell="D15" sqref="D15"/>
    </sheetView>
  </sheetViews>
  <sheetFormatPr defaultRowHeight="15" x14ac:dyDescent="0.25"/>
  <cols>
    <col min="1" max="1" width="10.42578125" bestFit="1" customWidth="1"/>
    <col min="2" max="2" width="12.28515625" bestFit="1" customWidth="1"/>
    <col min="3" max="3" width="7.42578125" bestFit="1" customWidth="1"/>
    <col min="4" max="4" width="18.42578125" bestFit="1" customWidth="1"/>
  </cols>
  <sheetData>
    <row r="1" spans="1:8" x14ac:dyDescent="0.25">
      <c r="A1" t="s">
        <v>24</v>
      </c>
      <c r="B1" t="s">
        <v>23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5">
      <c r="A2" t="s">
        <v>38</v>
      </c>
      <c r="B2">
        <v>51.024000000000001</v>
      </c>
      <c r="C2">
        <v>27.5</v>
      </c>
      <c r="D2">
        <v>25</v>
      </c>
      <c r="E2">
        <v>-5.9</v>
      </c>
      <c r="F2">
        <v>7</v>
      </c>
      <c r="G2">
        <v>196.11999999999998</v>
      </c>
      <c r="H2">
        <v>224.98</v>
      </c>
    </row>
    <row r="3" spans="1:8" x14ac:dyDescent="0.25">
      <c r="A3" t="s">
        <v>40</v>
      </c>
      <c r="B3">
        <v>51.372</v>
      </c>
      <c r="C3">
        <v>27.53</v>
      </c>
      <c r="D3">
        <v>11.92</v>
      </c>
      <c r="E3">
        <v>-5.9</v>
      </c>
      <c r="F3">
        <v>7</v>
      </c>
      <c r="G3">
        <v>196.11999999999998</v>
      </c>
      <c r="H3">
        <v>224.98</v>
      </c>
    </row>
    <row r="4" spans="1:8" x14ac:dyDescent="0.25">
      <c r="A4" t="s">
        <v>39</v>
      </c>
      <c r="B4">
        <v>51.518999999999998</v>
      </c>
      <c r="C4">
        <v>30</v>
      </c>
      <c r="D4">
        <v>25</v>
      </c>
      <c r="E4">
        <v>-5.9</v>
      </c>
      <c r="F4">
        <v>7</v>
      </c>
      <c r="G4">
        <v>196.11999999999998</v>
      </c>
      <c r="H4">
        <v>224.98</v>
      </c>
    </row>
    <row r="5" spans="1:8" x14ac:dyDescent="0.25">
      <c r="A5" t="s">
        <v>41</v>
      </c>
      <c r="B5">
        <v>51.55</v>
      </c>
      <c r="C5">
        <v>29.8</v>
      </c>
      <c r="D5">
        <v>12</v>
      </c>
      <c r="E5">
        <v>-5.9</v>
      </c>
      <c r="F5">
        <v>7</v>
      </c>
      <c r="G5">
        <v>196.11999999999998</v>
      </c>
      <c r="H5">
        <v>224.98</v>
      </c>
    </row>
    <row r="6" spans="1:8" x14ac:dyDescent="0.25">
      <c r="A6" t="s">
        <v>42</v>
      </c>
      <c r="B6">
        <v>50.448</v>
      </c>
      <c r="C6">
        <v>29.8</v>
      </c>
      <c r="D6">
        <v>12</v>
      </c>
      <c r="E6">
        <v>-5.9</v>
      </c>
      <c r="F6">
        <v>7</v>
      </c>
      <c r="G6">
        <v>196.11999999999998</v>
      </c>
      <c r="H6">
        <v>224.98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 to mV from calibration</vt:lpstr>
      <vt:lpstr>sample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J. Hartnett</dc:creator>
  <cp:lastModifiedBy>Rye-Tech</cp:lastModifiedBy>
  <dcterms:created xsi:type="dcterms:W3CDTF">2019-09-17T05:37:44Z</dcterms:created>
  <dcterms:modified xsi:type="dcterms:W3CDTF">2021-04-08T22:48:20Z</dcterms:modified>
</cp:coreProperties>
</file>