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esktop\Berkeley boot camp\Datasets\Databases\"/>
    </mc:Choice>
  </mc:AlternateContent>
  <xr:revisionPtr revIDLastSave="0" documentId="13_ncr:1_{D24E66D4-9DE2-4154-9823-37F4EB247DFC}" xr6:coauthVersionLast="47" xr6:coauthVersionMax="47" xr10:uidLastSave="{00000000-0000-0000-0000-000000000000}"/>
  <bookViews>
    <workbookView xWindow="-108" yWindow="-108" windowWidth="23256" windowHeight="12576" activeTab="4" xr2:uid="{9B196AF5-CA74-4707-A1BE-5D9DD048F2E0}"/>
  </bookViews>
  <sheets>
    <sheet name="2016" sheetId="1" r:id="rId1"/>
    <sheet name="2017" sheetId="3" r:id="rId2"/>
    <sheet name="2018" sheetId="4" r:id="rId3"/>
    <sheet name="2019" sheetId="5" r:id="rId4"/>
    <sheet name="2020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" i="6"/>
  <c r="B6" i="6"/>
  <c r="D6" i="6" s="1"/>
  <c r="B7" i="6"/>
  <c r="B8" i="6"/>
  <c r="B9" i="6"/>
  <c r="B10" i="6"/>
  <c r="B11" i="6"/>
  <c r="B12" i="6"/>
  <c r="B13" i="6"/>
  <c r="D13" i="6" s="1"/>
  <c r="B14" i="6"/>
  <c r="D14" i="6" s="1"/>
  <c r="B15" i="6"/>
  <c r="B16" i="6"/>
  <c r="B17" i="6"/>
  <c r="B18" i="6"/>
  <c r="B19" i="6"/>
  <c r="B20" i="6"/>
  <c r="B21" i="6"/>
  <c r="B22" i="6"/>
  <c r="D22" i="6" s="1"/>
  <c r="B23" i="6"/>
  <c r="B24" i="6"/>
  <c r="B25" i="6"/>
  <c r="B26" i="6"/>
  <c r="B27" i="6"/>
  <c r="B28" i="6"/>
  <c r="B29" i="6"/>
  <c r="B30" i="6"/>
  <c r="D30" i="6" s="1"/>
  <c r="B31" i="6"/>
  <c r="B32" i="6"/>
  <c r="B33" i="6"/>
  <c r="B34" i="6"/>
  <c r="B35" i="6"/>
  <c r="B36" i="6"/>
  <c r="B37" i="6"/>
  <c r="B38" i="6"/>
  <c r="D38" i="6" s="1"/>
  <c r="B39" i="6"/>
  <c r="B40" i="6"/>
  <c r="B41" i="6"/>
  <c r="B42" i="6"/>
  <c r="B43" i="6"/>
  <c r="B44" i="6"/>
  <c r="B45" i="6"/>
  <c r="B46" i="6"/>
  <c r="D46" i="6" s="1"/>
  <c r="B47" i="6"/>
  <c r="B48" i="6"/>
  <c r="B49" i="6"/>
  <c r="B50" i="6"/>
  <c r="B51" i="6"/>
  <c r="B52" i="6"/>
  <c r="B53" i="6"/>
  <c r="B54" i="6"/>
  <c r="B55" i="6"/>
  <c r="B5" i="6"/>
  <c r="D51" i="6"/>
  <c r="D43" i="6"/>
  <c r="D35" i="6"/>
  <c r="D27" i="6"/>
  <c r="D21" i="6"/>
  <c r="D19" i="6"/>
  <c r="D18" i="6"/>
  <c r="D16" i="6"/>
  <c r="D15" i="6"/>
  <c r="D11" i="6"/>
  <c r="D10" i="6"/>
  <c r="D8" i="6"/>
  <c r="D7" i="6"/>
  <c r="B6" i="5"/>
  <c r="B7" i="5"/>
  <c r="B8" i="5"/>
  <c r="B9" i="5"/>
  <c r="B10" i="5"/>
  <c r="D10" i="5" s="1"/>
  <c r="B11" i="5"/>
  <c r="B12" i="5"/>
  <c r="B13" i="5"/>
  <c r="B14" i="5"/>
  <c r="B15" i="5"/>
  <c r="B16" i="5"/>
  <c r="B17" i="5"/>
  <c r="D17" i="5" s="1"/>
  <c r="B18" i="5"/>
  <c r="D18" i="5" s="1"/>
  <c r="B19" i="5"/>
  <c r="B20" i="5"/>
  <c r="B21" i="5"/>
  <c r="B22" i="5"/>
  <c r="B23" i="5"/>
  <c r="B24" i="5"/>
  <c r="B25" i="5"/>
  <c r="D25" i="5" s="1"/>
  <c r="B26" i="5"/>
  <c r="B27" i="5"/>
  <c r="B28" i="5"/>
  <c r="B29" i="5"/>
  <c r="B30" i="5"/>
  <c r="B31" i="5"/>
  <c r="B32" i="5"/>
  <c r="B33" i="5"/>
  <c r="D33" i="5" s="1"/>
  <c r="B34" i="5"/>
  <c r="D34" i="5" s="1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D50" i="5" s="1"/>
  <c r="B51" i="5"/>
  <c r="B52" i="5"/>
  <c r="B53" i="5"/>
  <c r="B54" i="5"/>
  <c r="B55" i="5"/>
  <c r="B5" i="5"/>
  <c r="C6" i="5"/>
  <c r="C7" i="5"/>
  <c r="C8" i="5"/>
  <c r="D8" i="5" s="1"/>
  <c r="C9" i="5"/>
  <c r="C10" i="5"/>
  <c r="C11" i="5"/>
  <c r="D11" i="5" s="1"/>
  <c r="C12" i="5"/>
  <c r="C13" i="5"/>
  <c r="D13" i="5" s="1"/>
  <c r="C14" i="5"/>
  <c r="D14" i="5" s="1"/>
  <c r="C15" i="5"/>
  <c r="D15" i="5" s="1"/>
  <c r="C16" i="5"/>
  <c r="C17" i="5"/>
  <c r="C18" i="5"/>
  <c r="C19" i="5"/>
  <c r="D19" i="5" s="1"/>
  <c r="C20" i="5"/>
  <c r="C21" i="5"/>
  <c r="C22" i="5"/>
  <c r="C23" i="5"/>
  <c r="D23" i="5" s="1"/>
  <c r="C24" i="5"/>
  <c r="C25" i="5"/>
  <c r="C26" i="5"/>
  <c r="D26" i="5" s="1"/>
  <c r="C27" i="5"/>
  <c r="C28" i="5"/>
  <c r="C29" i="5"/>
  <c r="D29" i="5" s="1"/>
  <c r="C30" i="5"/>
  <c r="C31" i="5"/>
  <c r="D31" i="5" s="1"/>
  <c r="C32" i="5"/>
  <c r="C33" i="5"/>
  <c r="C34" i="5"/>
  <c r="C35" i="5"/>
  <c r="C36" i="5"/>
  <c r="C37" i="5"/>
  <c r="C38" i="5"/>
  <c r="C39" i="5"/>
  <c r="D39" i="5" s="1"/>
  <c r="C40" i="5"/>
  <c r="C41" i="5"/>
  <c r="C42" i="5"/>
  <c r="D42" i="5" s="1"/>
  <c r="C43" i="5"/>
  <c r="C44" i="5"/>
  <c r="C45" i="5"/>
  <c r="D45" i="5" s="1"/>
  <c r="C46" i="5"/>
  <c r="C47" i="5"/>
  <c r="C48" i="5"/>
  <c r="C49" i="5"/>
  <c r="D49" i="5" s="1"/>
  <c r="C50" i="5"/>
  <c r="C51" i="5"/>
  <c r="C52" i="5"/>
  <c r="C53" i="5"/>
  <c r="D53" i="5" s="1"/>
  <c r="C54" i="5"/>
  <c r="C55" i="5"/>
  <c r="C5" i="5"/>
  <c r="D52" i="5"/>
  <c r="D44" i="5"/>
  <c r="D41" i="5"/>
  <c r="D37" i="5"/>
  <c r="D36" i="5"/>
  <c r="D28" i="5"/>
  <c r="D21" i="5"/>
  <c r="D20" i="5"/>
  <c r="D16" i="5"/>
  <c r="D12" i="5"/>
  <c r="D9" i="5"/>
  <c r="D7" i="5"/>
  <c r="C6" i="4"/>
  <c r="C7" i="4"/>
  <c r="C8" i="4"/>
  <c r="C9" i="4"/>
  <c r="C10" i="4"/>
  <c r="C11" i="4"/>
  <c r="C12" i="4"/>
  <c r="C13" i="4"/>
  <c r="D13" i="4" s="1"/>
  <c r="C14" i="4"/>
  <c r="C15" i="4"/>
  <c r="C16" i="4"/>
  <c r="C17" i="4"/>
  <c r="C18" i="4"/>
  <c r="C19" i="4"/>
  <c r="D19" i="4" s="1"/>
  <c r="C20" i="4"/>
  <c r="C21" i="4"/>
  <c r="D21" i="4" s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D37" i="4" s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" i="4"/>
  <c r="B6" i="4"/>
  <c r="B7" i="4"/>
  <c r="B8" i="4"/>
  <c r="B9" i="4"/>
  <c r="D9" i="4" s="1"/>
  <c r="B10" i="4"/>
  <c r="B11" i="4"/>
  <c r="B12" i="4"/>
  <c r="B13" i="4"/>
  <c r="B14" i="4"/>
  <c r="B15" i="4"/>
  <c r="B16" i="4"/>
  <c r="B17" i="4"/>
  <c r="D17" i="4" s="1"/>
  <c r="B18" i="4"/>
  <c r="B19" i="4"/>
  <c r="B20" i="4"/>
  <c r="B21" i="4"/>
  <c r="B22" i="4"/>
  <c r="D22" i="4" s="1"/>
  <c r="B23" i="4"/>
  <c r="B24" i="4"/>
  <c r="B25" i="4"/>
  <c r="D25" i="4" s="1"/>
  <c r="B26" i="4"/>
  <c r="B27" i="4"/>
  <c r="D27" i="4" s="1"/>
  <c r="B28" i="4"/>
  <c r="B29" i="4"/>
  <c r="B30" i="4"/>
  <c r="B31" i="4"/>
  <c r="B32" i="4"/>
  <c r="B33" i="4"/>
  <c r="D33" i="4" s="1"/>
  <c r="B34" i="4"/>
  <c r="B35" i="4"/>
  <c r="D35" i="4" s="1"/>
  <c r="B36" i="4"/>
  <c r="B37" i="4"/>
  <c r="B38" i="4"/>
  <c r="B39" i="4"/>
  <c r="B40" i="4"/>
  <c r="B41" i="4"/>
  <c r="D41" i="4" s="1"/>
  <c r="B42" i="4"/>
  <c r="B43" i="4"/>
  <c r="B44" i="4"/>
  <c r="B45" i="4"/>
  <c r="B46" i="4"/>
  <c r="B47" i="4"/>
  <c r="B48" i="4"/>
  <c r="B49" i="4"/>
  <c r="B50" i="4"/>
  <c r="B51" i="4"/>
  <c r="D51" i="4" s="1"/>
  <c r="B52" i="4"/>
  <c r="B53" i="4"/>
  <c r="B54" i="4"/>
  <c r="B55" i="4"/>
  <c r="B5" i="4"/>
  <c r="D49" i="4"/>
  <c r="D36" i="4"/>
  <c r="D30" i="4"/>
  <c r="D24" i="4"/>
  <c r="D16" i="4"/>
  <c r="D14" i="4"/>
  <c r="D11" i="4"/>
  <c r="D8" i="4"/>
  <c r="D6" i="4"/>
  <c r="C6" i="3"/>
  <c r="C7" i="3"/>
  <c r="C8" i="3"/>
  <c r="C9" i="3"/>
  <c r="D9" i="3" s="1"/>
  <c r="C10" i="3"/>
  <c r="C11" i="3"/>
  <c r="C12" i="3"/>
  <c r="C13" i="3"/>
  <c r="C14" i="3"/>
  <c r="C15" i="3"/>
  <c r="C16" i="3"/>
  <c r="D16" i="3" s="1"/>
  <c r="C17" i="3"/>
  <c r="D17" i="3" s="1"/>
  <c r="C18" i="3"/>
  <c r="D18" i="3" s="1"/>
  <c r="C19" i="3"/>
  <c r="C20" i="3"/>
  <c r="C21" i="3"/>
  <c r="C22" i="3"/>
  <c r="C23" i="3"/>
  <c r="C24" i="3"/>
  <c r="C25" i="3"/>
  <c r="D25" i="3" s="1"/>
  <c r="C26" i="3"/>
  <c r="C27" i="3"/>
  <c r="C28" i="3"/>
  <c r="C29" i="3"/>
  <c r="C30" i="3"/>
  <c r="C31" i="3"/>
  <c r="C32" i="3"/>
  <c r="C33" i="3"/>
  <c r="D33" i="3" s="1"/>
  <c r="C34" i="3"/>
  <c r="C35" i="3"/>
  <c r="D35" i="3" s="1"/>
  <c r="C36" i="3"/>
  <c r="C37" i="3"/>
  <c r="C38" i="3"/>
  <c r="C39" i="3"/>
  <c r="C40" i="3"/>
  <c r="C41" i="3"/>
  <c r="D41" i="3" s="1"/>
  <c r="C42" i="3"/>
  <c r="D42" i="3" s="1"/>
  <c r="C43" i="3"/>
  <c r="C44" i="3"/>
  <c r="C45" i="3"/>
  <c r="C46" i="3"/>
  <c r="C47" i="3"/>
  <c r="C48" i="3"/>
  <c r="C49" i="3"/>
  <c r="D49" i="3" s="1"/>
  <c r="C50" i="3"/>
  <c r="C51" i="3"/>
  <c r="C52" i="3"/>
  <c r="C53" i="3"/>
  <c r="C54" i="3"/>
  <c r="C55" i="3"/>
  <c r="C5" i="3"/>
  <c r="B6" i="3"/>
  <c r="B7" i="3"/>
  <c r="B8" i="3"/>
  <c r="B9" i="3"/>
  <c r="B10" i="3"/>
  <c r="B11" i="3"/>
  <c r="B12" i="3"/>
  <c r="D12" i="3" s="1"/>
  <c r="B13" i="3"/>
  <c r="B14" i="3"/>
  <c r="B15" i="3"/>
  <c r="B16" i="3"/>
  <c r="B17" i="3"/>
  <c r="B18" i="3"/>
  <c r="B19" i="3"/>
  <c r="B20" i="3"/>
  <c r="D20" i="3" s="1"/>
  <c r="B21" i="3"/>
  <c r="D21" i="3" s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D47" i="3" s="1"/>
  <c r="B48" i="3"/>
  <c r="B49" i="3"/>
  <c r="B50" i="3"/>
  <c r="B51" i="3"/>
  <c r="B52" i="3"/>
  <c r="B53" i="3"/>
  <c r="B54" i="3"/>
  <c r="B55" i="3"/>
  <c r="B5" i="3"/>
  <c r="C5" i="1"/>
  <c r="C6" i="1"/>
  <c r="C7" i="1"/>
  <c r="C8" i="1"/>
  <c r="B8" i="1"/>
  <c r="B7" i="1"/>
  <c r="B6" i="1"/>
  <c r="B5" i="1"/>
  <c r="D50" i="3"/>
  <c r="D39" i="3"/>
  <c r="D34" i="3"/>
  <c r="D31" i="3"/>
  <c r="D26" i="3"/>
  <c r="D23" i="3"/>
  <c r="D15" i="3"/>
  <c r="D13" i="3"/>
  <c r="D10" i="3"/>
  <c r="D34" i="1"/>
  <c r="C10" i="1"/>
  <c r="C11" i="1"/>
  <c r="C12" i="1"/>
  <c r="D12" i="1" s="1"/>
  <c r="C13" i="1"/>
  <c r="C14" i="1"/>
  <c r="C15" i="1"/>
  <c r="D15" i="1" s="1"/>
  <c r="C16" i="1"/>
  <c r="C17" i="1"/>
  <c r="C18" i="1"/>
  <c r="C19" i="1"/>
  <c r="D19" i="1" s="1"/>
  <c r="C20" i="1"/>
  <c r="D20" i="1" s="1"/>
  <c r="C21" i="1"/>
  <c r="C22" i="1"/>
  <c r="C23" i="1"/>
  <c r="D23" i="1" s="1"/>
  <c r="C24" i="1"/>
  <c r="C25" i="1"/>
  <c r="C26" i="1"/>
  <c r="D26" i="1" s="1"/>
  <c r="C27" i="1"/>
  <c r="D27" i="1" s="1"/>
  <c r="C28" i="1"/>
  <c r="D28" i="1" s="1"/>
  <c r="C29" i="1"/>
  <c r="C30" i="1"/>
  <c r="C31" i="1"/>
  <c r="D31" i="1" s="1"/>
  <c r="C32" i="1"/>
  <c r="C33" i="1"/>
  <c r="C34" i="1"/>
  <c r="C35" i="1"/>
  <c r="D35" i="1" s="1"/>
  <c r="C36" i="1"/>
  <c r="D36" i="1" s="1"/>
  <c r="C37" i="1"/>
  <c r="C38" i="1"/>
  <c r="C39" i="1"/>
  <c r="D39" i="1" s="1"/>
  <c r="C40" i="1"/>
  <c r="C41" i="1"/>
  <c r="C42" i="1"/>
  <c r="C43" i="1"/>
  <c r="D43" i="1" s="1"/>
  <c r="C44" i="1"/>
  <c r="D44" i="1" s="1"/>
  <c r="C45" i="1"/>
  <c r="C46" i="1"/>
  <c r="C47" i="1"/>
  <c r="D47" i="1" s="1"/>
  <c r="C48" i="1"/>
  <c r="C49" i="1"/>
  <c r="C50" i="1"/>
  <c r="D50" i="1" s="1"/>
  <c r="C51" i="1"/>
  <c r="D51" i="1" s="1"/>
  <c r="C52" i="1"/>
  <c r="D52" i="1" s="1"/>
  <c r="C53" i="1"/>
  <c r="C54" i="1"/>
  <c r="C55" i="1"/>
  <c r="D55" i="1" s="1"/>
  <c r="B10" i="1"/>
  <c r="D10" i="1" s="1"/>
  <c r="B11" i="1"/>
  <c r="B12" i="1"/>
  <c r="B13" i="1"/>
  <c r="B14" i="1"/>
  <c r="B15" i="1"/>
  <c r="B16" i="1"/>
  <c r="B17" i="1"/>
  <c r="B18" i="1"/>
  <c r="D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42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9" i="1"/>
  <c r="B9" i="1"/>
  <c r="D48" i="1" l="1"/>
  <c r="D40" i="1"/>
  <c r="D32" i="1"/>
  <c r="D24" i="1"/>
  <c r="D16" i="1"/>
  <c r="D6" i="5"/>
  <c r="D33" i="6"/>
  <c r="D17" i="6"/>
  <c r="D9" i="6"/>
  <c r="D44" i="6"/>
  <c r="D36" i="6"/>
  <c r="D28" i="6"/>
  <c r="D20" i="6"/>
  <c r="D12" i="6"/>
  <c r="D9" i="1"/>
  <c r="D54" i="1"/>
  <c r="D46" i="1"/>
  <c r="D38" i="1"/>
  <c r="D30" i="1"/>
  <c r="D22" i="1"/>
  <c r="D14" i="1"/>
  <c r="D20" i="4"/>
  <c r="D12" i="4"/>
  <c r="D53" i="1"/>
  <c r="D45" i="1"/>
  <c r="D37" i="1"/>
  <c r="D29" i="1"/>
  <c r="D21" i="1"/>
  <c r="D13" i="1"/>
  <c r="D55" i="3"/>
  <c r="D47" i="6"/>
  <c r="D39" i="6"/>
  <c r="D31" i="6"/>
  <c r="D23" i="6"/>
  <c r="D11" i="1"/>
  <c r="D49" i="1"/>
  <c r="D41" i="1"/>
  <c r="D33" i="1"/>
  <c r="D25" i="1"/>
  <c r="D17" i="1"/>
  <c r="D19" i="3"/>
  <c r="D11" i="3"/>
  <c r="D46" i="3"/>
  <c r="D38" i="3"/>
  <c r="D30" i="3"/>
  <c r="D22" i="3"/>
  <c r="D14" i="3"/>
  <c r="D47" i="4"/>
  <c r="D39" i="4"/>
  <c r="D31" i="4"/>
  <c r="D23" i="4"/>
  <c r="D15" i="4"/>
  <c r="D7" i="4"/>
  <c r="D50" i="4"/>
  <c r="D34" i="4"/>
  <c r="D18" i="4"/>
  <c r="D10" i="4"/>
  <c r="D43" i="4"/>
  <c r="D45" i="6"/>
  <c r="D37" i="6"/>
  <c r="D29" i="6"/>
  <c r="D45" i="3"/>
  <c r="D29" i="3"/>
  <c r="D52" i="3"/>
  <c r="D44" i="3"/>
  <c r="D36" i="3"/>
  <c r="D28" i="3"/>
  <c r="D48" i="4"/>
  <c r="D40" i="4"/>
  <c r="D32" i="4"/>
  <c r="D49" i="6"/>
  <c r="D41" i="6"/>
  <c r="D25" i="6"/>
  <c r="D46" i="5"/>
  <c r="D38" i="5"/>
  <c r="D30" i="5"/>
  <c r="D22" i="5"/>
  <c r="D44" i="4"/>
  <c r="D28" i="4"/>
  <c r="D48" i="5"/>
  <c r="D40" i="5"/>
  <c r="D32" i="5"/>
  <c r="D24" i="5"/>
  <c r="D54" i="6"/>
  <c r="D42" i="6"/>
  <c r="D34" i="6"/>
  <c r="D5" i="6"/>
  <c r="D50" i="6"/>
  <c r="D24" i="6"/>
  <c r="D40" i="6"/>
  <c r="D52" i="6"/>
  <c r="D53" i="6"/>
  <c r="D26" i="6"/>
  <c r="D48" i="6"/>
  <c r="D55" i="6"/>
  <c r="D32" i="6"/>
  <c r="D51" i="5"/>
  <c r="D43" i="5"/>
  <c r="D35" i="5"/>
  <c r="D27" i="5"/>
  <c r="D55" i="5"/>
  <c r="D47" i="5"/>
  <c r="D54" i="5"/>
  <c r="D5" i="5"/>
  <c r="D38" i="4"/>
  <c r="D5" i="4"/>
  <c r="D45" i="4"/>
  <c r="D52" i="4"/>
  <c r="D46" i="4"/>
  <c r="D53" i="4"/>
  <c r="D54" i="4"/>
  <c r="D26" i="4"/>
  <c r="D55" i="4"/>
  <c r="D29" i="4"/>
  <c r="D42" i="4"/>
  <c r="D43" i="3"/>
  <c r="D40" i="3"/>
  <c r="D54" i="3"/>
  <c r="D48" i="3"/>
  <c r="D24" i="3"/>
  <c r="D37" i="3"/>
  <c r="D32" i="3"/>
  <c r="D51" i="3"/>
  <c r="D27" i="3"/>
  <c r="D53" i="3"/>
  <c r="D5" i="1"/>
  <c r="D6" i="1"/>
  <c r="D7" i="1"/>
  <c r="D8" i="1"/>
  <c r="D8" i="3"/>
  <c r="D7" i="3"/>
  <c r="D6" i="3"/>
  <c r="D5" i="3"/>
</calcChain>
</file>

<file path=xl/sharedStrings.xml><?xml version="1.0" encoding="utf-8"?>
<sst xmlns="http://schemas.openxmlformats.org/spreadsheetml/2006/main" count="280" uniqueCount="56">
  <si>
    <t>USDA Energy investments</t>
  </si>
  <si>
    <t>State</t>
  </si>
  <si>
    <t>Total Number of Investments</t>
  </si>
  <si>
    <t>Total Amount of Assistance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</si>
  <si>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</si>
  <si>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</si>
  <si>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</si>
  <si>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</si>
  <si>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</si>
  <si>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</si>
  <si>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</si>
  <si>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</si>
  <si>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</si>
  <si>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</si>
  <si>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</si>
  <si>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</si>
  <si>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</si>
  <si>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</si>
  <si>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</si>
  <si>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</si>
  <si>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</si>
  <si>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</si>
  <si>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</si>
  <si>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</si>
  <si>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</si>
  <si>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</si>
  <si>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</si>
  <si>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</si>
  <si>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</si>
  <si>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</si>
  <si>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</si>
  <si>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</si>
  <si>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</si>
  <si>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</si>
  <si>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</si>
  <si>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</si>
  <si>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</si>
  <si>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</si>
  <si>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</si>
  <si>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</si>
  <si>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</si>
  <si>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</si>
  <si>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</si>
  <si>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</si>
  <si>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</si>
  <si>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</si>
  <si>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</si>
  <si>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</si>
  <si>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</si>
  <si>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</si>
  <si>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</si>
  <si>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</si>
  <si>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</si>
  <si>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</si>
  <si>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</si>
  <si>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amount of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</si>
</sst>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3" fillId="2" borderId="1" xfId="2" applyFont="1" applyFill="1" applyBorder="1" applyAlignment="1">
      <alignment horizontal="center"/>
    </xf>
    <xf numFmtId="165" fontId="0" fillId="0" borderId="0" xfId="1" applyNumberFormat="1" applyFont="1"/>
    <xf numFmtId="0" fontId="3" fillId="2" borderId="2" xfId="2" applyFont="1" applyFill="1" applyBorder="1" applyAlignment="1">
      <alignment horizontal="center"/>
    </xf>
    <xf numFmtId="165" fontId="0" fillId="0" borderId="0" xfId="0" applyNumberFormat="1"/>
  </cellXfs>
  <cellStyles count="3">
    <cellStyle name="Currency" xfId="1" builtinId="4"/>
    <cellStyle name="Normal" xfId="0" builtinId="0"/>
    <cellStyle name="Normal_Detailed" xfId="2" xr:uid="{832F24C3-77C7-487C-9F38-C98C5BC9D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A_Energy_I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By State"/>
      <sheetName val="By State and CD"/>
      <sheetName val="By State, CD, Energy Type"/>
      <sheetName val="By State and County"/>
      <sheetName val="By State, County, Energy Type"/>
      <sheetName val="Detaile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2AB2-3529-4C60-A6EB-DE24F8ED6A87}">
  <dimension ref="A1:D55"/>
  <sheetViews>
    <sheetView workbookViewId="0">
      <selection activeCell="A7" sqref="A7"/>
    </sheetView>
  </sheetViews>
  <sheetFormatPr defaultRowHeight="14.4" x14ac:dyDescent="0.3"/>
  <cols>
    <col min="2" max="2" width="25.109375" bestFit="1" customWidth="1"/>
    <col min="3" max="3" width="23.5546875" bestFit="1" customWidth="1"/>
    <col min="4" max="4" width="12.5546875" bestFit="1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3" t="s">
        <v>55</v>
      </c>
    </row>
    <row r="5" spans="1:4" x14ac:dyDescent="0.3">
      <c r="A5" t="s">
        <v>4</v>
      </c>
      <c r="B5">
        <f>SUMIFS([1]!Table6[Total Number of Investments], [1]!Table6[State], A5, [1]!Table6[Year], 2016)</f>
        <v>140</v>
      </c>
      <c r="C5" s="2">
        <f>SUMIFS([1]!Table6[Total Amount of Assistance], [1]!Table6[State], A5, [1]!Table6[Year], 2016)</f>
        <v>1638238.3900000001</v>
      </c>
      <c r="D5" s="4">
        <f>C5/B5</f>
        <v>11701.702785714288</v>
      </c>
    </row>
    <row r="6" spans="1:4" x14ac:dyDescent="0.3">
      <c r="A6" t="s">
        <v>5</v>
      </c>
      <c r="B6">
        <f>SUMIFS([1]!Table6[Total Number of Investments], [1]!Table6[State], A6, [1]!Table6[Year], 2016)</f>
        <v>14</v>
      </c>
      <c r="C6" s="2">
        <f>SUMIFS([1]!Table6[Total Amount of Assistance], [1]!Table6[State], A6, [1]!Table6[Year], 2016)</f>
        <v>2247737.9</v>
      </c>
      <c r="D6" s="4">
        <f t="shared" ref="D6:D55" si="0">C6/B6</f>
        <v>160552.70714285714</v>
      </c>
    </row>
    <row r="7" spans="1:4" x14ac:dyDescent="0.3">
      <c r="A7" t="s">
        <v>6</v>
      </c>
      <c r="B7">
        <f>SUMIFS([1]!Table6[Total Number of Investments], [1]!Table6[State], A7, [1]!Table6[Year], 2016)</f>
        <v>53</v>
      </c>
      <c r="C7" s="2">
        <f>SUMIFS([1]!Table6[Total Amount of Assistance], [1]!Table6[State], A7, [1]!Table6[Year], 2016)</f>
        <v>2048406.88</v>
      </c>
      <c r="D7" s="4">
        <f t="shared" si="0"/>
        <v>38649.186415094337</v>
      </c>
    </row>
    <row r="8" spans="1:4" x14ac:dyDescent="0.3">
      <c r="A8" t="s">
        <v>7</v>
      </c>
      <c r="B8">
        <f>SUMIFS([1]!Table6[Total Number of Investments], [1]!Table6[State], A8, [1]!Table6[Year], 2016)</f>
        <v>648</v>
      </c>
      <c r="C8" s="2">
        <f>SUMIFS([1]!Table6[Total Amount of Assistance], [1]!Table6[State], A8, [1]!Table6[Year], 2016)</f>
        <v>3738751.1099999989</v>
      </c>
      <c r="D8" s="4">
        <f t="shared" si="0"/>
        <v>5769.6776388888875</v>
      </c>
    </row>
    <row r="9" spans="1:4" x14ac:dyDescent="0.3">
      <c r="A9" t="s">
        <v>8</v>
      </c>
      <c r="B9">
        <f>SUMIFS([1]!Table6[Total Number of Investments], [1]!Table6[State], A9, [1]!Table6[Year], 2016)</f>
        <v>839</v>
      </c>
      <c r="C9" s="2">
        <f>SUMIFS([1]!Table6[Total Amount of Assistance], [1]!Table6[State], A9, [1]!Table6[Year], 2016)</f>
        <v>60022265.499999985</v>
      </c>
      <c r="D9" s="4">
        <f t="shared" si="0"/>
        <v>71540.244934445756</v>
      </c>
    </row>
    <row r="10" spans="1:4" x14ac:dyDescent="0.3">
      <c r="A10" t="s">
        <v>9</v>
      </c>
      <c r="B10">
        <f>SUMIFS([1]!Table6[Total Number of Investments], [1]!Table6[State], A10, [1]!Table6[Year], 2016)</f>
        <v>250</v>
      </c>
      <c r="C10" s="2">
        <f>SUMIFS([1]!Table6[Total Amount of Assistance], [1]!Table6[State], A10, [1]!Table6[Year], 2016)</f>
        <v>1784979.1000000003</v>
      </c>
      <c r="D10" s="4">
        <f t="shared" si="0"/>
        <v>7139.916400000001</v>
      </c>
    </row>
    <row r="11" spans="1:4" x14ac:dyDescent="0.3">
      <c r="A11" t="s">
        <v>10</v>
      </c>
      <c r="B11">
        <f>SUMIFS([1]!Table6[Total Number of Investments], [1]!Table6[State], A11, [1]!Table6[Year], 2016)</f>
        <v>33</v>
      </c>
      <c r="C11" s="2">
        <f>SUMIFS([1]!Table6[Total Amount of Assistance], [1]!Table6[State], A11, [1]!Table6[Year], 2016)</f>
        <v>1346296.8</v>
      </c>
      <c r="D11" s="4">
        <f t="shared" si="0"/>
        <v>40796.872727272726</v>
      </c>
    </row>
    <row r="12" spans="1:4" x14ac:dyDescent="0.3">
      <c r="A12" t="s">
        <v>11</v>
      </c>
      <c r="B12">
        <f>SUMIFS([1]!Table6[Total Number of Investments], [1]!Table6[State], A12, [1]!Table6[Year], 2016)</f>
        <v>41</v>
      </c>
      <c r="C12" s="2">
        <f>SUMIFS([1]!Table6[Total Amount of Assistance], [1]!Table6[State], A12, [1]!Table6[Year], 2016)</f>
        <v>617292.5</v>
      </c>
      <c r="D12" s="4">
        <f t="shared" si="0"/>
        <v>15055.914634146342</v>
      </c>
    </row>
    <row r="13" spans="1:4" x14ac:dyDescent="0.3">
      <c r="A13" t="s">
        <v>12</v>
      </c>
      <c r="B13">
        <f>SUMIFS([1]!Table6[Total Number of Investments], [1]!Table6[State], A13, [1]!Table6[Year], 2016)</f>
        <v>0</v>
      </c>
      <c r="C13" s="2">
        <f>SUMIFS([1]!Table6[Total Amount of Assistance], [1]!Table6[State], A13, [1]!Table6[Year], 2016)</f>
        <v>0</v>
      </c>
      <c r="D13" s="4" t="e">
        <f t="shared" si="0"/>
        <v>#DIV/0!</v>
      </c>
    </row>
    <row r="14" spans="1:4" x14ac:dyDescent="0.3">
      <c r="A14" t="s">
        <v>13</v>
      </c>
      <c r="B14">
        <f>SUMIFS([1]!Table6[Total Number of Investments], [1]!Table6[State], A14, [1]!Table6[Year], 2016)</f>
        <v>65</v>
      </c>
      <c r="C14" s="2">
        <f>SUMIFS([1]!Table6[Total Amount of Assistance], [1]!Table6[State], A14, [1]!Table6[Year], 2016)</f>
        <v>4203599.92</v>
      </c>
      <c r="D14" s="4">
        <f t="shared" si="0"/>
        <v>64670.767999999996</v>
      </c>
    </row>
    <row r="15" spans="1:4" x14ac:dyDescent="0.3">
      <c r="A15" t="s">
        <v>14</v>
      </c>
      <c r="B15">
        <f>SUMIFS([1]!Table6[Total Number of Investments], [1]!Table6[State], A15, [1]!Table6[Year], 2016)</f>
        <v>192</v>
      </c>
      <c r="C15" s="2">
        <f>SUMIFS([1]!Table6[Total Amount of Assistance], [1]!Table6[State], A15, [1]!Table6[Year], 2016)</f>
        <v>20998508.97000001</v>
      </c>
      <c r="D15" s="4">
        <f t="shared" si="0"/>
        <v>109367.23421875005</v>
      </c>
    </row>
    <row r="16" spans="1:4" x14ac:dyDescent="0.3">
      <c r="A16" t="s">
        <v>15</v>
      </c>
      <c r="B16">
        <f>SUMIFS([1]!Table6[Total Number of Investments], [1]!Table6[State], A16, [1]!Table6[Year], 2016)</f>
        <v>18</v>
      </c>
      <c r="C16" s="2">
        <f>SUMIFS([1]!Table6[Total Amount of Assistance], [1]!Table6[State], A16, [1]!Table6[Year], 2016)</f>
        <v>429107.65</v>
      </c>
      <c r="D16" s="4">
        <f t="shared" si="0"/>
        <v>23839.31388888889</v>
      </c>
    </row>
    <row r="17" spans="1:4" x14ac:dyDescent="0.3">
      <c r="A17" t="s">
        <v>16</v>
      </c>
      <c r="B17">
        <f>SUMIFS([1]!Table6[Total Number of Investments], [1]!Table6[State], A17, [1]!Table6[Year], 2016)</f>
        <v>127</v>
      </c>
      <c r="C17" s="2">
        <f>SUMIFS([1]!Table6[Total Amount of Assistance], [1]!Table6[State], A17, [1]!Table6[Year], 2016)</f>
        <v>1286745.5599999998</v>
      </c>
      <c r="D17" s="4">
        <f t="shared" si="0"/>
        <v>10131.854803149605</v>
      </c>
    </row>
    <row r="18" spans="1:4" x14ac:dyDescent="0.3">
      <c r="A18" t="s">
        <v>17</v>
      </c>
      <c r="B18">
        <f>SUMIFS([1]!Table6[Total Number of Investments], [1]!Table6[State], A18, [1]!Table6[Year], 2016)</f>
        <v>36</v>
      </c>
      <c r="C18" s="2">
        <f>SUMIFS([1]!Table6[Total Amount of Assistance], [1]!Table6[State], A18, [1]!Table6[Year], 2016)</f>
        <v>1325337.03</v>
      </c>
      <c r="D18" s="4">
        <f t="shared" si="0"/>
        <v>36814.917500000003</v>
      </c>
    </row>
    <row r="19" spans="1:4" x14ac:dyDescent="0.3">
      <c r="A19" t="s">
        <v>18</v>
      </c>
      <c r="B19">
        <f>SUMIFS([1]!Table6[Total Number of Investments], [1]!Table6[State], A19, [1]!Table6[Year], 2016)</f>
        <v>46</v>
      </c>
      <c r="C19" s="2">
        <f>SUMIFS([1]!Table6[Total Amount of Assistance], [1]!Table6[State], A19, [1]!Table6[Year], 2016)</f>
        <v>11401687.890000001</v>
      </c>
      <c r="D19" s="4">
        <f t="shared" si="0"/>
        <v>247862.78021739132</v>
      </c>
    </row>
    <row r="20" spans="1:4" x14ac:dyDescent="0.3">
      <c r="A20" t="s">
        <v>19</v>
      </c>
      <c r="B20">
        <f>SUMIFS([1]!Table6[Total Number of Investments], [1]!Table6[State], A20, [1]!Table6[Year], 2016)</f>
        <v>149</v>
      </c>
      <c r="C20" s="2">
        <f>SUMIFS([1]!Table6[Total Amount of Assistance], [1]!Table6[State], A20, [1]!Table6[Year], 2016)</f>
        <v>4220560.3499999996</v>
      </c>
      <c r="D20" s="4">
        <f t="shared" si="0"/>
        <v>28325.908389261742</v>
      </c>
    </row>
    <row r="21" spans="1:4" x14ac:dyDescent="0.3">
      <c r="A21" t="s">
        <v>20</v>
      </c>
      <c r="B21">
        <f>SUMIFS([1]!Table6[Total Number of Investments], [1]!Table6[State], A21, [1]!Table6[Year], 2016)</f>
        <v>112</v>
      </c>
      <c r="C21" s="2">
        <f>SUMIFS([1]!Table6[Total Amount of Assistance], [1]!Table6[State], A21, [1]!Table6[Year], 2016)</f>
        <v>1312563.5399999998</v>
      </c>
      <c r="D21" s="4">
        <f t="shared" si="0"/>
        <v>11719.317321428569</v>
      </c>
    </row>
    <row r="22" spans="1:4" x14ac:dyDescent="0.3">
      <c r="A22" t="s">
        <v>21</v>
      </c>
      <c r="B22">
        <f>SUMIFS([1]!Table6[Total Number of Investments], [1]!Table6[State], A22, [1]!Table6[Year], 2016)</f>
        <v>90</v>
      </c>
      <c r="C22" s="2">
        <f>SUMIFS([1]!Table6[Total Amount of Assistance], [1]!Table6[State], A22, [1]!Table6[Year], 2016)</f>
        <v>2894818.8999999994</v>
      </c>
      <c r="D22" s="4">
        <f t="shared" si="0"/>
        <v>32164.654444444437</v>
      </c>
    </row>
    <row r="23" spans="1:4" x14ac:dyDescent="0.3">
      <c r="A23" t="s">
        <v>22</v>
      </c>
      <c r="B23">
        <f>SUMIFS([1]!Table6[Total Number of Investments], [1]!Table6[State], A23, [1]!Table6[Year], 2016)</f>
        <v>65</v>
      </c>
      <c r="C23" s="2">
        <f>SUMIFS([1]!Table6[Total Amount of Assistance], [1]!Table6[State], A23, [1]!Table6[Year], 2016)</f>
        <v>1218952.75</v>
      </c>
      <c r="D23" s="4">
        <f t="shared" si="0"/>
        <v>18753.119230769229</v>
      </c>
    </row>
    <row r="24" spans="1:4" x14ac:dyDescent="0.3">
      <c r="A24" t="s">
        <v>23</v>
      </c>
      <c r="B24">
        <f>SUMIFS([1]!Table6[Total Number of Investments], [1]!Table6[State], A24, [1]!Table6[Year], 2016)</f>
        <v>43</v>
      </c>
      <c r="C24" s="2">
        <f>SUMIFS([1]!Table6[Total Amount of Assistance], [1]!Table6[State], A24, [1]!Table6[Year], 2016)</f>
        <v>799460.00000000012</v>
      </c>
      <c r="D24" s="4">
        <f t="shared" si="0"/>
        <v>18592.093023255817</v>
      </c>
    </row>
    <row r="25" spans="1:4" x14ac:dyDescent="0.3">
      <c r="A25" t="s">
        <v>24</v>
      </c>
      <c r="B25">
        <f>SUMIFS([1]!Table6[Total Number of Investments], [1]!Table6[State], A25, [1]!Table6[Year], 2016)</f>
        <v>67</v>
      </c>
      <c r="C25" s="2">
        <f>SUMIFS([1]!Table6[Total Amount of Assistance], [1]!Table6[State], A25, [1]!Table6[Year], 2016)</f>
        <v>1394350.3499999999</v>
      </c>
      <c r="D25" s="4">
        <f t="shared" si="0"/>
        <v>20811.199253731342</v>
      </c>
    </row>
    <row r="26" spans="1:4" x14ac:dyDescent="0.3">
      <c r="A26" t="s">
        <v>25</v>
      </c>
      <c r="B26">
        <f>SUMIFS([1]!Table6[Total Number of Investments], [1]!Table6[State], A26, [1]!Table6[Year], 2016)</f>
        <v>35</v>
      </c>
      <c r="C26" s="2">
        <f>SUMIFS([1]!Table6[Total Amount of Assistance], [1]!Table6[State], A26, [1]!Table6[Year], 2016)</f>
        <v>835164.78</v>
      </c>
      <c r="D26" s="4">
        <f t="shared" si="0"/>
        <v>23861.850857142857</v>
      </c>
    </row>
    <row r="27" spans="1:4" x14ac:dyDescent="0.3">
      <c r="A27" t="s">
        <v>26</v>
      </c>
      <c r="B27">
        <f>SUMIFS([1]!Table6[Total Number of Investments], [1]!Table6[State], A27, [1]!Table6[Year], 2016)</f>
        <v>61</v>
      </c>
      <c r="C27" s="2">
        <f>SUMIFS([1]!Table6[Total Amount of Assistance], [1]!Table6[State], A27, [1]!Table6[Year], 2016)</f>
        <v>1293284.92</v>
      </c>
      <c r="D27" s="4">
        <f t="shared" si="0"/>
        <v>21201.392131147539</v>
      </c>
    </row>
    <row r="28" spans="1:4" x14ac:dyDescent="0.3">
      <c r="A28" t="s">
        <v>27</v>
      </c>
      <c r="B28">
        <f>SUMIFS([1]!Table6[Total Number of Investments], [1]!Table6[State], A28, [1]!Table6[Year], 2016)</f>
        <v>91</v>
      </c>
      <c r="C28" s="2">
        <f>SUMIFS([1]!Table6[Total Amount of Assistance], [1]!Table6[State], A28, [1]!Table6[Year], 2016)</f>
        <v>16792724.670000002</v>
      </c>
      <c r="D28" s="4">
        <f t="shared" si="0"/>
        <v>184535.43593406596</v>
      </c>
    </row>
    <row r="29" spans="1:4" x14ac:dyDescent="0.3">
      <c r="A29" t="s">
        <v>28</v>
      </c>
      <c r="B29">
        <f>SUMIFS([1]!Table6[Total Number of Investments], [1]!Table6[State], A29, [1]!Table6[Year], 2016)</f>
        <v>599</v>
      </c>
      <c r="C29" s="2">
        <f>SUMIFS([1]!Table6[Total Amount of Assistance], [1]!Table6[State], A29, [1]!Table6[Year], 2016)</f>
        <v>97632558.920000002</v>
      </c>
      <c r="D29" s="4">
        <f t="shared" si="0"/>
        <v>162992.58584307178</v>
      </c>
    </row>
    <row r="30" spans="1:4" x14ac:dyDescent="0.3">
      <c r="A30" t="s">
        <v>29</v>
      </c>
      <c r="B30">
        <f>SUMIFS([1]!Table6[Total Number of Investments], [1]!Table6[State], A30, [1]!Table6[Year], 2016)</f>
        <v>538</v>
      </c>
      <c r="C30" s="2">
        <f>SUMIFS([1]!Table6[Total Amount of Assistance], [1]!Table6[State], A30, [1]!Table6[Year], 2016)</f>
        <v>10977466.519999996</v>
      </c>
      <c r="D30" s="4">
        <f t="shared" si="0"/>
        <v>20404.212862453525</v>
      </c>
    </row>
    <row r="31" spans="1:4" x14ac:dyDescent="0.3">
      <c r="A31" t="s">
        <v>30</v>
      </c>
      <c r="B31">
        <f>SUMIFS([1]!Table6[Total Number of Investments], [1]!Table6[State], A31, [1]!Table6[Year], 2016)</f>
        <v>89</v>
      </c>
      <c r="C31" s="2">
        <f>SUMIFS([1]!Table6[Total Amount of Assistance], [1]!Table6[State], A31, [1]!Table6[Year], 2016)</f>
        <v>2236540.73</v>
      </c>
      <c r="D31" s="4">
        <f t="shared" si="0"/>
        <v>25129.671123595504</v>
      </c>
    </row>
    <row r="32" spans="1:4" x14ac:dyDescent="0.3">
      <c r="A32" t="s">
        <v>31</v>
      </c>
      <c r="B32">
        <f>SUMIFS([1]!Table6[Total Number of Investments], [1]!Table6[State], A32, [1]!Table6[Year], 2016)</f>
        <v>196</v>
      </c>
      <c r="C32" s="2">
        <f>SUMIFS([1]!Table6[Total Amount of Assistance], [1]!Table6[State], A32, [1]!Table6[Year], 2016)</f>
        <v>3970434.2700000023</v>
      </c>
      <c r="D32" s="4">
        <f t="shared" si="0"/>
        <v>20257.317704081644</v>
      </c>
    </row>
    <row r="33" spans="1:4" x14ac:dyDescent="0.3">
      <c r="A33" t="s">
        <v>32</v>
      </c>
      <c r="B33">
        <f>SUMIFS([1]!Table6[Total Number of Investments], [1]!Table6[State], A33, [1]!Table6[Year], 2016)</f>
        <v>16</v>
      </c>
      <c r="C33" s="2">
        <f>SUMIFS([1]!Table6[Total Amount of Assistance], [1]!Table6[State], A33, [1]!Table6[Year], 2016)</f>
        <v>52901.61</v>
      </c>
      <c r="D33" s="4">
        <f t="shared" si="0"/>
        <v>3306.350625</v>
      </c>
    </row>
    <row r="34" spans="1:4" x14ac:dyDescent="0.3">
      <c r="A34" t="s">
        <v>33</v>
      </c>
      <c r="B34">
        <f>SUMIFS([1]!Table6[Total Number of Investments], [1]!Table6[State], A34, [1]!Table6[Year], 2016)</f>
        <v>39</v>
      </c>
      <c r="C34" s="2">
        <f>SUMIFS([1]!Table6[Total Amount of Assistance], [1]!Table6[State], A34, [1]!Table6[Year], 2016)</f>
        <v>3109907.6300000004</v>
      </c>
      <c r="D34" s="4">
        <f t="shared" si="0"/>
        <v>79741.221282051294</v>
      </c>
    </row>
    <row r="35" spans="1:4" x14ac:dyDescent="0.3">
      <c r="A35" t="s">
        <v>34</v>
      </c>
      <c r="B35">
        <f>SUMIFS([1]!Table6[Total Number of Investments], [1]!Table6[State], A35, [1]!Table6[Year], 2016)</f>
        <v>31</v>
      </c>
      <c r="C35" s="2">
        <f>SUMIFS([1]!Table6[Total Amount of Assistance], [1]!Table6[State], A35, [1]!Table6[Year], 2016)</f>
        <v>733664.25</v>
      </c>
      <c r="D35" s="4">
        <f t="shared" si="0"/>
        <v>23666.58870967742</v>
      </c>
    </row>
    <row r="36" spans="1:4" x14ac:dyDescent="0.3">
      <c r="A36" t="s">
        <v>35</v>
      </c>
      <c r="B36">
        <f>SUMIFS([1]!Table6[Total Number of Investments], [1]!Table6[State], A36, [1]!Table6[Year], 2016)</f>
        <v>27</v>
      </c>
      <c r="C36" s="2">
        <f>SUMIFS([1]!Table6[Total Amount of Assistance], [1]!Table6[State], A36, [1]!Table6[Year], 2016)</f>
        <v>1776894.4500000002</v>
      </c>
      <c r="D36" s="4">
        <f t="shared" si="0"/>
        <v>65810.905555555568</v>
      </c>
    </row>
    <row r="37" spans="1:4" x14ac:dyDescent="0.3">
      <c r="A37" t="s">
        <v>36</v>
      </c>
      <c r="B37">
        <f>SUMIFS([1]!Table6[Total Number of Investments], [1]!Table6[State], A37, [1]!Table6[Year], 2016)</f>
        <v>67</v>
      </c>
      <c r="C37" s="2">
        <f>SUMIFS([1]!Table6[Total Amount of Assistance], [1]!Table6[State], A37, [1]!Table6[Year], 2016)</f>
        <v>2396816.0399999996</v>
      </c>
      <c r="D37" s="4">
        <f t="shared" si="0"/>
        <v>35773.373731343279</v>
      </c>
    </row>
    <row r="38" spans="1:4" x14ac:dyDescent="0.3">
      <c r="A38" t="s">
        <v>37</v>
      </c>
      <c r="B38">
        <f>SUMIFS([1]!Table6[Total Number of Investments], [1]!Table6[State], A38, [1]!Table6[Year], 2016)</f>
        <v>161</v>
      </c>
      <c r="C38" s="2">
        <f>SUMIFS([1]!Table6[Total Amount of Assistance], [1]!Table6[State], A38, [1]!Table6[Year], 2016)</f>
        <v>190492550.85999995</v>
      </c>
      <c r="D38" s="4">
        <f t="shared" si="0"/>
        <v>1183183.5457142855</v>
      </c>
    </row>
    <row r="39" spans="1:4" x14ac:dyDescent="0.3">
      <c r="A39" t="s">
        <v>38</v>
      </c>
      <c r="B39">
        <f>SUMIFS([1]!Table6[Total Number of Investments], [1]!Table6[State], A39, [1]!Table6[Year], 2016)</f>
        <v>23</v>
      </c>
      <c r="C39" s="2">
        <f>SUMIFS([1]!Table6[Total Amount of Assistance], [1]!Table6[State], A39, [1]!Table6[Year], 2016)</f>
        <v>497355.13999999996</v>
      </c>
      <c r="D39" s="4">
        <f t="shared" si="0"/>
        <v>21624.136521739129</v>
      </c>
    </row>
    <row r="40" spans="1:4" x14ac:dyDescent="0.3">
      <c r="A40" t="s">
        <v>39</v>
      </c>
      <c r="B40">
        <f>SUMIFS([1]!Table6[Total Number of Investments], [1]!Table6[State], A40, [1]!Table6[Year], 2016)</f>
        <v>132</v>
      </c>
      <c r="C40" s="2">
        <f>SUMIFS([1]!Table6[Total Amount of Assistance], [1]!Table6[State], A40, [1]!Table6[Year], 2016)</f>
        <v>775589.16999999993</v>
      </c>
      <c r="D40" s="4">
        <f t="shared" si="0"/>
        <v>5875.6755303030295</v>
      </c>
    </row>
    <row r="41" spans="1:4" x14ac:dyDescent="0.3">
      <c r="A41" t="s">
        <v>40</v>
      </c>
      <c r="B41">
        <f>SUMIFS([1]!Table6[Total Number of Investments], [1]!Table6[State], A41, [1]!Table6[Year], 2016)</f>
        <v>80</v>
      </c>
      <c r="C41" s="2">
        <f>SUMIFS([1]!Table6[Total Amount of Assistance], [1]!Table6[State], A41, [1]!Table6[Year], 2016)</f>
        <v>1880287.74</v>
      </c>
      <c r="D41" s="4">
        <f t="shared" si="0"/>
        <v>23503.596750000001</v>
      </c>
    </row>
    <row r="42" spans="1:4" x14ac:dyDescent="0.3">
      <c r="A42" t="s">
        <v>41</v>
      </c>
      <c r="B42">
        <f>SUMIFS([1]!Table6[Total Number of Investments], [1]!Table6[State], A42, [1]!Table6[Year], 2016)</f>
        <v>161</v>
      </c>
      <c r="C42" s="2">
        <f>SUMIFS([1]!Table6[Total Amount of Assistance], [1]!Table6[State], A42, [1]!Table6[Year], 2016)</f>
        <v>104124235.72999999</v>
      </c>
      <c r="D42" s="4">
        <f t="shared" si="0"/>
        <v>646734.38341614895</v>
      </c>
    </row>
    <row r="43" spans="1:4" x14ac:dyDescent="0.3">
      <c r="A43" t="s">
        <v>42</v>
      </c>
      <c r="B43">
        <f>SUMIFS([1]!Table6[Total Number of Investments], [1]!Table6[State], A43, [1]!Table6[Year], 2016)</f>
        <v>75</v>
      </c>
      <c r="C43" s="2">
        <f>SUMIFS([1]!Table6[Total Amount of Assistance], [1]!Table6[State], A43, [1]!Table6[Year], 2016)</f>
        <v>2411199.5899999994</v>
      </c>
      <c r="D43" s="4">
        <f t="shared" si="0"/>
        <v>32149.327866666659</v>
      </c>
    </row>
    <row r="44" spans="1:4" x14ac:dyDescent="0.3">
      <c r="A44" t="s">
        <v>43</v>
      </c>
      <c r="B44">
        <f>SUMIFS([1]!Table6[Total Number of Investments], [1]!Table6[State], A44, [1]!Table6[Year], 2016)</f>
        <v>10</v>
      </c>
      <c r="C44" s="2">
        <f>SUMIFS([1]!Table6[Total Amount of Assistance], [1]!Table6[State], A44, [1]!Table6[Year], 2016)</f>
        <v>489513.85</v>
      </c>
      <c r="D44" s="4">
        <f t="shared" si="0"/>
        <v>48951.384999999995</v>
      </c>
    </row>
    <row r="45" spans="1:4" x14ac:dyDescent="0.3">
      <c r="A45" t="s">
        <v>44</v>
      </c>
      <c r="B45">
        <f>SUMIFS([1]!Table6[Total Number of Investments], [1]!Table6[State], A45, [1]!Table6[Year], 2016)</f>
        <v>78</v>
      </c>
      <c r="C45" s="2">
        <f>SUMIFS([1]!Table6[Total Amount of Assistance], [1]!Table6[State], A45, [1]!Table6[Year], 2016)</f>
        <v>22635085.68</v>
      </c>
      <c r="D45" s="4">
        <f t="shared" si="0"/>
        <v>290193.40615384612</v>
      </c>
    </row>
    <row r="46" spans="1:4" x14ac:dyDescent="0.3">
      <c r="A46" t="s">
        <v>45</v>
      </c>
      <c r="B46">
        <f>SUMIFS([1]!Table6[Total Number of Investments], [1]!Table6[State], A46, [1]!Table6[Year], 2016)</f>
        <v>32</v>
      </c>
      <c r="C46" s="2">
        <f>SUMIFS([1]!Table6[Total Amount of Assistance], [1]!Table6[State], A46, [1]!Table6[Year], 2016)</f>
        <v>76031787.769999996</v>
      </c>
      <c r="D46" s="4">
        <f t="shared" si="0"/>
        <v>2375993.3678124999</v>
      </c>
    </row>
    <row r="47" spans="1:4" x14ac:dyDescent="0.3">
      <c r="A47" t="s">
        <v>46</v>
      </c>
      <c r="B47">
        <f>SUMIFS([1]!Table6[Total Number of Investments], [1]!Table6[State], A47, [1]!Table6[Year], 2016)</f>
        <v>60</v>
      </c>
      <c r="C47" s="2">
        <f>SUMIFS([1]!Table6[Total Amount of Assistance], [1]!Table6[State], A47, [1]!Table6[Year], 2016)</f>
        <v>1102463.04</v>
      </c>
      <c r="D47" s="4">
        <f t="shared" si="0"/>
        <v>18374.384000000002</v>
      </c>
    </row>
    <row r="48" spans="1:4" x14ac:dyDescent="0.3">
      <c r="A48" t="s">
        <v>47</v>
      </c>
      <c r="B48">
        <f>SUMIFS([1]!Table6[Total Number of Investments], [1]!Table6[State], A48, [1]!Table6[Year], 2016)</f>
        <v>176</v>
      </c>
      <c r="C48" s="2">
        <f>SUMIFS([1]!Table6[Total Amount of Assistance], [1]!Table6[State], A48, [1]!Table6[Year], 2016)</f>
        <v>83600842.00999999</v>
      </c>
      <c r="D48" s="4">
        <f t="shared" si="0"/>
        <v>475004.78414772724</v>
      </c>
    </row>
    <row r="49" spans="1:4" x14ac:dyDescent="0.3">
      <c r="A49" t="s">
        <v>48</v>
      </c>
      <c r="B49">
        <f>SUMIFS([1]!Table6[Total Number of Investments], [1]!Table6[State], A49, [1]!Table6[Year], 2016)</f>
        <v>108</v>
      </c>
      <c r="C49" s="2">
        <f>SUMIFS([1]!Table6[Total Amount of Assistance], [1]!Table6[State], A49, [1]!Table6[Year], 2016)</f>
        <v>607452.93000000017</v>
      </c>
      <c r="D49" s="4">
        <f t="shared" si="0"/>
        <v>5624.5641666666679</v>
      </c>
    </row>
    <row r="50" spans="1:4" x14ac:dyDescent="0.3">
      <c r="A50" t="s">
        <v>49</v>
      </c>
      <c r="B50">
        <f>SUMIFS([1]!Table6[Total Number of Investments], [1]!Table6[State], A50, [1]!Table6[Year], 2016)</f>
        <v>35</v>
      </c>
      <c r="C50" s="2">
        <f>SUMIFS([1]!Table6[Total Amount of Assistance], [1]!Table6[State], A50, [1]!Table6[Year], 2016)</f>
        <v>864619.2</v>
      </c>
      <c r="D50" s="4">
        <f t="shared" si="0"/>
        <v>24703.405714285713</v>
      </c>
    </row>
    <row r="51" spans="1:4" x14ac:dyDescent="0.3">
      <c r="A51" t="s">
        <v>50</v>
      </c>
      <c r="B51">
        <f>SUMIFS([1]!Table6[Total Number of Investments], [1]!Table6[State], A51, [1]!Table6[Year], 2016)</f>
        <v>49</v>
      </c>
      <c r="C51" s="2">
        <f>SUMIFS([1]!Table6[Total Amount of Assistance], [1]!Table6[State], A51, [1]!Table6[Year], 2016)</f>
        <v>853140.38000000012</v>
      </c>
      <c r="D51" s="4">
        <f t="shared" si="0"/>
        <v>17411.02816326531</v>
      </c>
    </row>
    <row r="52" spans="1:4" x14ac:dyDescent="0.3">
      <c r="A52" t="s">
        <v>51</v>
      </c>
      <c r="B52">
        <f>SUMIFS([1]!Table6[Total Number of Investments], [1]!Table6[State], A52, [1]!Table6[Year], 2016)</f>
        <v>128</v>
      </c>
      <c r="C52" s="2">
        <f>SUMIFS([1]!Table6[Total Amount of Assistance], [1]!Table6[State], A52, [1]!Table6[Year], 2016)</f>
        <v>2536968.61</v>
      </c>
      <c r="D52" s="4">
        <f t="shared" si="0"/>
        <v>19820.067265624999</v>
      </c>
    </row>
    <row r="53" spans="1:4" x14ac:dyDescent="0.3">
      <c r="A53" t="s">
        <v>52</v>
      </c>
      <c r="B53">
        <f>SUMIFS([1]!Table6[Total Number of Investments], [1]!Table6[State], A53, [1]!Table6[Year], 2016)</f>
        <v>49</v>
      </c>
      <c r="C53" s="2">
        <f>SUMIFS([1]!Table6[Total Amount of Assistance], [1]!Table6[State], A53, [1]!Table6[Year], 2016)</f>
        <v>680048</v>
      </c>
      <c r="D53" s="4">
        <f t="shared" si="0"/>
        <v>13878.530612244898</v>
      </c>
    </row>
    <row r="54" spans="1:4" x14ac:dyDescent="0.3">
      <c r="A54" t="s">
        <v>53</v>
      </c>
      <c r="B54">
        <f>SUMIFS([1]!Table6[Total Number of Investments], [1]!Table6[State], A54, [1]!Table6[Year], 2016)</f>
        <v>80</v>
      </c>
      <c r="C54" s="2">
        <f>SUMIFS([1]!Table6[Total Amount of Assistance], [1]!Table6[State], A54, [1]!Table6[Year], 2016)</f>
        <v>7774265.7999999998</v>
      </c>
      <c r="D54" s="4">
        <f t="shared" si="0"/>
        <v>97178.322499999995</v>
      </c>
    </row>
    <row r="55" spans="1:4" x14ac:dyDescent="0.3">
      <c r="A55" t="s">
        <v>54</v>
      </c>
      <c r="B55">
        <f>SUMIFS([1]!Table6[Total Number of Investments], [1]!Table6[State], A55, [1]!Table6[Year], 2016)</f>
        <v>21</v>
      </c>
      <c r="C55" s="2">
        <f>SUMIFS([1]!Table6[Total Amount of Assistance], [1]!Table6[State], A55, [1]!Table6[Year], 2016)</f>
        <v>1347834.3399999999</v>
      </c>
      <c r="D55" s="4">
        <f t="shared" si="0"/>
        <v>64182.587619047612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E3FC-6649-4237-90EA-99C06AE6D1B9}">
  <dimension ref="A1:D55"/>
  <sheetViews>
    <sheetView workbookViewId="0">
      <selection activeCell="C5" sqref="C5:C55"/>
    </sheetView>
  </sheetViews>
  <sheetFormatPr defaultRowHeight="14.4" x14ac:dyDescent="0.3"/>
  <cols>
    <col min="2" max="2" width="25.109375" bestFit="1" customWidth="1"/>
    <col min="3" max="3" width="23.5546875" bestFit="1" customWidth="1"/>
    <col min="4" max="4" width="12.5546875" bestFit="1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3" t="s">
        <v>55</v>
      </c>
    </row>
    <row r="5" spans="1:4" x14ac:dyDescent="0.3">
      <c r="A5" t="s">
        <v>4</v>
      </c>
      <c r="B5">
        <f>SUMIFS([1]!Table6[Total Number of Investments], [1]!Table6[State], A5, [1]!Table6[Year], 2017)</f>
        <v>122</v>
      </c>
      <c r="C5" s="2">
        <f>SUMIFS([1]!Table6[Total Amount of Assistance], [1]!Table6[State], A5, [1]!Table6[Year], 2017)</f>
        <v>3190961.1900000009</v>
      </c>
      <c r="D5" s="4">
        <f>C5/B5</f>
        <v>26155.419590163943</v>
      </c>
    </row>
    <row r="6" spans="1:4" x14ac:dyDescent="0.3">
      <c r="A6" t="s">
        <v>5</v>
      </c>
      <c r="B6">
        <f>SUMIFS([1]!Table6[Total Number of Investments], [1]!Table6[State], A6, [1]!Table6[Year], 2017)</f>
        <v>20</v>
      </c>
      <c r="C6" s="2">
        <f>SUMIFS([1]!Table6[Total Amount of Assistance], [1]!Table6[State], A6, [1]!Table6[Year], 2017)</f>
        <v>13756420.74</v>
      </c>
      <c r="D6" s="4">
        <f t="shared" ref="D6:D55" si="0">C6/B6</f>
        <v>687821.03700000001</v>
      </c>
    </row>
    <row r="7" spans="1:4" x14ac:dyDescent="0.3">
      <c r="A7" t="s">
        <v>6</v>
      </c>
      <c r="B7">
        <f>SUMIFS([1]!Table6[Total Number of Investments], [1]!Table6[State], A7, [1]!Table6[Year], 2017)</f>
        <v>42</v>
      </c>
      <c r="C7" s="2">
        <f>SUMIFS([1]!Table6[Total Amount of Assistance], [1]!Table6[State], A7, [1]!Table6[Year], 2017)</f>
        <v>1710324.6099999999</v>
      </c>
      <c r="D7" s="4">
        <f t="shared" si="0"/>
        <v>40722.014523809521</v>
      </c>
    </row>
    <row r="8" spans="1:4" x14ac:dyDescent="0.3">
      <c r="A8" t="s">
        <v>7</v>
      </c>
      <c r="B8">
        <f>SUMIFS([1]!Table6[Total Number of Investments], [1]!Table6[State], A8, [1]!Table6[Year], 2017)</f>
        <v>455</v>
      </c>
      <c r="C8" s="2">
        <f>SUMIFS([1]!Table6[Total Amount of Assistance], [1]!Table6[State], A8, [1]!Table6[Year], 2017)</f>
        <v>2903596.6500000013</v>
      </c>
      <c r="D8" s="4">
        <f t="shared" si="0"/>
        <v>6381.5310989011014</v>
      </c>
    </row>
    <row r="9" spans="1:4" x14ac:dyDescent="0.3">
      <c r="A9" t="s">
        <v>8</v>
      </c>
      <c r="B9">
        <f>SUMIFS([1]!Table6[Total Number of Investments], [1]!Table6[State], A9, [1]!Table6[Year], 2017)</f>
        <v>760</v>
      </c>
      <c r="C9" s="2">
        <f>SUMIFS([1]!Table6[Total Amount of Assistance], [1]!Table6[State], A9, [1]!Table6[Year], 2017)</f>
        <v>30727900.179999992</v>
      </c>
      <c r="D9" s="4">
        <f t="shared" si="0"/>
        <v>40431.447605263151</v>
      </c>
    </row>
    <row r="10" spans="1:4" x14ac:dyDescent="0.3">
      <c r="A10" t="s">
        <v>9</v>
      </c>
      <c r="B10">
        <f>SUMIFS([1]!Table6[Total Number of Investments], [1]!Table6[State], A10, [1]!Table6[Year], 2017)</f>
        <v>143</v>
      </c>
      <c r="C10" s="2">
        <f>SUMIFS([1]!Table6[Total Amount of Assistance], [1]!Table6[State], A10, [1]!Table6[Year], 2017)</f>
        <v>1192158.46</v>
      </c>
      <c r="D10" s="4">
        <f t="shared" si="0"/>
        <v>8336.7724475524465</v>
      </c>
    </row>
    <row r="11" spans="1:4" x14ac:dyDescent="0.3">
      <c r="A11" t="s">
        <v>10</v>
      </c>
      <c r="B11">
        <f>SUMIFS([1]!Table6[Total Number of Investments], [1]!Table6[State], A11, [1]!Table6[Year], 2017)</f>
        <v>25</v>
      </c>
      <c r="C11" s="2">
        <f>SUMIFS([1]!Table6[Total Amount of Assistance], [1]!Table6[State], A11, [1]!Table6[Year], 2017)</f>
        <v>872466.20000000007</v>
      </c>
      <c r="D11" s="4">
        <f t="shared" si="0"/>
        <v>34898.648000000001</v>
      </c>
    </row>
    <row r="12" spans="1:4" x14ac:dyDescent="0.3">
      <c r="A12" t="s">
        <v>11</v>
      </c>
      <c r="B12">
        <f>SUMIFS([1]!Table6[Total Number of Investments], [1]!Table6[State], A12, [1]!Table6[Year], 2017)</f>
        <v>71</v>
      </c>
      <c r="C12" s="2">
        <f>SUMIFS([1]!Table6[Total Amount of Assistance], [1]!Table6[State], A12, [1]!Table6[Year], 2017)</f>
        <v>1746023.75</v>
      </c>
      <c r="D12" s="4">
        <f t="shared" si="0"/>
        <v>24591.883802816901</v>
      </c>
    </row>
    <row r="13" spans="1:4" x14ac:dyDescent="0.3">
      <c r="A13" t="s">
        <v>12</v>
      </c>
      <c r="B13">
        <f>SUMIFS([1]!Table6[Total Number of Investments], [1]!Table6[State], A13, [1]!Table6[Year], 2017)</f>
        <v>0</v>
      </c>
      <c r="C13" s="2">
        <f>SUMIFS([1]!Table6[Total Amount of Assistance], [1]!Table6[State], A13, [1]!Table6[Year], 2017)</f>
        <v>0</v>
      </c>
      <c r="D13" s="4" t="e">
        <f t="shared" si="0"/>
        <v>#DIV/0!</v>
      </c>
    </row>
    <row r="14" spans="1:4" x14ac:dyDescent="0.3">
      <c r="A14" t="s">
        <v>13</v>
      </c>
      <c r="B14">
        <f>SUMIFS([1]!Table6[Total Number of Investments], [1]!Table6[State], A14, [1]!Table6[Year], 2017)</f>
        <v>57</v>
      </c>
      <c r="C14" s="2">
        <f>SUMIFS([1]!Table6[Total Amount of Assistance], [1]!Table6[State], A14, [1]!Table6[Year], 2017)</f>
        <v>1783933.63</v>
      </c>
      <c r="D14" s="4">
        <f t="shared" si="0"/>
        <v>31297.081228070172</v>
      </c>
    </row>
    <row r="15" spans="1:4" x14ac:dyDescent="0.3">
      <c r="A15" t="s">
        <v>14</v>
      </c>
      <c r="B15">
        <f>SUMIFS([1]!Table6[Total Number of Investments], [1]!Table6[State], A15, [1]!Table6[Year], 2017)</f>
        <v>165</v>
      </c>
      <c r="C15" s="2">
        <f>SUMIFS([1]!Table6[Total Amount of Assistance], [1]!Table6[State], A15, [1]!Table6[Year], 2017)</f>
        <v>3572590.2899999996</v>
      </c>
      <c r="D15" s="4">
        <f t="shared" si="0"/>
        <v>21652.06236363636</v>
      </c>
    </row>
    <row r="16" spans="1:4" x14ac:dyDescent="0.3">
      <c r="A16" t="s">
        <v>15</v>
      </c>
      <c r="B16">
        <f>SUMIFS([1]!Table6[Total Number of Investments], [1]!Table6[State], A16, [1]!Table6[Year], 2017)</f>
        <v>12</v>
      </c>
      <c r="C16" s="2">
        <f>SUMIFS([1]!Table6[Total Amount of Assistance], [1]!Table6[State], A16, [1]!Table6[Year], 2017)</f>
        <v>1466708.78</v>
      </c>
      <c r="D16" s="4">
        <f t="shared" si="0"/>
        <v>122225.73166666667</v>
      </c>
    </row>
    <row r="17" spans="1:4" x14ac:dyDescent="0.3">
      <c r="A17" t="s">
        <v>16</v>
      </c>
      <c r="B17">
        <f>SUMIFS([1]!Table6[Total Number of Investments], [1]!Table6[State], A17, [1]!Table6[Year], 2017)</f>
        <v>79</v>
      </c>
      <c r="C17" s="2">
        <f>SUMIFS([1]!Table6[Total Amount of Assistance], [1]!Table6[State], A17, [1]!Table6[Year], 2017)</f>
        <v>975394.91999999969</v>
      </c>
      <c r="D17" s="4">
        <f t="shared" si="0"/>
        <v>12346.771139240502</v>
      </c>
    </row>
    <row r="18" spans="1:4" x14ac:dyDescent="0.3">
      <c r="A18" t="s">
        <v>17</v>
      </c>
      <c r="B18">
        <f>SUMIFS([1]!Table6[Total Number of Investments], [1]!Table6[State], A18, [1]!Table6[Year], 2017)</f>
        <v>32</v>
      </c>
      <c r="C18" s="2">
        <f>SUMIFS([1]!Table6[Total Amount of Assistance], [1]!Table6[State], A18, [1]!Table6[Year], 2017)</f>
        <v>1262927.67</v>
      </c>
      <c r="D18" s="4">
        <f t="shared" si="0"/>
        <v>39466.489687499998</v>
      </c>
    </row>
    <row r="19" spans="1:4" x14ac:dyDescent="0.3">
      <c r="A19" t="s">
        <v>18</v>
      </c>
      <c r="B19">
        <f>SUMIFS([1]!Table6[Total Number of Investments], [1]!Table6[State], A19, [1]!Table6[Year], 2017)</f>
        <v>46</v>
      </c>
      <c r="C19" s="2">
        <f>SUMIFS([1]!Table6[Total Amount of Assistance], [1]!Table6[State], A19, [1]!Table6[Year], 2017)</f>
        <v>4052094.8600000003</v>
      </c>
      <c r="D19" s="4">
        <f t="shared" si="0"/>
        <v>88089.018695652179</v>
      </c>
    </row>
    <row r="20" spans="1:4" x14ac:dyDescent="0.3">
      <c r="A20" t="s">
        <v>19</v>
      </c>
      <c r="B20">
        <f>SUMIFS([1]!Table6[Total Number of Investments], [1]!Table6[State], A20, [1]!Table6[Year], 2017)</f>
        <v>187</v>
      </c>
      <c r="C20" s="2">
        <f>SUMIFS([1]!Table6[Total Amount of Assistance], [1]!Table6[State], A20, [1]!Table6[Year], 2017)</f>
        <v>6397228.8300000001</v>
      </c>
      <c r="D20" s="4">
        <f t="shared" si="0"/>
        <v>34209.779839572191</v>
      </c>
    </row>
    <row r="21" spans="1:4" x14ac:dyDescent="0.3">
      <c r="A21" t="s">
        <v>20</v>
      </c>
      <c r="B21">
        <f>SUMIFS([1]!Table6[Total Number of Investments], [1]!Table6[State], A21, [1]!Table6[Year], 2017)</f>
        <v>93</v>
      </c>
      <c r="C21" s="2">
        <f>SUMIFS([1]!Table6[Total Amount of Assistance], [1]!Table6[State], A21, [1]!Table6[Year], 2017)</f>
        <v>1340625.27</v>
      </c>
      <c r="D21" s="4">
        <f t="shared" si="0"/>
        <v>14415.325483870967</v>
      </c>
    </row>
    <row r="22" spans="1:4" x14ac:dyDescent="0.3">
      <c r="A22" t="s">
        <v>21</v>
      </c>
      <c r="B22">
        <f>SUMIFS([1]!Table6[Total Number of Investments], [1]!Table6[State], A22, [1]!Table6[Year], 2017)</f>
        <v>122</v>
      </c>
      <c r="C22" s="2">
        <f>SUMIFS([1]!Table6[Total Amount of Assistance], [1]!Table6[State], A22, [1]!Table6[Year], 2017)</f>
        <v>2548862.1500000004</v>
      </c>
      <c r="D22" s="4">
        <f t="shared" si="0"/>
        <v>20892.312704918037</v>
      </c>
    </row>
    <row r="23" spans="1:4" x14ac:dyDescent="0.3">
      <c r="A23" t="s">
        <v>22</v>
      </c>
      <c r="B23">
        <f>SUMIFS([1]!Table6[Total Number of Investments], [1]!Table6[State], A23, [1]!Table6[Year], 2017)</f>
        <v>76</v>
      </c>
      <c r="C23" s="2">
        <f>SUMIFS([1]!Table6[Total Amount of Assistance], [1]!Table6[State], A23, [1]!Table6[Year], 2017)</f>
        <v>1280645.17</v>
      </c>
      <c r="D23" s="4">
        <f t="shared" si="0"/>
        <v>16850.594342105262</v>
      </c>
    </row>
    <row r="24" spans="1:4" x14ac:dyDescent="0.3">
      <c r="A24" t="s">
        <v>23</v>
      </c>
      <c r="B24">
        <f>SUMIFS([1]!Table6[Total Number of Investments], [1]!Table6[State], A24, [1]!Table6[Year], 2017)</f>
        <v>43</v>
      </c>
      <c r="C24" s="2">
        <f>SUMIFS([1]!Table6[Total Amount of Assistance], [1]!Table6[State], A24, [1]!Table6[Year], 2017)</f>
        <v>2224741.8899999997</v>
      </c>
      <c r="D24" s="4">
        <f t="shared" si="0"/>
        <v>51738.183488372088</v>
      </c>
    </row>
    <row r="25" spans="1:4" x14ac:dyDescent="0.3">
      <c r="A25" t="s">
        <v>24</v>
      </c>
      <c r="B25">
        <f>SUMIFS([1]!Table6[Total Number of Investments], [1]!Table6[State], A25, [1]!Table6[Year], 2017)</f>
        <v>45</v>
      </c>
      <c r="C25" s="2">
        <f>SUMIFS([1]!Table6[Total Amount of Assistance], [1]!Table6[State], A25, [1]!Table6[Year], 2017)</f>
        <v>6391729.5700000003</v>
      </c>
      <c r="D25" s="4">
        <f t="shared" si="0"/>
        <v>142038.43488888891</v>
      </c>
    </row>
    <row r="26" spans="1:4" x14ac:dyDescent="0.3">
      <c r="A26" t="s">
        <v>25</v>
      </c>
      <c r="B26">
        <f>SUMIFS([1]!Table6[Total Number of Investments], [1]!Table6[State], A26, [1]!Table6[Year], 2017)</f>
        <v>45</v>
      </c>
      <c r="C26" s="2">
        <f>SUMIFS([1]!Table6[Total Amount of Assistance], [1]!Table6[State], A26, [1]!Table6[Year], 2017)</f>
        <v>5853993.0600000005</v>
      </c>
      <c r="D26" s="4">
        <f t="shared" si="0"/>
        <v>130088.73466666669</v>
      </c>
    </row>
    <row r="27" spans="1:4" x14ac:dyDescent="0.3">
      <c r="A27" t="s">
        <v>26</v>
      </c>
      <c r="B27">
        <f>SUMIFS([1]!Table6[Total Number of Investments], [1]!Table6[State], A27, [1]!Table6[Year], 2017)</f>
        <v>33</v>
      </c>
      <c r="C27" s="2">
        <f>SUMIFS([1]!Table6[Total Amount of Assistance], [1]!Table6[State], A27, [1]!Table6[Year], 2017)</f>
        <v>1262779.7</v>
      </c>
      <c r="D27" s="4">
        <f t="shared" si="0"/>
        <v>38266.051515151514</v>
      </c>
    </row>
    <row r="28" spans="1:4" x14ac:dyDescent="0.3">
      <c r="A28" t="s">
        <v>27</v>
      </c>
      <c r="B28">
        <f>SUMIFS([1]!Table6[Total Number of Investments], [1]!Table6[State], A28, [1]!Table6[Year], 2017)</f>
        <v>71</v>
      </c>
      <c r="C28" s="2">
        <f>SUMIFS([1]!Table6[Total Amount of Assistance], [1]!Table6[State], A28, [1]!Table6[Year], 2017)</f>
        <v>2692424.1799999997</v>
      </c>
      <c r="D28" s="4">
        <f t="shared" si="0"/>
        <v>37921.46732394366</v>
      </c>
    </row>
    <row r="29" spans="1:4" x14ac:dyDescent="0.3">
      <c r="A29" t="s">
        <v>28</v>
      </c>
      <c r="B29">
        <f>SUMIFS([1]!Table6[Total Number of Investments], [1]!Table6[State], A29, [1]!Table6[Year], 2017)</f>
        <v>380</v>
      </c>
      <c r="C29" s="2">
        <f>SUMIFS([1]!Table6[Total Amount of Assistance], [1]!Table6[State], A29, [1]!Table6[Year], 2017)</f>
        <v>3318290.81</v>
      </c>
      <c r="D29" s="4">
        <f t="shared" si="0"/>
        <v>8732.3442368421056</v>
      </c>
    </row>
    <row r="30" spans="1:4" x14ac:dyDescent="0.3">
      <c r="A30" t="s">
        <v>29</v>
      </c>
      <c r="B30">
        <f>SUMIFS([1]!Table6[Total Number of Investments], [1]!Table6[State], A30, [1]!Table6[Year], 2017)</f>
        <v>330</v>
      </c>
      <c r="C30" s="2">
        <f>SUMIFS([1]!Table6[Total Amount of Assistance], [1]!Table6[State], A30, [1]!Table6[Year], 2017)</f>
        <v>5998922.8999999994</v>
      </c>
      <c r="D30" s="4">
        <f t="shared" si="0"/>
        <v>18178.554242424241</v>
      </c>
    </row>
    <row r="31" spans="1:4" x14ac:dyDescent="0.3">
      <c r="A31" t="s">
        <v>30</v>
      </c>
      <c r="B31">
        <f>SUMIFS([1]!Table6[Total Number of Investments], [1]!Table6[State], A31, [1]!Table6[Year], 2017)</f>
        <v>74</v>
      </c>
      <c r="C31" s="2">
        <f>SUMIFS([1]!Table6[Total Amount of Assistance], [1]!Table6[State], A31, [1]!Table6[Year], 2017)</f>
        <v>1058766.56</v>
      </c>
      <c r="D31" s="4">
        <f t="shared" si="0"/>
        <v>14307.656216216217</v>
      </c>
    </row>
    <row r="32" spans="1:4" x14ac:dyDescent="0.3">
      <c r="A32" t="s">
        <v>31</v>
      </c>
      <c r="B32">
        <f>SUMIFS([1]!Table6[Total Number of Investments], [1]!Table6[State], A32, [1]!Table6[Year], 2017)</f>
        <v>200</v>
      </c>
      <c r="C32" s="2">
        <f>SUMIFS([1]!Table6[Total Amount of Assistance], [1]!Table6[State], A32, [1]!Table6[Year], 2017)</f>
        <v>3141511.5800000005</v>
      </c>
      <c r="D32" s="4">
        <f t="shared" si="0"/>
        <v>15707.557900000003</v>
      </c>
    </row>
    <row r="33" spans="1:4" x14ac:dyDescent="0.3">
      <c r="A33" t="s">
        <v>32</v>
      </c>
      <c r="B33">
        <f>SUMIFS([1]!Table6[Total Number of Investments], [1]!Table6[State], A33, [1]!Table6[Year], 2017)</f>
        <v>20</v>
      </c>
      <c r="C33" s="2">
        <f>SUMIFS([1]!Table6[Total Amount of Assistance], [1]!Table6[State], A33, [1]!Table6[Year], 2017)</f>
        <v>310986123.31999999</v>
      </c>
      <c r="D33" s="4">
        <f t="shared" si="0"/>
        <v>15549306.165999999</v>
      </c>
    </row>
    <row r="34" spans="1:4" x14ac:dyDescent="0.3">
      <c r="A34" t="s">
        <v>33</v>
      </c>
      <c r="B34">
        <f>SUMIFS([1]!Table6[Total Number of Investments], [1]!Table6[State], A34, [1]!Table6[Year], 2017)</f>
        <v>40</v>
      </c>
      <c r="C34" s="2">
        <f>SUMIFS([1]!Table6[Total Amount of Assistance], [1]!Table6[State], A34, [1]!Table6[Year], 2017)</f>
        <v>1308645.5900000001</v>
      </c>
      <c r="D34" s="4">
        <f t="shared" si="0"/>
        <v>32716.139750000002</v>
      </c>
    </row>
    <row r="35" spans="1:4" x14ac:dyDescent="0.3">
      <c r="A35" t="s">
        <v>34</v>
      </c>
      <c r="B35">
        <f>SUMIFS([1]!Table6[Total Number of Investments], [1]!Table6[State], A35, [1]!Table6[Year], 2017)</f>
        <v>39</v>
      </c>
      <c r="C35" s="2">
        <f>SUMIFS([1]!Table6[Total Amount of Assistance], [1]!Table6[State], A35, [1]!Table6[Year], 2017)</f>
        <v>942553.20000000007</v>
      </c>
      <c r="D35" s="4">
        <f t="shared" si="0"/>
        <v>24168.030769230772</v>
      </c>
    </row>
    <row r="36" spans="1:4" x14ac:dyDescent="0.3">
      <c r="A36" t="s">
        <v>35</v>
      </c>
      <c r="B36">
        <f>SUMIFS([1]!Table6[Total Number of Investments], [1]!Table6[State], A36, [1]!Table6[Year], 2017)</f>
        <v>37</v>
      </c>
      <c r="C36" s="2">
        <f>SUMIFS([1]!Table6[Total Amount of Assistance], [1]!Table6[State], A36, [1]!Table6[Year], 2017)</f>
        <v>5889437.919999999</v>
      </c>
      <c r="D36" s="4">
        <f t="shared" si="0"/>
        <v>159173.99783783781</v>
      </c>
    </row>
    <row r="37" spans="1:4" x14ac:dyDescent="0.3">
      <c r="A37" t="s">
        <v>36</v>
      </c>
      <c r="B37">
        <f>SUMIFS([1]!Table6[Total Number of Investments], [1]!Table6[State], A37, [1]!Table6[Year], 2017)</f>
        <v>50</v>
      </c>
      <c r="C37" s="2">
        <f>SUMIFS([1]!Table6[Total Amount of Assistance], [1]!Table6[State], A37, [1]!Table6[Year], 2017)</f>
        <v>789554.54999999993</v>
      </c>
      <c r="D37" s="4">
        <f t="shared" si="0"/>
        <v>15791.090999999999</v>
      </c>
    </row>
    <row r="38" spans="1:4" x14ac:dyDescent="0.3">
      <c r="A38" t="s">
        <v>37</v>
      </c>
      <c r="B38">
        <f>SUMIFS([1]!Table6[Total Number of Investments], [1]!Table6[State], A38, [1]!Table6[Year], 2017)</f>
        <v>157</v>
      </c>
      <c r="C38" s="2">
        <f>SUMIFS([1]!Table6[Total Amount of Assistance], [1]!Table6[State], A38, [1]!Table6[Year], 2017)</f>
        <v>235514561.34999996</v>
      </c>
      <c r="D38" s="4">
        <f t="shared" si="0"/>
        <v>1500092.747452229</v>
      </c>
    </row>
    <row r="39" spans="1:4" x14ac:dyDescent="0.3">
      <c r="A39" t="s">
        <v>38</v>
      </c>
      <c r="B39">
        <f>SUMIFS([1]!Table6[Total Number of Investments], [1]!Table6[State], A39, [1]!Table6[Year], 2017)</f>
        <v>16</v>
      </c>
      <c r="C39" s="2">
        <f>SUMIFS([1]!Table6[Total Amount of Assistance], [1]!Table6[State], A39, [1]!Table6[Year], 2017)</f>
        <v>470849.27</v>
      </c>
      <c r="D39" s="4">
        <f t="shared" si="0"/>
        <v>29428.079375000001</v>
      </c>
    </row>
    <row r="40" spans="1:4" x14ac:dyDescent="0.3">
      <c r="A40" t="s">
        <v>39</v>
      </c>
      <c r="B40">
        <f>SUMIFS([1]!Table6[Total Number of Investments], [1]!Table6[State], A40, [1]!Table6[Year], 2017)</f>
        <v>117</v>
      </c>
      <c r="C40" s="2">
        <f>SUMIFS([1]!Table6[Total Amount of Assistance], [1]!Table6[State], A40, [1]!Table6[Year], 2017)</f>
        <v>10306994.820000002</v>
      </c>
      <c r="D40" s="4">
        <f t="shared" si="0"/>
        <v>88093.972820512834</v>
      </c>
    </row>
    <row r="41" spans="1:4" x14ac:dyDescent="0.3">
      <c r="A41" t="s">
        <v>40</v>
      </c>
      <c r="B41">
        <f>SUMIFS([1]!Table6[Total Number of Investments], [1]!Table6[State], A41, [1]!Table6[Year], 2017)</f>
        <v>47</v>
      </c>
      <c r="C41" s="2">
        <f>SUMIFS([1]!Table6[Total Amount of Assistance], [1]!Table6[State], A41, [1]!Table6[Year], 2017)</f>
        <v>2806161.37</v>
      </c>
      <c r="D41" s="4">
        <f t="shared" si="0"/>
        <v>59705.561063829788</v>
      </c>
    </row>
    <row r="42" spans="1:4" x14ac:dyDescent="0.3">
      <c r="A42" t="s">
        <v>41</v>
      </c>
      <c r="B42">
        <f>SUMIFS([1]!Table6[Total Number of Investments], [1]!Table6[State], A42, [1]!Table6[Year], 2017)</f>
        <v>116</v>
      </c>
      <c r="C42" s="2">
        <f>SUMIFS([1]!Table6[Total Amount of Assistance], [1]!Table6[State], A42, [1]!Table6[Year], 2017)</f>
        <v>137234103.91000003</v>
      </c>
      <c r="D42" s="4">
        <f t="shared" si="0"/>
        <v>1183052.6199137934</v>
      </c>
    </row>
    <row r="43" spans="1:4" x14ac:dyDescent="0.3">
      <c r="A43" t="s">
        <v>42</v>
      </c>
      <c r="B43">
        <f>SUMIFS([1]!Table6[Total Number of Investments], [1]!Table6[State], A43, [1]!Table6[Year], 2017)</f>
        <v>50</v>
      </c>
      <c r="C43" s="2">
        <f>SUMIFS([1]!Table6[Total Amount of Assistance], [1]!Table6[State], A43, [1]!Table6[Year], 2017)</f>
        <v>2680331.65</v>
      </c>
      <c r="D43" s="4">
        <f t="shared" si="0"/>
        <v>53606.633000000002</v>
      </c>
    </row>
    <row r="44" spans="1:4" x14ac:dyDescent="0.3">
      <c r="A44" t="s">
        <v>43</v>
      </c>
      <c r="B44">
        <f>SUMIFS([1]!Table6[Total Number of Investments], [1]!Table6[State], A44, [1]!Table6[Year], 2017)</f>
        <v>11</v>
      </c>
      <c r="C44" s="2">
        <f>SUMIFS([1]!Table6[Total Amount of Assistance], [1]!Table6[State], A44, [1]!Table6[Year], 2017)</f>
        <v>546892.30000000005</v>
      </c>
      <c r="D44" s="4">
        <f t="shared" si="0"/>
        <v>49717.481818181819</v>
      </c>
    </row>
    <row r="45" spans="1:4" x14ac:dyDescent="0.3">
      <c r="A45" t="s">
        <v>44</v>
      </c>
      <c r="B45">
        <f>SUMIFS([1]!Table6[Total Number of Investments], [1]!Table6[State], A45, [1]!Table6[Year], 2017)</f>
        <v>96</v>
      </c>
      <c r="C45" s="2">
        <f>SUMIFS([1]!Table6[Total Amount of Assistance], [1]!Table6[State], A45, [1]!Table6[Year], 2017)</f>
        <v>68749146.659999996</v>
      </c>
      <c r="D45" s="4">
        <f t="shared" si="0"/>
        <v>716136.94437499996</v>
      </c>
    </row>
    <row r="46" spans="1:4" x14ac:dyDescent="0.3">
      <c r="A46" t="s">
        <v>45</v>
      </c>
      <c r="B46">
        <f>SUMIFS([1]!Table6[Total Number of Investments], [1]!Table6[State], A46, [1]!Table6[Year], 2017)</f>
        <v>14</v>
      </c>
      <c r="C46" s="2">
        <f>SUMIFS([1]!Table6[Total Amount of Assistance], [1]!Table6[State], A46, [1]!Table6[Year], 2017)</f>
        <v>3223856.12</v>
      </c>
      <c r="D46" s="4">
        <f t="shared" si="0"/>
        <v>230275.43714285715</v>
      </c>
    </row>
    <row r="47" spans="1:4" x14ac:dyDescent="0.3">
      <c r="A47" t="s">
        <v>46</v>
      </c>
      <c r="B47">
        <f>SUMIFS([1]!Table6[Total Number of Investments], [1]!Table6[State], A47, [1]!Table6[Year], 2017)</f>
        <v>29</v>
      </c>
      <c r="C47" s="2">
        <f>SUMIFS([1]!Table6[Total Amount of Assistance], [1]!Table6[State], A47, [1]!Table6[Year], 2017)</f>
        <v>907498.52</v>
      </c>
      <c r="D47" s="4">
        <f t="shared" si="0"/>
        <v>31293.052413793102</v>
      </c>
    </row>
    <row r="48" spans="1:4" x14ac:dyDescent="0.3">
      <c r="A48" t="s">
        <v>47</v>
      </c>
      <c r="B48">
        <f>SUMIFS([1]!Table6[Total Number of Investments], [1]!Table6[State], A48, [1]!Table6[Year], 2017)</f>
        <v>185</v>
      </c>
      <c r="C48" s="2">
        <f>SUMIFS([1]!Table6[Total Amount of Assistance], [1]!Table6[State], A48, [1]!Table6[Year], 2017)</f>
        <v>98101118.270000011</v>
      </c>
      <c r="D48" s="4">
        <f t="shared" si="0"/>
        <v>530276.31497297308</v>
      </c>
    </row>
    <row r="49" spans="1:4" x14ac:dyDescent="0.3">
      <c r="A49" t="s">
        <v>48</v>
      </c>
      <c r="B49">
        <f>SUMIFS([1]!Table6[Total Number of Investments], [1]!Table6[State], A49, [1]!Table6[Year], 2017)</f>
        <v>48</v>
      </c>
      <c r="C49" s="2">
        <f>SUMIFS([1]!Table6[Total Amount of Assistance], [1]!Table6[State], A49, [1]!Table6[Year], 2017)</f>
        <v>15435702.050000001</v>
      </c>
      <c r="D49" s="4">
        <f t="shared" si="0"/>
        <v>321577.12604166666</v>
      </c>
    </row>
    <row r="50" spans="1:4" x14ac:dyDescent="0.3">
      <c r="A50" t="s">
        <v>49</v>
      </c>
      <c r="B50">
        <f>SUMIFS([1]!Table6[Total Number of Investments], [1]!Table6[State], A50, [1]!Table6[Year], 2017)</f>
        <v>22</v>
      </c>
      <c r="C50" s="2">
        <f>SUMIFS([1]!Table6[Total Amount of Assistance], [1]!Table6[State], A50, [1]!Table6[Year], 2017)</f>
        <v>4581086.54</v>
      </c>
      <c r="D50" s="4">
        <f t="shared" si="0"/>
        <v>208231.20636363636</v>
      </c>
    </row>
    <row r="51" spans="1:4" x14ac:dyDescent="0.3">
      <c r="A51" t="s">
        <v>50</v>
      </c>
      <c r="B51">
        <f>SUMIFS([1]!Table6[Total Number of Investments], [1]!Table6[State], A51, [1]!Table6[Year], 2017)</f>
        <v>35</v>
      </c>
      <c r="C51" s="2">
        <f>SUMIFS([1]!Table6[Total Amount of Assistance], [1]!Table6[State], A51, [1]!Table6[Year], 2017)</f>
        <v>5764692.1399999997</v>
      </c>
      <c r="D51" s="4">
        <f t="shared" si="0"/>
        <v>164705.48971428571</v>
      </c>
    </row>
    <row r="52" spans="1:4" x14ac:dyDescent="0.3">
      <c r="A52" t="s">
        <v>51</v>
      </c>
      <c r="B52">
        <f>SUMIFS([1]!Table6[Total Number of Investments], [1]!Table6[State], A52, [1]!Table6[Year], 2017)</f>
        <v>98</v>
      </c>
      <c r="C52" s="2">
        <f>SUMIFS([1]!Table6[Total Amount of Assistance], [1]!Table6[State], A52, [1]!Table6[Year], 2017)</f>
        <v>6866207.9300000006</v>
      </c>
      <c r="D52" s="4">
        <f t="shared" si="0"/>
        <v>70063.346224489796</v>
      </c>
    </row>
    <row r="53" spans="1:4" x14ac:dyDescent="0.3">
      <c r="A53" t="s">
        <v>52</v>
      </c>
      <c r="B53">
        <f>SUMIFS([1]!Table6[Total Number of Investments], [1]!Table6[State], A53, [1]!Table6[Year], 2017)</f>
        <v>70</v>
      </c>
      <c r="C53" s="2">
        <f>SUMIFS([1]!Table6[Total Amount of Assistance], [1]!Table6[State], A53, [1]!Table6[Year], 2017)</f>
        <v>741555.9800000001</v>
      </c>
      <c r="D53" s="4">
        <f t="shared" si="0"/>
        <v>10593.656857142858</v>
      </c>
    </row>
    <row r="54" spans="1:4" x14ac:dyDescent="0.3">
      <c r="A54" t="s">
        <v>53</v>
      </c>
      <c r="B54">
        <f>SUMIFS([1]!Table6[Total Number of Investments], [1]!Table6[State], A54, [1]!Table6[Year], 2017)</f>
        <v>93</v>
      </c>
      <c r="C54" s="2">
        <f>SUMIFS([1]!Table6[Total Amount of Assistance], [1]!Table6[State], A54, [1]!Table6[Year], 2017)</f>
        <v>2620554.2000000002</v>
      </c>
      <c r="D54" s="4">
        <f t="shared" si="0"/>
        <v>28178.002150537635</v>
      </c>
    </row>
    <row r="55" spans="1:4" x14ac:dyDescent="0.3">
      <c r="A55" t="s">
        <v>54</v>
      </c>
      <c r="B55">
        <f>SUMIFS([1]!Table6[Total Number of Investments], [1]!Table6[State], A55, [1]!Table6[Year], 2017)</f>
        <v>45</v>
      </c>
      <c r="C55" s="2">
        <f>SUMIFS([1]!Table6[Total Amount of Assistance], [1]!Table6[State], A55, [1]!Table6[Year], 2017)</f>
        <v>410089.12</v>
      </c>
      <c r="D55" s="4">
        <f t="shared" si="0"/>
        <v>9113.0915555555548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A7FF-69B0-480F-8DA9-9D012AB30905}">
  <dimension ref="A1:D55"/>
  <sheetViews>
    <sheetView workbookViewId="0">
      <selection activeCell="C5" sqref="C5:C55"/>
    </sheetView>
  </sheetViews>
  <sheetFormatPr defaultRowHeight="14.4" x14ac:dyDescent="0.3"/>
  <cols>
    <col min="2" max="2" width="25.109375" bestFit="1" customWidth="1"/>
    <col min="3" max="3" width="23.5546875" bestFit="1" customWidth="1"/>
    <col min="4" max="4" width="12.5546875" bestFit="1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3" t="s">
        <v>55</v>
      </c>
    </row>
    <row r="5" spans="1:4" x14ac:dyDescent="0.3">
      <c r="A5" t="s">
        <v>4</v>
      </c>
      <c r="B5">
        <f>SUMIFS([1]!Table6[Total Number of Investments], [1]!Table6[State], A5, [1]!Table6[Year], 2018)</f>
        <v>91</v>
      </c>
      <c r="C5" s="2">
        <f>SUMIFS([1]!Table6[Total Amount of Assistance], [1]!Table6[State], A5, [1]!Table6[Year], 2018)</f>
        <v>2562331.4199999995</v>
      </c>
      <c r="D5" s="4">
        <f>C5/B5</f>
        <v>28157.488131868125</v>
      </c>
    </row>
    <row r="6" spans="1:4" x14ac:dyDescent="0.3">
      <c r="A6" t="s">
        <v>5</v>
      </c>
      <c r="B6">
        <f>SUMIFS([1]!Table6[Total Number of Investments], [1]!Table6[State], A6, [1]!Table6[Year], 2018)</f>
        <v>41</v>
      </c>
      <c r="C6" s="2">
        <f>SUMIFS([1]!Table6[Total Amount of Assistance], [1]!Table6[State], A6, [1]!Table6[Year], 2018)</f>
        <v>18211853.129999999</v>
      </c>
      <c r="D6" s="4">
        <f t="shared" ref="D6:D55" si="0">C6/B6</f>
        <v>444191.53975609754</v>
      </c>
    </row>
    <row r="7" spans="1:4" x14ac:dyDescent="0.3">
      <c r="A7" t="s">
        <v>6</v>
      </c>
      <c r="B7">
        <f>SUMIFS([1]!Table6[Total Number of Investments], [1]!Table6[State], A7, [1]!Table6[Year], 2018)</f>
        <v>31</v>
      </c>
      <c r="C7" s="2">
        <f>SUMIFS([1]!Table6[Total Amount of Assistance], [1]!Table6[State], A7, [1]!Table6[Year], 2018)</f>
        <v>522257.21</v>
      </c>
      <c r="D7" s="4">
        <f t="shared" si="0"/>
        <v>16847.006774193549</v>
      </c>
    </row>
    <row r="8" spans="1:4" x14ac:dyDescent="0.3">
      <c r="A8" t="s">
        <v>7</v>
      </c>
      <c r="B8">
        <f>SUMIFS([1]!Table6[Total Number of Investments], [1]!Table6[State], A8, [1]!Table6[Year], 2018)</f>
        <v>346</v>
      </c>
      <c r="C8" s="2">
        <f>SUMIFS([1]!Table6[Total Amount of Assistance], [1]!Table6[State], A8, [1]!Table6[Year], 2018)</f>
        <v>80957675.180000007</v>
      </c>
      <c r="D8" s="4">
        <f t="shared" si="0"/>
        <v>233981.72017341043</v>
      </c>
    </row>
    <row r="9" spans="1:4" x14ac:dyDescent="0.3">
      <c r="A9" t="s">
        <v>8</v>
      </c>
      <c r="B9">
        <f>SUMIFS([1]!Table6[Total Number of Investments], [1]!Table6[State], A9, [1]!Table6[Year], 2018)</f>
        <v>653</v>
      </c>
      <c r="C9" s="2">
        <f>SUMIFS([1]!Table6[Total Amount of Assistance], [1]!Table6[State], A9, [1]!Table6[Year], 2018)</f>
        <v>27711743.470000003</v>
      </c>
      <c r="D9" s="4">
        <f t="shared" si="0"/>
        <v>42437.585712098014</v>
      </c>
    </row>
    <row r="10" spans="1:4" x14ac:dyDescent="0.3">
      <c r="A10" t="s">
        <v>9</v>
      </c>
      <c r="B10">
        <f>SUMIFS([1]!Table6[Total Number of Investments], [1]!Table6[State], A10, [1]!Table6[Year], 2018)</f>
        <v>103</v>
      </c>
      <c r="C10" s="2">
        <f>SUMIFS([1]!Table6[Total Amount of Assistance], [1]!Table6[State], A10, [1]!Table6[Year], 2018)</f>
        <v>29804585.919999994</v>
      </c>
      <c r="D10" s="4">
        <f t="shared" si="0"/>
        <v>289364.91184466012</v>
      </c>
    </row>
    <row r="11" spans="1:4" x14ac:dyDescent="0.3">
      <c r="A11" t="s">
        <v>10</v>
      </c>
      <c r="B11">
        <f>SUMIFS([1]!Table6[Total Number of Investments], [1]!Table6[State], A11, [1]!Table6[Year], 2018)</f>
        <v>22</v>
      </c>
      <c r="C11" s="2">
        <f>SUMIFS([1]!Table6[Total Amount of Assistance], [1]!Table6[State], A11, [1]!Table6[Year], 2018)</f>
        <v>1642974.57</v>
      </c>
      <c r="D11" s="4">
        <f t="shared" si="0"/>
        <v>74680.662272727277</v>
      </c>
    </row>
    <row r="12" spans="1:4" x14ac:dyDescent="0.3">
      <c r="A12" t="s">
        <v>11</v>
      </c>
      <c r="B12">
        <f>SUMIFS([1]!Table6[Total Number of Investments], [1]!Table6[State], A12, [1]!Table6[Year], 2018)</f>
        <v>25</v>
      </c>
      <c r="C12" s="2">
        <f>SUMIFS([1]!Table6[Total Amount of Assistance], [1]!Table6[State], A12, [1]!Table6[Year], 2018)</f>
        <v>727508.3</v>
      </c>
      <c r="D12" s="4">
        <f t="shared" si="0"/>
        <v>29100.332000000002</v>
      </c>
    </row>
    <row r="13" spans="1:4" x14ac:dyDescent="0.3">
      <c r="A13" t="s">
        <v>12</v>
      </c>
      <c r="B13">
        <f>SUMIFS([1]!Table6[Total Number of Investments], [1]!Table6[State], A13, [1]!Table6[Year], 2018)</f>
        <v>0</v>
      </c>
      <c r="C13" s="2">
        <f>SUMIFS([1]!Table6[Total Amount of Assistance], [1]!Table6[State], A13, [1]!Table6[Year], 2018)</f>
        <v>0</v>
      </c>
      <c r="D13" s="4" t="e">
        <f t="shared" si="0"/>
        <v>#DIV/0!</v>
      </c>
    </row>
    <row r="14" spans="1:4" x14ac:dyDescent="0.3">
      <c r="A14" t="s">
        <v>13</v>
      </c>
      <c r="B14">
        <f>SUMIFS([1]!Table6[Total Number of Investments], [1]!Table6[State], A14, [1]!Table6[Year], 2018)</f>
        <v>55</v>
      </c>
      <c r="C14" s="2">
        <f>SUMIFS([1]!Table6[Total Amount of Assistance], [1]!Table6[State], A14, [1]!Table6[Year], 2018)</f>
        <v>49814852.869999997</v>
      </c>
      <c r="D14" s="4">
        <f t="shared" si="0"/>
        <v>905724.59763636359</v>
      </c>
    </row>
    <row r="15" spans="1:4" x14ac:dyDescent="0.3">
      <c r="A15" t="s">
        <v>14</v>
      </c>
      <c r="B15">
        <f>SUMIFS([1]!Table6[Total Number of Investments], [1]!Table6[State], A15, [1]!Table6[Year], 2018)</f>
        <v>176</v>
      </c>
      <c r="C15" s="2">
        <f>SUMIFS([1]!Table6[Total Amount of Assistance], [1]!Table6[State], A15, [1]!Table6[Year], 2018)</f>
        <v>8246661.919999999</v>
      </c>
      <c r="D15" s="4">
        <f t="shared" si="0"/>
        <v>46856.033636363631</v>
      </c>
    </row>
    <row r="16" spans="1:4" x14ac:dyDescent="0.3">
      <c r="A16" t="s">
        <v>15</v>
      </c>
      <c r="B16">
        <f>SUMIFS([1]!Table6[Total Number of Investments], [1]!Table6[State], A16, [1]!Table6[Year], 2018)</f>
        <v>16</v>
      </c>
      <c r="C16" s="2">
        <f>SUMIFS([1]!Table6[Total Amount of Assistance], [1]!Table6[State], A16, [1]!Table6[Year], 2018)</f>
        <v>5818219.4500000002</v>
      </c>
      <c r="D16" s="4">
        <f t="shared" si="0"/>
        <v>363638.71562500001</v>
      </c>
    </row>
    <row r="17" spans="1:4" x14ac:dyDescent="0.3">
      <c r="A17" t="s">
        <v>16</v>
      </c>
      <c r="B17">
        <f>SUMIFS([1]!Table6[Total Number of Investments], [1]!Table6[State], A17, [1]!Table6[Year], 2018)</f>
        <v>65</v>
      </c>
      <c r="C17" s="2">
        <f>SUMIFS([1]!Table6[Total Amount of Assistance], [1]!Table6[State], A17, [1]!Table6[Year], 2018)</f>
        <v>1163013.3199999998</v>
      </c>
      <c r="D17" s="4">
        <f t="shared" si="0"/>
        <v>17892.512615384614</v>
      </c>
    </row>
    <row r="18" spans="1:4" x14ac:dyDescent="0.3">
      <c r="A18" t="s">
        <v>17</v>
      </c>
      <c r="B18">
        <f>SUMIFS([1]!Table6[Total Number of Investments], [1]!Table6[State], A18, [1]!Table6[Year], 2018)</f>
        <v>63</v>
      </c>
      <c r="C18" s="2">
        <f>SUMIFS([1]!Table6[Total Amount of Assistance], [1]!Table6[State], A18, [1]!Table6[Year], 2018)</f>
        <v>5157688.9000000004</v>
      </c>
      <c r="D18" s="4">
        <f t="shared" si="0"/>
        <v>81868.077777777784</v>
      </c>
    </row>
    <row r="19" spans="1:4" x14ac:dyDescent="0.3">
      <c r="A19" t="s">
        <v>18</v>
      </c>
      <c r="B19">
        <f>SUMIFS([1]!Table6[Total Number of Investments], [1]!Table6[State], A19, [1]!Table6[Year], 2018)</f>
        <v>58</v>
      </c>
      <c r="C19" s="2">
        <f>SUMIFS([1]!Table6[Total Amount of Assistance], [1]!Table6[State], A19, [1]!Table6[Year], 2018)</f>
        <v>5707227.9199999999</v>
      </c>
      <c r="D19" s="4">
        <f t="shared" si="0"/>
        <v>98400.481379310339</v>
      </c>
    </row>
    <row r="20" spans="1:4" x14ac:dyDescent="0.3">
      <c r="A20" t="s">
        <v>19</v>
      </c>
      <c r="B20">
        <f>SUMIFS([1]!Table6[Total Number of Investments], [1]!Table6[State], A20, [1]!Table6[Year], 2018)</f>
        <v>243</v>
      </c>
      <c r="C20" s="2">
        <f>SUMIFS([1]!Table6[Total Amount of Assistance], [1]!Table6[State], A20, [1]!Table6[Year], 2018)</f>
        <v>9018736.3699999992</v>
      </c>
      <c r="D20" s="4">
        <f t="shared" si="0"/>
        <v>37114.141440329215</v>
      </c>
    </row>
    <row r="21" spans="1:4" x14ac:dyDescent="0.3">
      <c r="A21" t="s">
        <v>20</v>
      </c>
      <c r="B21">
        <f>SUMIFS([1]!Table6[Total Number of Investments], [1]!Table6[State], A21, [1]!Table6[Year], 2018)</f>
        <v>57</v>
      </c>
      <c r="C21" s="2">
        <f>SUMIFS([1]!Table6[Total Amount of Assistance], [1]!Table6[State], A21, [1]!Table6[Year], 2018)</f>
        <v>1008169.8099999999</v>
      </c>
      <c r="D21" s="4">
        <f t="shared" si="0"/>
        <v>17687.189649122807</v>
      </c>
    </row>
    <row r="22" spans="1:4" x14ac:dyDescent="0.3">
      <c r="A22" t="s">
        <v>21</v>
      </c>
      <c r="B22">
        <f>SUMIFS([1]!Table6[Total Number of Investments], [1]!Table6[State], A22, [1]!Table6[Year], 2018)</f>
        <v>84</v>
      </c>
      <c r="C22" s="2">
        <f>SUMIFS([1]!Table6[Total Amount of Assistance], [1]!Table6[State], A22, [1]!Table6[Year], 2018)</f>
        <v>3349616.06</v>
      </c>
      <c r="D22" s="4">
        <f t="shared" si="0"/>
        <v>39876.381666666668</v>
      </c>
    </row>
    <row r="23" spans="1:4" x14ac:dyDescent="0.3">
      <c r="A23" t="s">
        <v>22</v>
      </c>
      <c r="B23">
        <f>SUMIFS([1]!Table6[Total Number of Investments], [1]!Table6[State], A23, [1]!Table6[Year], 2018)</f>
        <v>59</v>
      </c>
      <c r="C23" s="2">
        <f>SUMIFS([1]!Table6[Total Amount of Assistance], [1]!Table6[State], A23, [1]!Table6[Year], 2018)</f>
        <v>749482.42999999993</v>
      </c>
      <c r="D23" s="4">
        <f t="shared" si="0"/>
        <v>12703.092033898303</v>
      </c>
    </row>
    <row r="24" spans="1:4" x14ac:dyDescent="0.3">
      <c r="A24" t="s">
        <v>23</v>
      </c>
      <c r="B24">
        <f>SUMIFS([1]!Table6[Total Number of Investments], [1]!Table6[State], A24, [1]!Table6[Year], 2018)</f>
        <v>37</v>
      </c>
      <c r="C24" s="2">
        <f>SUMIFS([1]!Table6[Total Amount of Assistance], [1]!Table6[State], A24, [1]!Table6[Year], 2018)</f>
        <v>2487247.89</v>
      </c>
      <c r="D24" s="4">
        <f t="shared" si="0"/>
        <v>67222.915945945948</v>
      </c>
    </row>
    <row r="25" spans="1:4" x14ac:dyDescent="0.3">
      <c r="A25" t="s">
        <v>24</v>
      </c>
      <c r="B25">
        <f>SUMIFS([1]!Table6[Total Number of Investments], [1]!Table6[State], A25, [1]!Table6[Year], 2018)</f>
        <v>64</v>
      </c>
      <c r="C25" s="2">
        <f>SUMIFS([1]!Table6[Total Amount of Assistance], [1]!Table6[State], A25, [1]!Table6[Year], 2018)</f>
        <v>2579807.46</v>
      </c>
      <c r="D25" s="4">
        <f t="shared" si="0"/>
        <v>40309.491562499999</v>
      </c>
    </row>
    <row r="26" spans="1:4" x14ac:dyDescent="0.3">
      <c r="A26" t="s">
        <v>25</v>
      </c>
      <c r="B26">
        <f>SUMIFS([1]!Table6[Total Number of Investments], [1]!Table6[State], A26, [1]!Table6[Year], 2018)</f>
        <v>47</v>
      </c>
      <c r="C26" s="2">
        <f>SUMIFS([1]!Table6[Total Amount of Assistance], [1]!Table6[State], A26, [1]!Table6[Year], 2018)</f>
        <v>3362250.47</v>
      </c>
      <c r="D26" s="4">
        <f t="shared" si="0"/>
        <v>71537.244042553197</v>
      </c>
    </row>
    <row r="27" spans="1:4" x14ac:dyDescent="0.3">
      <c r="A27" t="s">
        <v>26</v>
      </c>
      <c r="B27">
        <f>SUMIFS([1]!Table6[Total Number of Investments], [1]!Table6[State], A27, [1]!Table6[Year], 2018)</f>
        <v>53</v>
      </c>
      <c r="C27" s="2">
        <f>SUMIFS([1]!Table6[Total Amount of Assistance], [1]!Table6[State], A27, [1]!Table6[Year], 2018)</f>
        <v>958035.14</v>
      </c>
      <c r="D27" s="4">
        <f t="shared" si="0"/>
        <v>18076.134716981131</v>
      </c>
    </row>
    <row r="28" spans="1:4" x14ac:dyDescent="0.3">
      <c r="A28" t="s">
        <v>27</v>
      </c>
      <c r="B28">
        <f>SUMIFS([1]!Table6[Total Number of Investments], [1]!Table6[State], A28, [1]!Table6[Year], 2018)</f>
        <v>143</v>
      </c>
      <c r="C28" s="2">
        <f>SUMIFS([1]!Table6[Total Amount of Assistance], [1]!Table6[State], A28, [1]!Table6[Year], 2018)</f>
        <v>55113058.519999996</v>
      </c>
      <c r="D28" s="4">
        <f t="shared" si="0"/>
        <v>385406.0036363636</v>
      </c>
    </row>
    <row r="29" spans="1:4" x14ac:dyDescent="0.3">
      <c r="A29" t="s">
        <v>28</v>
      </c>
      <c r="B29">
        <f>SUMIFS([1]!Table6[Total Number of Investments], [1]!Table6[State], A29, [1]!Table6[Year], 2018)</f>
        <v>477</v>
      </c>
      <c r="C29" s="2">
        <f>SUMIFS([1]!Table6[Total Amount of Assistance], [1]!Table6[State], A29, [1]!Table6[Year], 2018)</f>
        <v>5732385.8899999997</v>
      </c>
      <c r="D29" s="4">
        <f t="shared" si="0"/>
        <v>12017.580482180292</v>
      </c>
    </row>
    <row r="30" spans="1:4" x14ac:dyDescent="0.3">
      <c r="A30" t="s">
        <v>29</v>
      </c>
      <c r="B30">
        <f>SUMIFS([1]!Table6[Total Number of Investments], [1]!Table6[State], A30, [1]!Table6[Year], 2018)</f>
        <v>189</v>
      </c>
      <c r="C30" s="2">
        <f>SUMIFS([1]!Table6[Total Amount of Assistance], [1]!Table6[State], A30, [1]!Table6[Year], 2018)</f>
        <v>4620702.0999999987</v>
      </c>
      <c r="D30" s="4">
        <f t="shared" si="0"/>
        <v>24448.159259259253</v>
      </c>
    </row>
    <row r="31" spans="1:4" x14ac:dyDescent="0.3">
      <c r="A31" t="s">
        <v>30</v>
      </c>
      <c r="B31">
        <f>SUMIFS([1]!Table6[Total Number of Investments], [1]!Table6[State], A31, [1]!Table6[Year], 2018)</f>
        <v>81</v>
      </c>
      <c r="C31" s="2">
        <f>SUMIFS([1]!Table6[Total Amount of Assistance], [1]!Table6[State], A31, [1]!Table6[Year], 2018)</f>
        <v>2362999.23</v>
      </c>
      <c r="D31" s="4">
        <f t="shared" si="0"/>
        <v>29172.829999999998</v>
      </c>
    </row>
    <row r="32" spans="1:4" x14ac:dyDescent="0.3">
      <c r="A32" t="s">
        <v>31</v>
      </c>
      <c r="B32">
        <f>SUMIFS([1]!Table6[Total Number of Investments], [1]!Table6[State], A32, [1]!Table6[Year], 2018)</f>
        <v>201</v>
      </c>
      <c r="C32" s="2">
        <f>SUMIFS([1]!Table6[Total Amount of Assistance], [1]!Table6[State], A32, [1]!Table6[Year], 2018)</f>
        <v>3486852.6199999992</v>
      </c>
      <c r="D32" s="4">
        <f t="shared" si="0"/>
        <v>17347.525472636811</v>
      </c>
    </row>
    <row r="33" spans="1:4" x14ac:dyDescent="0.3">
      <c r="A33" t="s">
        <v>32</v>
      </c>
      <c r="B33">
        <f>SUMIFS([1]!Table6[Total Number of Investments], [1]!Table6[State], A33, [1]!Table6[Year], 2018)</f>
        <v>39</v>
      </c>
      <c r="C33" s="2">
        <f>SUMIFS([1]!Table6[Total Amount of Assistance], [1]!Table6[State], A33, [1]!Table6[Year], 2018)</f>
        <v>517592.85</v>
      </c>
      <c r="D33" s="4">
        <f t="shared" si="0"/>
        <v>13271.611538461539</v>
      </c>
    </row>
    <row r="34" spans="1:4" x14ac:dyDescent="0.3">
      <c r="A34" t="s">
        <v>33</v>
      </c>
      <c r="B34">
        <f>SUMIFS([1]!Table6[Total Number of Investments], [1]!Table6[State], A34, [1]!Table6[Year], 2018)</f>
        <v>33</v>
      </c>
      <c r="C34" s="2">
        <f>SUMIFS([1]!Table6[Total Amount of Assistance], [1]!Table6[State], A34, [1]!Table6[Year], 2018)</f>
        <v>634738.32000000007</v>
      </c>
      <c r="D34" s="4">
        <f t="shared" si="0"/>
        <v>19234.494545454549</v>
      </c>
    </row>
    <row r="35" spans="1:4" x14ac:dyDescent="0.3">
      <c r="A35" t="s">
        <v>34</v>
      </c>
      <c r="B35">
        <f>SUMIFS([1]!Table6[Total Number of Investments], [1]!Table6[State], A35, [1]!Table6[Year], 2018)</f>
        <v>20</v>
      </c>
      <c r="C35" s="2">
        <f>SUMIFS([1]!Table6[Total Amount of Assistance], [1]!Table6[State], A35, [1]!Table6[Year], 2018)</f>
        <v>849185.46</v>
      </c>
      <c r="D35" s="4">
        <f t="shared" si="0"/>
        <v>42459.273000000001</v>
      </c>
    </row>
    <row r="36" spans="1:4" x14ac:dyDescent="0.3">
      <c r="A36" t="s">
        <v>35</v>
      </c>
      <c r="B36">
        <f>SUMIFS([1]!Table6[Total Number of Investments], [1]!Table6[State], A36, [1]!Table6[Year], 2018)</f>
        <v>17</v>
      </c>
      <c r="C36" s="2">
        <f>SUMIFS([1]!Table6[Total Amount of Assistance], [1]!Table6[State], A36, [1]!Table6[Year], 2018)</f>
        <v>831147.25</v>
      </c>
      <c r="D36" s="4">
        <f t="shared" si="0"/>
        <v>48891.01470588235</v>
      </c>
    </row>
    <row r="37" spans="1:4" x14ac:dyDescent="0.3">
      <c r="A37" t="s">
        <v>36</v>
      </c>
      <c r="B37">
        <f>SUMIFS([1]!Table6[Total Number of Investments], [1]!Table6[State], A37, [1]!Table6[Year], 2018)</f>
        <v>60</v>
      </c>
      <c r="C37" s="2">
        <f>SUMIFS([1]!Table6[Total Amount of Assistance], [1]!Table6[State], A37, [1]!Table6[Year], 2018)</f>
        <v>13144835.08</v>
      </c>
      <c r="D37" s="4">
        <f t="shared" si="0"/>
        <v>219080.58466666666</v>
      </c>
    </row>
    <row r="38" spans="1:4" x14ac:dyDescent="0.3">
      <c r="A38" t="s">
        <v>37</v>
      </c>
      <c r="B38">
        <f>SUMIFS([1]!Table6[Total Number of Investments], [1]!Table6[State], A38, [1]!Table6[Year], 2018)</f>
        <v>140</v>
      </c>
      <c r="C38" s="2">
        <f>SUMIFS([1]!Table6[Total Amount of Assistance], [1]!Table6[State], A38, [1]!Table6[Year], 2018)</f>
        <v>141884722</v>
      </c>
      <c r="D38" s="4">
        <f t="shared" si="0"/>
        <v>1013462.3</v>
      </c>
    </row>
    <row r="39" spans="1:4" x14ac:dyDescent="0.3">
      <c r="A39" t="s">
        <v>38</v>
      </c>
      <c r="B39">
        <f>SUMIFS([1]!Table6[Total Number of Investments], [1]!Table6[State], A39, [1]!Table6[Year], 2018)</f>
        <v>25</v>
      </c>
      <c r="C39" s="2">
        <f>SUMIFS([1]!Table6[Total Amount of Assistance], [1]!Table6[State], A39, [1]!Table6[Year], 2018)</f>
        <v>484473.97</v>
      </c>
      <c r="D39" s="4">
        <f t="shared" si="0"/>
        <v>19378.9588</v>
      </c>
    </row>
    <row r="40" spans="1:4" x14ac:dyDescent="0.3">
      <c r="A40" t="s">
        <v>39</v>
      </c>
      <c r="B40">
        <f>SUMIFS([1]!Table6[Total Number of Investments], [1]!Table6[State], A40, [1]!Table6[Year], 2018)</f>
        <v>51</v>
      </c>
      <c r="C40" s="2">
        <f>SUMIFS([1]!Table6[Total Amount of Assistance], [1]!Table6[State], A40, [1]!Table6[Year], 2018)</f>
        <v>6167789.8799999999</v>
      </c>
      <c r="D40" s="4">
        <f t="shared" si="0"/>
        <v>120937.05647058823</v>
      </c>
    </row>
    <row r="41" spans="1:4" x14ac:dyDescent="0.3">
      <c r="A41" t="s">
        <v>40</v>
      </c>
      <c r="B41">
        <f>SUMIFS([1]!Table6[Total Number of Investments], [1]!Table6[State], A41, [1]!Table6[Year], 2018)</f>
        <v>19</v>
      </c>
      <c r="C41" s="2">
        <f>SUMIFS([1]!Table6[Total Amount of Assistance], [1]!Table6[State], A41, [1]!Table6[Year], 2018)</f>
        <v>1804145.38</v>
      </c>
      <c r="D41" s="4">
        <f t="shared" si="0"/>
        <v>94955.01999999999</v>
      </c>
    </row>
    <row r="42" spans="1:4" x14ac:dyDescent="0.3">
      <c r="A42" t="s">
        <v>41</v>
      </c>
      <c r="B42">
        <f>SUMIFS([1]!Table6[Total Number of Investments], [1]!Table6[State], A42, [1]!Table6[Year], 2018)</f>
        <v>64</v>
      </c>
      <c r="C42" s="2">
        <f>SUMIFS([1]!Table6[Total Amount of Assistance], [1]!Table6[State], A42, [1]!Table6[Year], 2018)</f>
        <v>3249772.5500000003</v>
      </c>
      <c r="D42" s="4">
        <f t="shared" si="0"/>
        <v>50777.696093750004</v>
      </c>
    </row>
    <row r="43" spans="1:4" x14ac:dyDescent="0.3">
      <c r="A43" t="s">
        <v>42</v>
      </c>
      <c r="B43">
        <f>SUMIFS([1]!Table6[Total Number of Investments], [1]!Table6[State], A43, [1]!Table6[Year], 2018)</f>
        <v>54</v>
      </c>
      <c r="C43" s="2">
        <f>SUMIFS([1]!Table6[Total Amount of Assistance], [1]!Table6[State], A43, [1]!Table6[Year], 2018)</f>
        <v>10530409.629999999</v>
      </c>
      <c r="D43" s="4">
        <f t="shared" si="0"/>
        <v>195007.58574074073</v>
      </c>
    </row>
    <row r="44" spans="1:4" x14ac:dyDescent="0.3">
      <c r="A44" t="s">
        <v>43</v>
      </c>
      <c r="B44">
        <f>SUMIFS([1]!Table6[Total Number of Investments], [1]!Table6[State], A44, [1]!Table6[Year], 2018)</f>
        <v>15</v>
      </c>
      <c r="C44" s="2">
        <f>SUMIFS([1]!Table6[Total Amount of Assistance], [1]!Table6[State], A44, [1]!Table6[Year], 2018)</f>
        <v>668225.55999999994</v>
      </c>
      <c r="D44" s="4">
        <f t="shared" si="0"/>
        <v>44548.370666666662</v>
      </c>
    </row>
    <row r="45" spans="1:4" x14ac:dyDescent="0.3">
      <c r="A45" t="s">
        <v>44</v>
      </c>
      <c r="B45">
        <f>SUMIFS([1]!Table6[Total Number of Investments], [1]!Table6[State], A45, [1]!Table6[Year], 2018)</f>
        <v>143</v>
      </c>
      <c r="C45" s="2">
        <f>SUMIFS([1]!Table6[Total Amount of Assistance], [1]!Table6[State], A45, [1]!Table6[Year], 2018)</f>
        <v>65172523.879999995</v>
      </c>
      <c r="D45" s="4">
        <f t="shared" si="0"/>
        <v>455751.91524475522</v>
      </c>
    </row>
    <row r="46" spans="1:4" x14ac:dyDescent="0.3">
      <c r="A46" t="s">
        <v>45</v>
      </c>
      <c r="B46">
        <f>SUMIFS([1]!Table6[Total Number of Investments], [1]!Table6[State], A46, [1]!Table6[Year], 2018)</f>
        <v>26</v>
      </c>
      <c r="C46" s="2">
        <f>SUMIFS([1]!Table6[Total Amount of Assistance], [1]!Table6[State], A46, [1]!Table6[Year], 2018)</f>
        <v>3829256.38</v>
      </c>
      <c r="D46" s="4">
        <f t="shared" si="0"/>
        <v>147279.09153846154</v>
      </c>
    </row>
    <row r="47" spans="1:4" x14ac:dyDescent="0.3">
      <c r="A47" t="s">
        <v>46</v>
      </c>
      <c r="B47">
        <f>SUMIFS([1]!Table6[Total Number of Investments], [1]!Table6[State], A47, [1]!Table6[Year], 2018)</f>
        <v>32</v>
      </c>
      <c r="C47" s="2">
        <f>SUMIFS([1]!Table6[Total Amount of Assistance], [1]!Table6[State], A47, [1]!Table6[Year], 2018)</f>
        <v>4054255.06</v>
      </c>
      <c r="D47" s="4">
        <f t="shared" si="0"/>
        <v>126695.470625</v>
      </c>
    </row>
    <row r="48" spans="1:4" x14ac:dyDescent="0.3">
      <c r="A48" t="s">
        <v>47</v>
      </c>
      <c r="B48">
        <f>SUMIFS([1]!Table6[Total Number of Investments], [1]!Table6[State], A48, [1]!Table6[Year], 2018)</f>
        <v>172</v>
      </c>
      <c r="C48" s="2">
        <f>SUMIFS([1]!Table6[Total Amount of Assistance], [1]!Table6[State], A48, [1]!Table6[Year], 2018)</f>
        <v>46412452.879999995</v>
      </c>
      <c r="D48" s="4">
        <f t="shared" si="0"/>
        <v>269839.84232558135</v>
      </c>
    </row>
    <row r="49" spans="1:4" x14ac:dyDescent="0.3">
      <c r="A49" t="s">
        <v>48</v>
      </c>
      <c r="B49">
        <f>SUMIFS([1]!Table6[Total Number of Investments], [1]!Table6[State], A49, [1]!Table6[Year], 2018)</f>
        <v>32</v>
      </c>
      <c r="C49" s="2">
        <f>SUMIFS([1]!Table6[Total Amount of Assistance], [1]!Table6[State], A49, [1]!Table6[Year], 2018)</f>
        <v>720368.91999999993</v>
      </c>
      <c r="D49" s="4">
        <f t="shared" si="0"/>
        <v>22511.528749999998</v>
      </c>
    </row>
    <row r="50" spans="1:4" x14ac:dyDescent="0.3">
      <c r="A50" t="s">
        <v>49</v>
      </c>
      <c r="B50">
        <f>SUMIFS([1]!Table6[Total Number of Investments], [1]!Table6[State], A50, [1]!Table6[Year], 2018)</f>
        <v>23</v>
      </c>
      <c r="C50" s="2">
        <f>SUMIFS([1]!Table6[Total Amount of Assistance], [1]!Table6[State], A50, [1]!Table6[Year], 2018)</f>
        <v>494194.94</v>
      </c>
      <c r="D50" s="4">
        <f t="shared" si="0"/>
        <v>21486.736521739131</v>
      </c>
    </row>
    <row r="51" spans="1:4" x14ac:dyDescent="0.3">
      <c r="A51" t="s">
        <v>50</v>
      </c>
      <c r="B51">
        <f>SUMIFS([1]!Table6[Total Number of Investments], [1]!Table6[State], A51, [1]!Table6[Year], 2018)</f>
        <v>36</v>
      </c>
      <c r="C51" s="2">
        <f>SUMIFS([1]!Table6[Total Amount of Assistance], [1]!Table6[State], A51, [1]!Table6[Year], 2018)</f>
        <v>2735661.69</v>
      </c>
      <c r="D51" s="4">
        <f t="shared" si="0"/>
        <v>75990.602499999994</v>
      </c>
    </row>
    <row r="52" spans="1:4" x14ac:dyDescent="0.3">
      <c r="A52" t="s">
        <v>51</v>
      </c>
      <c r="B52">
        <f>SUMIFS([1]!Table6[Total Number of Investments], [1]!Table6[State], A52, [1]!Table6[Year], 2018)</f>
        <v>88</v>
      </c>
      <c r="C52" s="2">
        <f>SUMIFS([1]!Table6[Total Amount of Assistance], [1]!Table6[State], A52, [1]!Table6[Year], 2018)</f>
        <v>2986028.5199999996</v>
      </c>
      <c r="D52" s="4">
        <f t="shared" si="0"/>
        <v>33932.142272727266</v>
      </c>
    </row>
    <row r="53" spans="1:4" x14ac:dyDescent="0.3">
      <c r="A53" t="s">
        <v>52</v>
      </c>
      <c r="B53">
        <f>SUMIFS([1]!Table6[Total Number of Investments], [1]!Table6[State], A53, [1]!Table6[Year], 2018)</f>
        <v>48</v>
      </c>
      <c r="C53" s="2">
        <f>SUMIFS([1]!Table6[Total Amount of Assistance], [1]!Table6[State], A53, [1]!Table6[Year], 2018)</f>
        <v>964510.05000000016</v>
      </c>
      <c r="D53" s="4">
        <f t="shared" si="0"/>
        <v>20093.959375000002</v>
      </c>
    </row>
    <row r="54" spans="1:4" x14ac:dyDescent="0.3">
      <c r="A54" t="s">
        <v>53</v>
      </c>
      <c r="B54">
        <f>SUMIFS([1]!Table6[Total Number of Investments], [1]!Table6[State], A54, [1]!Table6[Year], 2018)</f>
        <v>76</v>
      </c>
      <c r="C54" s="2">
        <f>SUMIFS([1]!Table6[Total Amount of Assistance], [1]!Table6[State], A54, [1]!Table6[Year], 2018)</f>
        <v>2145086.5500000003</v>
      </c>
      <c r="D54" s="4">
        <f t="shared" si="0"/>
        <v>28224.823026315793</v>
      </c>
    </row>
    <row r="55" spans="1:4" x14ac:dyDescent="0.3">
      <c r="A55" t="s">
        <v>54</v>
      </c>
      <c r="B55">
        <f>SUMIFS([1]!Table6[Total Number of Investments], [1]!Table6[State], A55, [1]!Table6[Year], 2018)</f>
        <v>41</v>
      </c>
      <c r="C55" s="2">
        <f>SUMIFS([1]!Table6[Total Amount of Assistance], [1]!Table6[State], A55, [1]!Table6[Year], 2018)</f>
        <v>559264.39999999991</v>
      </c>
      <c r="D55" s="4">
        <f t="shared" si="0"/>
        <v>13640.595121951217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4755-7C3D-4E07-8792-95BA543C44DB}">
  <dimension ref="A1:D55"/>
  <sheetViews>
    <sheetView workbookViewId="0">
      <selection activeCell="B5" sqref="B5:B55"/>
    </sheetView>
  </sheetViews>
  <sheetFormatPr defaultRowHeight="14.4" x14ac:dyDescent="0.3"/>
  <cols>
    <col min="2" max="2" width="25.109375" bestFit="1" customWidth="1"/>
    <col min="3" max="3" width="23.5546875" bestFit="1" customWidth="1"/>
    <col min="4" max="4" width="12.5546875" bestFit="1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3" t="s">
        <v>55</v>
      </c>
    </row>
    <row r="5" spans="1:4" x14ac:dyDescent="0.3">
      <c r="A5" t="s">
        <v>4</v>
      </c>
      <c r="B5">
        <f>SUMIFS([1]!Table6[Total Number of Investments], [1]!Table6[State], A5, [1]!Table6[Year], 2019)</f>
        <v>56</v>
      </c>
      <c r="C5" s="2">
        <f>SUMIFS([1]!Table6[Total Amount of Assistance], [1]!Table6[State], A5, [1]!Table6[Year], 2019)</f>
        <v>1087942.3</v>
      </c>
      <c r="D5" s="4">
        <f>C5/B5</f>
        <v>19427.541071428572</v>
      </c>
    </row>
    <row r="6" spans="1:4" x14ac:dyDescent="0.3">
      <c r="A6" t="s">
        <v>5</v>
      </c>
      <c r="B6">
        <f>SUMIFS([1]!Table6[Total Number of Investments], [1]!Table6[State], A6, [1]!Table6[Year], 2019)</f>
        <v>31</v>
      </c>
      <c r="C6" s="2">
        <f>SUMIFS([1]!Table6[Total Amount of Assistance], [1]!Table6[State], A6, [1]!Table6[Year], 2019)</f>
        <v>13715413.750000002</v>
      </c>
      <c r="D6" s="4">
        <f t="shared" ref="D6:D55" si="0">C6/B6</f>
        <v>442432.70161290327</v>
      </c>
    </row>
    <row r="7" spans="1:4" x14ac:dyDescent="0.3">
      <c r="A7" t="s">
        <v>6</v>
      </c>
      <c r="B7">
        <f>SUMIFS([1]!Table6[Total Number of Investments], [1]!Table6[State], A7, [1]!Table6[Year], 2019)</f>
        <v>18</v>
      </c>
      <c r="C7" s="2">
        <f>SUMIFS([1]!Table6[Total Amount of Assistance], [1]!Table6[State], A7, [1]!Table6[Year], 2019)</f>
        <v>95189794.540000007</v>
      </c>
      <c r="D7" s="4">
        <f t="shared" si="0"/>
        <v>5288321.9188888893</v>
      </c>
    </row>
    <row r="8" spans="1:4" x14ac:dyDescent="0.3">
      <c r="A8" t="s">
        <v>7</v>
      </c>
      <c r="B8">
        <f>SUMIFS([1]!Table6[Total Number of Investments], [1]!Table6[State], A8, [1]!Table6[Year], 2019)</f>
        <v>256</v>
      </c>
      <c r="C8" s="2">
        <f>SUMIFS([1]!Table6[Total Amount of Assistance], [1]!Table6[State], A8, [1]!Table6[Year], 2019)</f>
        <v>61558493.25</v>
      </c>
      <c r="D8" s="4">
        <f t="shared" si="0"/>
        <v>240462.8642578125</v>
      </c>
    </row>
    <row r="9" spans="1:4" x14ac:dyDescent="0.3">
      <c r="A9" t="s">
        <v>8</v>
      </c>
      <c r="B9">
        <f>SUMIFS([1]!Table6[Total Number of Investments], [1]!Table6[State], A9, [1]!Table6[Year], 2019)</f>
        <v>504</v>
      </c>
      <c r="C9" s="2">
        <f>SUMIFS([1]!Table6[Total Amount of Assistance], [1]!Table6[State], A9, [1]!Table6[Year], 2019)</f>
        <v>157057008.08000007</v>
      </c>
      <c r="D9" s="4">
        <f t="shared" si="0"/>
        <v>311621.04777777795</v>
      </c>
    </row>
    <row r="10" spans="1:4" x14ac:dyDescent="0.3">
      <c r="A10" t="s">
        <v>9</v>
      </c>
      <c r="B10">
        <f>SUMIFS([1]!Table6[Total Number of Investments], [1]!Table6[State], A10, [1]!Table6[Year], 2019)</f>
        <v>31</v>
      </c>
      <c r="C10" s="2">
        <f>SUMIFS([1]!Table6[Total Amount of Assistance], [1]!Table6[State], A10, [1]!Table6[Year], 2019)</f>
        <v>10631677.679999998</v>
      </c>
      <c r="D10" s="4">
        <f t="shared" si="0"/>
        <v>342957.34451612894</v>
      </c>
    </row>
    <row r="11" spans="1:4" x14ac:dyDescent="0.3">
      <c r="A11" t="s">
        <v>10</v>
      </c>
      <c r="B11">
        <f>SUMIFS([1]!Table6[Total Number of Investments], [1]!Table6[State], A11, [1]!Table6[Year], 2019)</f>
        <v>21</v>
      </c>
      <c r="C11" s="2">
        <f>SUMIFS([1]!Table6[Total Amount of Assistance], [1]!Table6[State], A11, [1]!Table6[Year], 2019)</f>
        <v>1460564.9899999998</v>
      </c>
      <c r="D11" s="4">
        <f t="shared" si="0"/>
        <v>69550.713809523804</v>
      </c>
    </row>
    <row r="12" spans="1:4" x14ac:dyDescent="0.3">
      <c r="A12" t="s">
        <v>11</v>
      </c>
      <c r="B12">
        <f>SUMIFS([1]!Table6[Total Number of Investments], [1]!Table6[State], A12, [1]!Table6[Year], 2019)</f>
        <v>41</v>
      </c>
      <c r="C12" s="2">
        <f>SUMIFS([1]!Table6[Total Amount of Assistance], [1]!Table6[State], A12, [1]!Table6[Year], 2019)</f>
        <v>1564542.18</v>
      </c>
      <c r="D12" s="4">
        <f t="shared" si="0"/>
        <v>38159.565365853654</v>
      </c>
    </row>
    <row r="13" spans="1:4" x14ac:dyDescent="0.3">
      <c r="A13" t="s">
        <v>12</v>
      </c>
      <c r="B13">
        <f>SUMIFS([1]!Table6[Total Number of Investments], [1]!Table6[State], A13, [1]!Table6[Year], 2019)</f>
        <v>0</v>
      </c>
      <c r="C13" s="2">
        <f>SUMIFS([1]!Table6[Total Amount of Assistance], [1]!Table6[State], A13, [1]!Table6[Year], 2019)</f>
        <v>0</v>
      </c>
      <c r="D13" s="4" t="e">
        <f t="shared" si="0"/>
        <v>#DIV/0!</v>
      </c>
    </row>
    <row r="14" spans="1:4" x14ac:dyDescent="0.3">
      <c r="A14" t="s">
        <v>13</v>
      </c>
      <c r="B14">
        <f>SUMIFS([1]!Table6[Total Number of Investments], [1]!Table6[State], A14, [1]!Table6[Year], 2019)</f>
        <v>36</v>
      </c>
      <c r="C14" s="2">
        <f>SUMIFS([1]!Table6[Total Amount of Assistance], [1]!Table6[State], A14, [1]!Table6[Year], 2019)</f>
        <v>53144784.210000001</v>
      </c>
      <c r="D14" s="4">
        <f t="shared" si="0"/>
        <v>1476244.0058333334</v>
      </c>
    </row>
    <row r="15" spans="1:4" x14ac:dyDescent="0.3">
      <c r="A15" t="s">
        <v>14</v>
      </c>
      <c r="B15">
        <f>SUMIFS([1]!Table6[Total Number of Investments], [1]!Table6[State], A15, [1]!Table6[Year], 2019)</f>
        <v>161</v>
      </c>
      <c r="C15" s="2">
        <f>SUMIFS([1]!Table6[Total Amount of Assistance], [1]!Table6[State], A15, [1]!Table6[Year], 2019)</f>
        <v>2575790.5300000003</v>
      </c>
      <c r="D15" s="4">
        <f t="shared" si="0"/>
        <v>15998.69894409938</v>
      </c>
    </row>
    <row r="16" spans="1:4" x14ac:dyDescent="0.3">
      <c r="A16" t="s">
        <v>15</v>
      </c>
      <c r="B16">
        <f>SUMIFS([1]!Table6[Total Number of Investments], [1]!Table6[State], A16, [1]!Table6[Year], 2019)</f>
        <v>13</v>
      </c>
      <c r="C16" s="2">
        <f>SUMIFS([1]!Table6[Total Amount of Assistance], [1]!Table6[State], A16, [1]!Table6[Year], 2019)</f>
        <v>329770.94</v>
      </c>
      <c r="D16" s="4">
        <f t="shared" si="0"/>
        <v>25366.995384615384</v>
      </c>
    </row>
    <row r="17" spans="1:4" x14ac:dyDescent="0.3">
      <c r="A17" t="s">
        <v>16</v>
      </c>
      <c r="B17">
        <f>SUMIFS([1]!Table6[Total Number of Investments], [1]!Table6[State], A17, [1]!Table6[Year], 2019)</f>
        <v>34</v>
      </c>
      <c r="C17" s="2">
        <f>SUMIFS([1]!Table6[Total Amount of Assistance], [1]!Table6[State], A17, [1]!Table6[Year], 2019)</f>
        <v>898911.05999999994</v>
      </c>
      <c r="D17" s="4">
        <f t="shared" si="0"/>
        <v>26438.560588235294</v>
      </c>
    </row>
    <row r="18" spans="1:4" x14ac:dyDescent="0.3">
      <c r="A18" t="s">
        <v>17</v>
      </c>
      <c r="B18">
        <f>SUMIFS([1]!Table6[Total Number of Investments], [1]!Table6[State], A18, [1]!Table6[Year], 2019)</f>
        <v>80</v>
      </c>
      <c r="C18" s="2">
        <f>SUMIFS([1]!Table6[Total Amount of Assistance], [1]!Table6[State], A18, [1]!Table6[Year], 2019)</f>
        <v>11324276.199999999</v>
      </c>
      <c r="D18" s="4">
        <f t="shared" si="0"/>
        <v>141553.45249999998</v>
      </c>
    </row>
    <row r="19" spans="1:4" x14ac:dyDescent="0.3">
      <c r="A19" t="s">
        <v>18</v>
      </c>
      <c r="B19">
        <f>SUMIFS([1]!Table6[Total Number of Investments], [1]!Table6[State], A19, [1]!Table6[Year], 2019)</f>
        <v>52</v>
      </c>
      <c r="C19" s="2">
        <f>SUMIFS([1]!Table6[Total Amount of Assistance], [1]!Table6[State], A19, [1]!Table6[Year], 2019)</f>
        <v>1595944.94</v>
      </c>
      <c r="D19" s="4">
        <f t="shared" si="0"/>
        <v>30691.248846153845</v>
      </c>
    </row>
    <row r="20" spans="1:4" x14ac:dyDescent="0.3">
      <c r="A20" t="s">
        <v>19</v>
      </c>
      <c r="B20">
        <f>SUMIFS([1]!Table6[Total Number of Investments], [1]!Table6[State], A20, [1]!Table6[Year], 2019)</f>
        <v>110</v>
      </c>
      <c r="C20" s="2">
        <f>SUMIFS([1]!Table6[Total Amount of Assistance], [1]!Table6[State], A20, [1]!Table6[Year], 2019)</f>
        <v>2911691.5799999991</v>
      </c>
      <c r="D20" s="4">
        <f t="shared" si="0"/>
        <v>26469.923454545446</v>
      </c>
    </row>
    <row r="21" spans="1:4" x14ac:dyDescent="0.3">
      <c r="A21" t="s">
        <v>20</v>
      </c>
      <c r="B21">
        <f>SUMIFS([1]!Table6[Total Number of Investments], [1]!Table6[State], A21, [1]!Table6[Year], 2019)</f>
        <v>32</v>
      </c>
      <c r="C21" s="2">
        <f>SUMIFS([1]!Table6[Total Amount of Assistance], [1]!Table6[State], A21, [1]!Table6[Year], 2019)</f>
        <v>981378.8200000003</v>
      </c>
      <c r="D21" s="4">
        <f t="shared" si="0"/>
        <v>30668.088125000009</v>
      </c>
    </row>
    <row r="22" spans="1:4" x14ac:dyDescent="0.3">
      <c r="A22" t="s">
        <v>21</v>
      </c>
      <c r="B22">
        <f>SUMIFS([1]!Table6[Total Number of Investments], [1]!Table6[State], A22, [1]!Table6[Year], 2019)</f>
        <v>70</v>
      </c>
      <c r="C22" s="2">
        <f>SUMIFS([1]!Table6[Total Amount of Assistance], [1]!Table6[State], A22, [1]!Table6[Year], 2019)</f>
        <v>1321982.2000000002</v>
      </c>
      <c r="D22" s="4">
        <f t="shared" si="0"/>
        <v>18885.460000000003</v>
      </c>
    </row>
    <row r="23" spans="1:4" x14ac:dyDescent="0.3">
      <c r="A23" t="s">
        <v>22</v>
      </c>
      <c r="B23">
        <f>SUMIFS([1]!Table6[Total Number of Investments], [1]!Table6[State], A23, [1]!Table6[Year], 2019)</f>
        <v>52</v>
      </c>
      <c r="C23" s="2">
        <f>SUMIFS([1]!Table6[Total Amount of Assistance], [1]!Table6[State], A23, [1]!Table6[Year], 2019)</f>
        <v>250831679.50999999</v>
      </c>
      <c r="D23" s="4">
        <f t="shared" si="0"/>
        <v>4823686.1444230769</v>
      </c>
    </row>
    <row r="24" spans="1:4" x14ac:dyDescent="0.3">
      <c r="A24" t="s">
        <v>23</v>
      </c>
      <c r="B24">
        <f>SUMIFS([1]!Table6[Total Number of Investments], [1]!Table6[State], A24, [1]!Table6[Year], 2019)</f>
        <v>40</v>
      </c>
      <c r="C24" s="2">
        <f>SUMIFS([1]!Table6[Total Amount of Assistance], [1]!Table6[State], A24, [1]!Table6[Year], 2019)</f>
        <v>1065768.3799999999</v>
      </c>
      <c r="D24" s="4">
        <f t="shared" si="0"/>
        <v>26644.209499999997</v>
      </c>
    </row>
    <row r="25" spans="1:4" x14ac:dyDescent="0.3">
      <c r="A25" t="s">
        <v>24</v>
      </c>
      <c r="B25">
        <f>SUMIFS([1]!Table6[Total Number of Investments], [1]!Table6[State], A25, [1]!Table6[Year], 2019)</f>
        <v>75</v>
      </c>
      <c r="C25" s="2">
        <f>SUMIFS([1]!Table6[Total Amount of Assistance], [1]!Table6[State], A25, [1]!Table6[Year], 2019)</f>
        <v>1728849.3800000001</v>
      </c>
      <c r="D25" s="4">
        <f t="shared" si="0"/>
        <v>23051.325066666668</v>
      </c>
    </row>
    <row r="26" spans="1:4" x14ac:dyDescent="0.3">
      <c r="A26" t="s">
        <v>25</v>
      </c>
      <c r="B26">
        <f>SUMIFS([1]!Table6[Total Number of Investments], [1]!Table6[State], A26, [1]!Table6[Year], 2019)</f>
        <v>30</v>
      </c>
      <c r="C26" s="2">
        <f>SUMIFS([1]!Table6[Total Amount of Assistance], [1]!Table6[State], A26, [1]!Table6[Year], 2019)</f>
        <v>1920130.2499999998</v>
      </c>
      <c r="D26" s="4">
        <f t="shared" si="0"/>
        <v>64004.34166666666</v>
      </c>
    </row>
    <row r="27" spans="1:4" x14ac:dyDescent="0.3">
      <c r="A27" t="s">
        <v>26</v>
      </c>
      <c r="B27">
        <f>SUMIFS([1]!Table6[Total Number of Investments], [1]!Table6[State], A27, [1]!Table6[Year], 2019)</f>
        <v>61</v>
      </c>
      <c r="C27" s="2">
        <f>SUMIFS([1]!Table6[Total Amount of Assistance], [1]!Table6[State], A27, [1]!Table6[Year], 2019)</f>
        <v>2352787.13</v>
      </c>
      <c r="D27" s="4">
        <f t="shared" si="0"/>
        <v>38570.280819672131</v>
      </c>
    </row>
    <row r="28" spans="1:4" x14ac:dyDescent="0.3">
      <c r="A28" t="s">
        <v>27</v>
      </c>
      <c r="B28">
        <f>SUMIFS([1]!Table6[Total Number of Investments], [1]!Table6[State], A28, [1]!Table6[Year], 2019)</f>
        <v>130</v>
      </c>
      <c r="C28" s="2">
        <f>SUMIFS([1]!Table6[Total Amount of Assistance], [1]!Table6[State], A28, [1]!Table6[Year], 2019)</f>
        <v>29700905.280000001</v>
      </c>
      <c r="D28" s="4">
        <f t="shared" si="0"/>
        <v>228468.50215384617</v>
      </c>
    </row>
    <row r="29" spans="1:4" x14ac:dyDescent="0.3">
      <c r="A29" t="s">
        <v>28</v>
      </c>
      <c r="B29">
        <f>SUMIFS([1]!Table6[Total Number of Investments], [1]!Table6[State], A29, [1]!Table6[Year], 2019)</f>
        <v>249</v>
      </c>
      <c r="C29" s="2">
        <f>SUMIFS([1]!Table6[Total Amount of Assistance], [1]!Table6[State], A29, [1]!Table6[Year], 2019)</f>
        <v>4607851.0500000007</v>
      </c>
      <c r="D29" s="4">
        <f t="shared" si="0"/>
        <v>18505.425903614461</v>
      </c>
    </row>
    <row r="30" spans="1:4" x14ac:dyDescent="0.3">
      <c r="A30" t="s">
        <v>29</v>
      </c>
      <c r="B30">
        <f>SUMIFS([1]!Table6[Total Number of Investments], [1]!Table6[State], A30, [1]!Table6[Year], 2019)</f>
        <v>182</v>
      </c>
      <c r="C30" s="2">
        <f>SUMIFS([1]!Table6[Total Amount of Assistance], [1]!Table6[State], A30, [1]!Table6[Year], 2019)</f>
        <v>3765057.1799999997</v>
      </c>
      <c r="D30" s="4">
        <f t="shared" si="0"/>
        <v>20687.127362637362</v>
      </c>
    </row>
    <row r="31" spans="1:4" x14ac:dyDescent="0.3">
      <c r="A31" t="s">
        <v>30</v>
      </c>
      <c r="B31">
        <f>SUMIFS([1]!Table6[Total Number of Investments], [1]!Table6[State], A31, [1]!Table6[Year], 2019)</f>
        <v>33</v>
      </c>
      <c r="C31" s="2">
        <f>SUMIFS([1]!Table6[Total Amount of Assistance], [1]!Table6[State], A31, [1]!Table6[Year], 2019)</f>
        <v>665528.25</v>
      </c>
      <c r="D31" s="4">
        <f t="shared" si="0"/>
        <v>20167.522727272728</v>
      </c>
    </row>
    <row r="32" spans="1:4" x14ac:dyDescent="0.3">
      <c r="A32" t="s">
        <v>31</v>
      </c>
      <c r="B32">
        <f>SUMIFS([1]!Table6[Total Number of Investments], [1]!Table6[State], A32, [1]!Table6[Year], 2019)</f>
        <v>123</v>
      </c>
      <c r="C32" s="2">
        <f>SUMIFS([1]!Table6[Total Amount of Assistance], [1]!Table6[State], A32, [1]!Table6[Year], 2019)</f>
        <v>1865828.6300000004</v>
      </c>
      <c r="D32" s="4">
        <f t="shared" si="0"/>
        <v>15169.338455284556</v>
      </c>
    </row>
    <row r="33" spans="1:4" x14ac:dyDescent="0.3">
      <c r="A33" t="s">
        <v>32</v>
      </c>
      <c r="B33">
        <f>SUMIFS([1]!Table6[Total Number of Investments], [1]!Table6[State], A33, [1]!Table6[Year], 2019)</f>
        <v>7</v>
      </c>
      <c r="C33" s="2">
        <f>SUMIFS([1]!Table6[Total Amount of Assistance], [1]!Table6[State], A33, [1]!Table6[Year], 2019)</f>
        <v>187865.21</v>
      </c>
      <c r="D33" s="4">
        <f t="shared" si="0"/>
        <v>26837.88714285714</v>
      </c>
    </row>
    <row r="34" spans="1:4" x14ac:dyDescent="0.3">
      <c r="A34" t="s">
        <v>33</v>
      </c>
      <c r="B34">
        <f>SUMIFS([1]!Table6[Total Number of Investments], [1]!Table6[State], A34, [1]!Table6[Year], 2019)</f>
        <v>25</v>
      </c>
      <c r="C34" s="2">
        <f>SUMIFS([1]!Table6[Total Amount of Assistance], [1]!Table6[State], A34, [1]!Table6[Year], 2019)</f>
        <v>755111.31</v>
      </c>
      <c r="D34" s="4">
        <f t="shared" si="0"/>
        <v>30204.452400000002</v>
      </c>
    </row>
    <row r="35" spans="1:4" x14ac:dyDescent="0.3">
      <c r="A35" t="s">
        <v>34</v>
      </c>
      <c r="B35">
        <f>SUMIFS([1]!Table6[Total Number of Investments], [1]!Table6[State], A35, [1]!Table6[Year], 2019)</f>
        <v>15</v>
      </c>
      <c r="C35" s="2">
        <f>SUMIFS([1]!Table6[Total Amount of Assistance], [1]!Table6[State], A35, [1]!Table6[Year], 2019)</f>
        <v>312046.57999999996</v>
      </c>
      <c r="D35" s="4">
        <f t="shared" si="0"/>
        <v>20803.105333333329</v>
      </c>
    </row>
    <row r="36" spans="1:4" x14ac:dyDescent="0.3">
      <c r="A36" t="s">
        <v>35</v>
      </c>
      <c r="B36">
        <f>SUMIFS([1]!Table6[Total Number of Investments], [1]!Table6[State], A36, [1]!Table6[Year], 2019)</f>
        <v>12</v>
      </c>
      <c r="C36" s="2">
        <f>SUMIFS([1]!Table6[Total Amount of Assistance], [1]!Table6[State], A36, [1]!Table6[Year], 2019)</f>
        <v>1502286</v>
      </c>
      <c r="D36" s="4">
        <f t="shared" si="0"/>
        <v>125190.5</v>
      </c>
    </row>
    <row r="37" spans="1:4" x14ac:dyDescent="0.3">
      <c r="A37" t="s">
        <v>36</v>
      </c>
      <c r="B37">
        <f>SUMIFS([1]!Table6[Total Number of Investments], [1]!Table6[State], A37, [1]!Table6[Year], 2019)</f>
        <v>71</v>
      </c>
      <c r="C37" s="2">
        <f>SUMIFS([1]!Table6[Total Amount of Assistance], [1]!Table6[State], A37, [1]!Table6[Year], 2019)</f>
        <v>30577699.900000002</v>
      </c>
      <c r="D37" s="4">
        <f t="shared" si="0"/>
        <v>430671.82957746484</v>
      </c>
    </row>
    <row r="38" spans="1:4" x14ac:dyDescent="0.3">
      <c r="A38" t="s">
        <v>37</v>
      </c>
      <c r="B38">
        <f>SUMIFS([1]!Table6[Total Number of Investments], [1]!Table6[State], A38, [1]!Table6[Year], 2019)</f>
        <v>107</v>
      </c>
      <c r="C38" s="2">
        <f>SUMIFS([1]!Table6[Total Amount of Assistance], [1]!Table6[State], A38, [1]!Table6[Year], 2019)</f>
        <v>127403512.50999998</v>
      </c>
      <c r="D38" s="4">
        <f t="shared" si="0"/>
        <v>1190687.032803738</v>
      </c>
    </row>
    <row r="39" spans="1:4" x14ac:dyDescent="0.3">
      <c r="A39" t="s">
        <v>38</v>
      </c>
      <c r="B39">
        <f>SUMIFS([1]!Table6[Total Number of Investments], [1]!Table6[State], A39, [1]!Table6[Year], 2019)</f>
        <v>18</v>
      </c>
      <c r="C39" s="2">
        <f>SUMIFS([1]!Table6[Total Amount of Assistance], [1]!Table6[State], A39, [1]!Table6[Year], 2019)</f>
        <v>756832.5</v>
      </c>
      <c r="D39" s="4">
        <f t="shared" si="0"/>
        <v>42046.25</v>
      </c>
    </row>
    <row r="40" spans="1:4" x14ac:dyDescent="0.3">
      <c r="A40" t="s">
        <v>39</v>
      </c>
      <c r="B40">
        <f>SUMIFS([1]!Table6[Total Number of Investments], [1]!Table6[State], A40, [1]!Table6[Year], 2019)</f>
        <v>46</v>
      </c>
      <c r="C40" s="2">
        <f>SUMIFS([1]!Table6[Total Amount of Assistance], [1]!Table6[State], A40, [1]!Table6[Year], 2019)</f>
        <v>2838747.4800000004</v>
      </c>
      <c r="D40" s="4">
        <f t="shared" si="0"/>
        <v>61711.901739130444</v>
      </c>
    </row>
    <row r="41" spans="1:4" x14ac:dyDescent="0.3">
      <c r="A41" t="s">
        <v>40</v>
      </c>
      <c r="B41">
        <f>SUMIFS([1]!Table6[Total Number of Investments], [1]!Table6[State], A41, [1]!Table6[Year], 2019)</f>
        <v>7</v>
      </c>
      <c r="C41" s="2">
        <f>SUMIFS([1]!Table6[Total Amount of Assistance], [1]!Table6[State], A41, [1]!Table6[Year], 2019)</f>
        <v>629846.68999999994</v>
      </c>
      <c r="D41" s="4">
        <f t="shared" si="0"/>
        <v>89978.098571428563</v>
      </c>
    </row>
    <row r="42" spans="1:4" x14ac:dyDescent="0.3">
      <c r="A42" t="s">
        <v>41</v>
      </c>
      <c r="B42">
        <f>SUMIFS([1]!Table6[Total Number of Investments], [1]!Table6[State], A42, [1]!Table6[Year], 2019)</f>
        <v>43</v>
      </c>
      <c r="C42" s="2">
        <f>SUMIFS([1]!Table6[Total Amount of Assistance], [1]!Table6[State], A42, [1]!Table6[Year], 2019)</f>
        <v>13340912.079999998</v>
      </c>
      <c r="D42" s="4">
        <f t="shared" si="0"/>
        <v>310253.76930232556</v>
      </c>
    </row>
    <row r="43" spans="1:4" x14ac:dyDescent="0.3">
      <c r="A43" t="s">
        <v>42</v>
      </c>
      <c r="B43">
        <f>SUMIFS([1]!Table6[Total Number of Investments], [1]!Table6[State], A43, [1]!Table6[Year], 2019)</f>
        <v>55</v>
      </c>
      <c r="C43" s="2">
        <f>SUMIFS([1]!Table6[Total Amount of Assistance], [1]!Table6[State], A43, [1]!Table6[Year], 2019)</f>
        <v>2949587.1199999996</v>
      </c>
      <c r="D43" s="4">
        <f t="shared" si="0"/>
        <v>53628.856727272723</v>
      </c>
    </row>
    <row r="44" spans="1:4" x14ac:dyDescent="0.3">
      <c r="A44" t="s">
        <v>43</v>
      </c>
      <c r="B44">
        <f>SUMIFS([1]!Table6[Total Number of Investments], [1]!Table6[State], A44, [1]!Table6[Year], 2019)</f>
        <v>16</v>
      </c>
      <c r="C44" s="2">
        <f>SUMIFS([1]!Table6[Total Amount of Assistance], [1]!Table6[State], A44, [1]!Table6[Year], 2019)</f>
        <v>8836637.4699999988</v>
      </c>
      <c r="D44" s="4">
        <f t="shared" si="0"/>
        <v>552289.84187499993</v>
      </c>
    </row>
    <row r="45" spans="1:4" x14ac:dyDescent="0.3">
      <c r="A45" t="s">
        <v>44</v>
      </c>
      <c r="B45">
        <f>SUMIFS([1]!Table6[Total Number of Investments], [1]!Table6[State], A45, [1]!Table6[Year], 2019)</f>
        <v>46</v>
      </c>
      <c r="C45" s="2">
        <f>SUMIFS([1]!Table6[Total Amount of Assistance], [1]!Table6[State], A45, [1]!Table6[Year], 2019)</f>
        <v>53947685.809999995</v>
      </c>
      <c r="D45" s="4">
        <f t="shared" si="0"/>
        <v>1172775.7784782609</v>
      </c>
    </row>
    <row r="46" spans="1:4" x14ac:dyDescent="0.3">
      <c r="A46" t="s">
        <v>45</v>
      </c>
      <c r="B46">
        <f>SUMIFS([1]!Table6[Total Number of Investments], [1]!Table6[State], A46, [1]!Table6[Year], 2019)</f>
        <v>17</v>
      </c>
      <c r="C46" s="2">
        <f>SUMIFS([1]!Table6[Total Amount of Assistance], [1]!Table6[State], A46, [1]!Table6[Year], 2019)</f>
        <v>529557.52</v>
      </c>
      <c r="D46" s="4">
        <f t="shared" si="0"/>
        <v>31150.442352941176</v>
      </c>
    </row>
    <row r="47" spans="1:4" x14ac:dyDescent="0.3">
      <c r="A47" t="s">
        <v>46</v>
      </c>
      <c r="B47">
        <f>SUMIFS([1]!Table6[Total Number of Investments], [1]!Table6[State], A47, [1]!Table6[Year], 2019)</f>
        <v>61</v>
      </c>
      <c r="C47" s="2">
        <f>SUMIFS([1]!Table6[Total Amount of Assistance], [1]!Table6[State], A47, [1]!Table6[Year], 2019)</f>
        <v>7704269.4699999997</v>
      </c>
      <c r="D47" s="4">
        <f t="shared" si="0"/>
        <v>126299.49950819672</v>
      </c>
    </row>
    <row r="48" spans="1:4" x14ac:dyDescent="0.3">
      <c r="A48" t="s">
        <v>47</v>
      </c>
      <c r="B48">
        <f>SUMIFS([1]!Table6[Total Number of Investments], [1]!Table6[State], A48, [1]!Table6[Year], 2019)</f>
        <v>115</v>
      </c>
      <c r="C48" s="2">
        <f>SUMIFS([1]!Table6[Total Amount of Assistance], [1]!Table6[State], A48, [1]!Table6[Year], 2019)</f>
        <v>9791239.3900000006</v>
      </c>
      <c r="D48" s="4">
        <f t="shared" si="0"/>
        <v>85141.212086956526</v>
      </c>
    </row>
    <row r="49" spans="1:4" x14ac:dyDescent="0.3">
      <c r="A49" t="s">
        <v>48</v>
      </c>
      <c r="B49">
        <f>SUMIFS([1]!Table6[Total Number of Investments], [1]!Table6[State], A49, [1]!Table6[Year], 2019)</f>
        <v>16</v>
      </c>
      <c r="C49" s="2">
        <f>SUMIFS([1]!Table6[Total Amount of Assistance], [1]!Table6[State], A49, [1]!Table6[Year], 2019)</f>
        <v>431116.54000000004</v>
      </c>
      <c r="D49" s="4">
        <f t="shared" si="0"/>
        <v>26944.783750000002</v>
      </c>
    </row>
    <row r="50" spans="1:4" x14ac:dyDescent="0.3">
      <c r="A50" t="s">
        <v>49</v>
      </c>
      <c r="B50">
        <f>SUMIFS([1]!Table6[Total Number of Investments], [1]!Table6[State], A50, [1]!Table6[Year], 2019)</f>
        <v>27</v>
      </c>
      <c r="C50" s="2">
        <f>SUMIFS([1]!Table6[Total Amount of Assistance], [1]!Table6[State], A50, [1]!Table6[Year], 2019)</f>
        <v>1122050.46</v>
      </c>
      <c r="D50" s="4">
        <f t="shared" si="0"/>
        <v>41557.424444444441</v>
      </c>
    </row>
    <row r="51" spans="1:4" x14ac:dyDescent="0.3">
      <c r="A51" t="s">
        <v>50</v>
      </c>
      <c r="B51">
        <f>SUMIFS([1]!Table6[Total Number of Investments], [1]!Table6[State], A51, [1]!Table6[Year], 2019)</f>
        <v>33</v>
      </c>
      <c r="C51" s="2">
        <f>SUMIFS([1]!Table6[Total Amount of Assistance], [1]!Table6[State], A51, [1]!Table6[Year], 2019)</f>
        <v>4195486.88</v>
      </c>
      <c r="D51" s="4">
        <f t="shared" si="0"/>
        <v>127135.96606060606</v>
      </c>
    </row>
    <row r="52" spans="1:4" x14ac:dyDescent="0.3">
      <c r="A52" t="s">
        <v>51</v>
      </c>
      <c r="B52">
        <f>SUMIFS([1]!Table6[Total Number of Investments], [1]!Table6[State], A52, [1]!Table6[Year], 2019)</f>
        <v>69</v>
      </c>
      <c r="C52" s="2">
        <f>SUMIFS([1]!Table6[Total Amount of Assistance], [1]!Table6[State], A52, [1]!Table6[Year], 2019)</f>
        <v>18537740.739999998</v>
      </c>
      <c r="D52" s="4">
        <f t="shared" si="0"/>
        <v>268662.90927536227</v>
      </c>
    </row>
    <row r="53" spans="1:4" x14ac:dyDescent="0.3">
      <c r="A53" t="s">
        <v>52</v>
      </c>
      <c r="B53">
        <f>SUMIFS([1]!Table6[Total Number of Investments], [1]!Table6[State], A53, [1]!Table6[Year], 2019)</f>
        <v>48</v>
      </c>
      <c r="C53" s="2">
        <f>SUMIFS([1]!Table6[Total Amount of Assistance], [1]!Table6[State], A53, [1]!Table6[Year], 2019)</f>
        <v>927344.28</v>
      </c>
      <c r="D53" s="4">
        <f t="shared" si="0"/>
        <v>19319.672500000001</v>
      </c>
    </row>
    <row r="54" spans="1:4" x14ac:dyDescent="0.3">
      <c r="A54" t="s">
        <v>53</v>
      </c>
      <c r="B54">
        <f>SUMIFS([1]!Table6[Total Number of Investments], [1]!Table6[State], A54, [1]!Table6[Year], 2019)</f>
        <v>96</v>
      </c>
      <c r="C54" s="2">
        <f>SUMIFS([1]!Table6[Total Amount of Assistance], [1]!Table6[State], A54, [1]!Table6[Year], 2019)</f>
        <v>2884056.49</v>
      </c>
      <c r="D54" s="4">
        <f t="shared" si="0"/>
        <v>30042.25510416667</v>
      </c>
    </row>
    <row r="55" spans="1:4" x14ac:dyDescent="0.3">
      <c r="A55" t="s">
        <v>54</v>
      </c>
      <c r="B55">
        <f>SUMIFS([1]!Table6[Total Number of Investments], [1]!Table6[State], A55, [1]!Table6[Year], 2019)</f>
        <v>13</v>
      </c>
      <c r="C55" s="2">
        <f>SUMIFS([1]!Table6[Total Amount of Assistance], [1]!Table6[State], A55, [1]!Table6[Year], 2019)</f>
        <v>534015.82000000007</v>
      </c>
      <c r="D55" s="4">
        <f t="shared" si="0"/>
        <v>41078.140000000007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10D2-2808-4B08-BDE7-BCEE9BD9FD6C}">
  <dimension ref="A1:D55"/>
  <sheetViews>
    <sheetView tabSelected="1" workbookViewId="0">
      <selection activeCell="C5" sqref="C5:C55"/>
    </sheetView>
  </sheetViews>
  <sheetFormatPr defaultRowHeight="14.4" x14ac:dyDescent="0.3"/>
  <cols>
    <col min="2" max="2" width="25.109375" bestFit="1" customWidth="1"/>
    <col min="3" max="3" width="23.5546875" bestFit="1" customWidth="1"/>
    <col min="4" max="4" width="12.5546875" bestFit="1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3" t="s">
        <v>55</v>
      </c>
    </row>
    <row r="5" spans="1:4" x14ac:dyDescent="0.3">
      <c r="A5" t="s">
        <v>4</v>
      </c>
      <c r="B5">
        <f>SUMIFS([1]!Table6[Total Number of Investments], [1]!Table6[State], A5, [1]!Table6[Year], 2020)</f>
        <v>24</v>
      </c>
      <c r="C5" s="2">
        <f>SUMIFS([1]!Table6[Total Amount of Assistance], [1]!Table6[State], A5, [1]!Table6[Year], 2020)</f>
        <v>1080871.52</v>
      </c>
      <c r="D5" s="4">
        <f>C5/B5</f>
        <v>45036.313333333332</v>
      </c>
    </row>
    <row r="6" spans="1:4" x14ac:dyDescent="0.3">
      <c r="A6" t="s">
        <v>5</v>
      </c>
      <c r="B6">
        <f>SUMIFS([1]!Table6[Total Number of Investments], [1]!Table6[State], A6, [1]!Table6[Year], 2020)</f>
        <v>38</v>
      </c>
      <c r="C6" s="2">
        <f>SUMIFS([1]!Table6[Total Amount of Assistance], [1]!Table6[State], A6, [1]!Table6[Year], 2020)</f>
        <v>9583713.7899999991</v>
      </c>
      <c r="D6" s="4">
        <f t="shared" ref="D6:D55" si="0">C6/B6</f>
        <v>252202.9944736842</v>
      </c>
    </row>
    <row r="7" spans="1:4" x14ac:dyDescent="0.3">
      <c r="A7" t="s">
        <v>6</v>
      </c>
      <c r="B7">
        <f>SUMIFS([1]!Table6[Total Number of Investments], [1]!Table6[State], A7, [1]!Table6[Year], 2020)</f>
        <v>24</v>
      </c>
      <c r="C7" s="2">
        <f>SUMIFS([1]!Table6[Total Amount of Assistance], [1]!Table6[State], A7, [1]!Table6[Year], 2020)</f>
        <v>33899916.719999999</v>
      </c>
      <c r="D7" s="4">
        <f t="shared" si="0"/>
        <v>1412496.53</v>
      </c>
    </row>
    <row r="8" spans="1:4" x14ac:dyDescent="0.3">
      <c r="A8" t="s">
        <v>7</v>
      </c>
      <c r="B8">
        <f>SUMIFS([1]!Table6[Total Number of Investments], [1]!Table6[State], A8, [1]!Table6[Year], 2020)</f>
        <v>75</v>
      </c>
      <c r="C8" s="2">
        <f>SUMIFS([1]!Table6[Total Amount of Assistance], [1]!Table6[State], A8, [1]!Table6[Year], 2020)</f>
        <v>60792511.969999991</v>
      </c>
      <c r="D8" s="4">
        <f t="shared" si="0"/>
        <v>810566.82626666653</v>
      </c>
    </row>
    <row r="9" spans="1:4" x14ac:dyDescent="0.3">
      <c r="A9" t="s">
        <v>8</v>
      </c>
      <c r="B9">
        <f>SUMIFS([1]!Table6[Total Number of Investments], [1]!Table6[State], A9, [1]!Table6[Year], 2020)</f>
        <v>210</v>
      </c>
      <c r="C9" s="2">
        <f>SUMIFS([1]!Table6[Total Amount of Assistance], [1]!Table6[State], A9, [1]!Table6[Year], 2020)</f>
        <v>22923333.179999992</v>
      </c>
      <c r="D9" s="4">
        <f t="shared" si="0"/>
        <v>109158.72942857139</v>
      </c>
    </row>
    <row r="10" spans="1:4" x14ac:dyDescent="0.3">
      <c r="A10" t="s">
        <v>9</v>
      </c>
      <c r="B10">
        <f>SUMIFS([1]!Table6[Total Number of Investments], [1]!Table6[State], A10, [1]!Table6[Year], 2020)</f>
        <v>32</v>
      </c>
      <c r="C10" s="2">
        <f>SUMIFS([1]!Table6[Total Amount of Assistance], [1]!Table6[State], A10, [1]!Table6[Year], 2020)</f>
        <v>6191199.0300000003</v>
      </c>
      <c r="D10" s="4">
        <f t="shared" si="0"/>
        <v>193474.96968750001</v>
      </c>
    </row>
    <row r="11" spans="1:4" x14ac:dyDescent="0.3">
      <c r="A11" t="s">
        <v>10</v>
      </c>
      <c r="B11">
        <f>SUMIFS([1]!Table6[Total Number of Investments], [1]!Table6[State], A11, [1]!Table6[Year], 2020)</f>
        <v>9</v>
      </c>
      <c r="C11" s="2">
        <f>SUMIFS([1]!Table6[Total Amount of Assistance], [1]!Table6[State], A11, [1]!Table6[Year], 2020)</f>
        <v>483371.8</v>
      </c>
      <c r="D11" s="4">
        <f t="shared" si="0"/>
        <v>53707.977777777778</v>
      </c>
    </row>
    <row r="12" spans="1:4" x14ac:dyDescent="0.3">
      <c r="A12" t="s">
        <v>11</v>
      </c>
      <c r="B12">
        <f>SUMIFS([1]!Table6[Total Number of Investments], [1]!Table6[State], A12, [1]!Table6[Year], 2020)</f>
        <v>18</v>
      </c>
      <c r="C12" s="2">
        <f>SUMIFS([1]!Table6[Total Amount of Assistance], [1]!Table6[State], A12, [1]!Table6[Year], 2020)</f>
        <v>23587000</v>
      </c>
      <c r="D12" s="4">
        <f t="shared" si="0"/>
        <v>1310388.888888889</v>
      </c>
    </row>
    <row r="13" spans="1:4" x14ac:dyDescent="0.3">
      <c r="A13" t="s">
        <v>12</v>
      </c>
      <c r="B13">
        <f>SUMIFS([1]!Table6[Total Number of Investments], [1]!Table6[State], A13, [1]!Table6[Year], 2020)</f>
        <v>0</v>
      </c>
      <c r="C13" s="2">
        <f>SUMIFS([1]!Table6[Total Amount of Assistance], [1]!Table6[State], A13, [1]!Table6[Year], 2020)</f>
        <v>0</v>
      </c>
      <c r="D13" s="4" t="e">
        <f t="shared" si="0"/>
        <v>#DIV/0!</v>
      </c>
    </row>
    <row r="14" spans="1:4" x14ac:dyDescent="0.3">
      <c r="A14" t="s">
        <v>13</v>
      </c>
      <c r="B14">
        <f>SUMIFS([1]!Table6[Total Number of Investments], [1]!Table6[State], A14, [1]!Table6[Year], 2020)</f>
        <v>18</v>
      </c>
      <c r="C14" s="2">
        <f>SUMIFS([1]!Table6[Total Amount of Assistance], [1]!Table6[State], A14, [1]!Table6[Year], 2020)</f>
        <v>4871494.66</v>
      </c>
      <c r="D14" s="4">
        <f t="shared" si="0"/>
        <v>270638.59222222224</v>
      </c>
    </row>
    <row r="15" spans="1:4" x14ac:dyDescent="0.3">
      <c r="A15" t="s">
        <v>14</v>
      </c>
      <c r="B15">
        <f>SUMIFS([1]!Table6[Total Number of Investments], [1]!Table6[State], A15, [1]!Table6[Year], 2020)</f>
        <v>54</v>
      </c>
      <c r="C15" s="2">
        <f>SUMIFS([1]!Table6[Total Amount of Assistance], [1]!Table6[State], A15, [1]!Table6[Year], 2020)</f>
        <v>6625458.8599999994</v>
      </c>
      <c r="D15" s="4">
        <f t="shared" si="0"/>
        <v>122693.68259259258</v>
      </c>
    </row>
    <row r="16" spans="1:4" x14ac:dyDescent="0.3">
      <c r="A16" t="s">
        <v>15</v>
      </c>
      <c r="B16">
        <f>SUMIFS([1]!Table6[Total Number of Investments], [1]!Table6[State], A16, [1]!Table6[Year], 2020)</f>
        <v>19</v>
      </c>
      <c r="C16" s="2">
        <f>SUMIFS([1]!Table6[Total Amount of Assistance], [1]!Table6[State], A16, [1]!Table6[Year], 2020)</f>
        <v>1153848.9100000001</v>
      </c>
      <c r="D16" s="4">
        <f t="shared" si="0"/>
        <v>60728.890000000007</v>
      </c>
    </row>
    <row r="17" spans="1:4" x14ac:dyDescent="0.3">
      <c r="A17" t="s">
        <v>16</v>
      </c>
      <c r="B17">
        <f>SUMIFS([1]!Table6[Total Number of Investments], [1]!Table6[State], A17, [1]!Table6[Year], 2020)</f>
        <v>25</v>
      </c>
      <c r="C17" s="2">
        <f>SUMIFS([1]!Table6[Total Amount of Assistance], [1]!Table6[State], A17, [1]!Table6[Year], 2020)</f>
        <v>729000</v>
      </c>
      <c r="D17" s="4">
        <f t="shared" si="0"/>
        <v>29160</v>
      </c>
    </row>
    <row r="18" spans="1:4" x14ac:dyDescent="0.3">
      <c r="A18" t="s">
        <v>17</v>
      </c>
      <c r="B18">
        <f>SUMIFS([1]!Table6[Total Number of Investments], [1]!Table6[State], A18, [1]!Table6[Year], 2020)</f>
        <v>98</v>
      </c>
      <c r="C18" s="2">
        <f>SUMIFS([1]!Table6[Total Amount of Assistance], [1]!Table6[State], A18, [1]!Table6[Year], 2020)</f>
        <v>2290279.2400000002</v>
      </c>
      <c r="D18" s="4">
        <f t="shared" si="0"/>
        <v>23370.196326530615</v>
      </c>
    </row>
    <row r="19" spans="1:4" x14ac:dyDescent="0.3">
      <c r="A19" t="s">
        <v>18</v>
      </c>
      <c r="B19">
        <f>SUMIFS([1]!Table6[Total Number of Investments], [1]!Table6[State], A19, [1]!Table6[Year], 2020)</f>
        <v>45</v>
      </c>
      <c r="C19" s="2">
        <f>SUMIFS([1]!Table6[Total Amount of Assistance], [1]!Table6[State], A19, [1]!Table6[Year], 2020)</f>
        <v>8465587.870000001</v>
      </c>
      <c r="D19" s="4">
        <f t="shared" si="0"/>
        <v>188124.1748888889</v>
      </c>
    </row>
    <row r="20" spans="1:4" x14ac:dyDescent="0.3">
      <c r="A20" t="s">
        <v>19</v>
      </c>
      <c r="B20">
        <f>SUMIFS([1]!Table6[Total Number of Investments], [1]!Table6[State], A20, [1]!Table6[Year], 2020)</f>
        <v>128</v>
      </c>
      <c r="C20" s="2">
        <f>SUMIFS([1]!Table6[Total Amount of Assistance], [1]!Table6[State], A20, [1]!Table6[Year], 2020)</f>
        <v>50687483.979999997</v>
      </c>
      <c r="D20" s="4">
        <f t="shared" si="0"/>
        <v>395995.96859374997</v>
      </c>
    </row>
    <row r="21" spans="1:4" x14ac:dyDescent="0.3">
      <c r="A21" t="s">
        <v>20</v>
      </c>
      <c r="B21">
        <f>SUMIFS([1]!Table6[Total Number of Investments], [1]!Table6[State], A21, [1]!Table6[Year], 2020)</f>
        <v>40</v>
      </c>
      <c r="C21" s="2">
        <f>SUMIFS([1]!Table6[Total Amount of Assistance], [1]!Table6[State], A21, [1]!Table6[Year], 2020)</f>
        <v>2716098.25</v>
      </c>
      <c r="D21" s="4">
        <f t="shared" si="0"/>
        <v>67902.456250000003</v>
      </c>
    </row>
    <row r="22" spans="1:4" x14ac:dyDescent="0.3">
      <c r="A22" t="s">
        <v>21</v>
      </c>
      <c r="B22">
        <f>SUMIFS([1]!Table6[Total Number of Investments], [1]!Table6[State], A22, [1]!Table6[Year], 2020)</f>
        <v>62</v>
      </c>
      <c r="C22" s="2">
        <f>SUMIFS([1]!Table6[Total Amount of Assistance], [1]!Table6[State], A22, [1]!Table6[Year], 2020)</f>
        <v>6407885.4199999999</v>
      </c>
      <c r="D22" s="4">
        <f t="shared" si="0"/>
        <v>103352.99064516129</v>
      </c>
    </row>
    <row r="23" spans="1:4" x14ac:dyDescent="0.3">
      <c r="A23" t="s">
        <v>22</v>
      </c>
      <c r="B23">
        <f>SUMIFS([1]!Table6[Total Number of Investments], [1]!Table6[State], A23, [1]!Table6[Year], 2020)</f>
        <v>24</v>
      </c>
      <c r="C23" s="2">
        <f>SUMIFS([1]!Table6[Total Amount of Assistance], [1]!Table6[State], A23, [1]!Table6[Year], 2020)</f>
        <v>11759520.120000001</v>
      </c>
      <c r="D23" s="4">
        <f t="shared" si="0"/>
        <v>489980.00500000006</v>
      </c>
    </row>
    <row r="24" spans="1:4" x14ac:dyDescent="0.3">
      <c r="A24" t="s">
        <v>23</v>
      </c>
      <c r="B24">
        <f>SUMIFS([1]!Table6[Total Number of Investments], [1]!Table6[State], A24, [1]!Table6[Year], 2020)</f>
        <v>41</v>
      </c>
      <c r="C24" s="2">
        <f>SUMIFS([1]!Table6[Total Amount of Assistance], [1]!Table6[State], A24, [1]!Table6[Year], 2020)</f>
        <v>1712775.7900000003</v>
      </c>
      <c r="D24" s="4">
        <f t="shared" si="0"/>
        <v>41775.019268292686</v>
      </c>
    </row>
    <row r="25" spans="1:4" x14ac:dyDescent="0.3">
      <c r="A25" t="s">
        <v>24</v>
      </c>
      <c r="B25">
        <f>SUMIFS([1]!Table6[Total Number of Investments], [1]!Table6[State], A25, [1]!Table6[Year], 2020)</f>
        <v>21</v>
      </c>
      <c r="C25" s="2">
        <f>SUMIFS([1]!Table6[Total Amount of Assistance], [1]!Table6[State], A25, [1]!Table6[Year], 2020)</f>
        <v>1203051</v>
      </c>
      <c r="D25" s="4">
        <f t="shared" si="0"/>
        <v>57288.142857142855</v>
      </c>
    </row>
    <row r="26" spans="1:4" x14ac:dyDescent="0.3">
      <c r="A26" t="s">
        <v>25</v>
      </c>
      <c r="B26">
        <f>SUMIFS([1]!Table6[Total Number of Investments], [1]!Table6[State], A26, [1]!Table6[Year], 2020)</f>
        <v>30</v>
      </c>
      <c r="C26" s="2">
        <f>SUMIFS([1]!Table6[Total Amount of Assistance], [1]!Table6[State], A26, [1]!Table6[Year], 2020)</f>
        <v>16765837.93</v>
      </c>
      <c r="D26" s="4">
        <f t="shared" si="0"/>
        <v>558861.26433333335</v>
      </c>
    </row>
    <row r="27" spans="1:4" x14ac:dyDescent="0.3">
      <c r="A27" t="s">
        <v>26</v>
      </c>
      <c r="B27">
        <f>SUMIFS([1]!Table6[Total Number of Investments], [1]!Table6[State], A27, [1]!Table6[Year], 2020)</f>
        <v>57</v>
      </c>
      <c r="C27" s="2">
        <f>SUMIFS([1]!Table6[Total Amount of Assistance], [1]!Table6[State], A27, [1]!Table6[Year], 2020)</f>
        <v>3538824.6999999997</v>
      </c>
      <c r="D27" s="4">
        <f t="shared" si="0"/>
        <v>62084.643859649121</v>
      </c>
    </row>
    <row r="28" spans="1:4" x14ac:dyDescent="0.3">
      <c r="A28" t="s">
        <v>27</v>
      </c>
      <c r="B28">
        <f>SUMIFS([1]!Table6[Total Number of Investments], [1]!Table6[State], A28, [1]!Table6[Year], 2020)</f>
        <v>150</v>
      </c>
      <c r="C28" s="2">
        <f>SUMIFS([1]!Table6[Total Amount of Assistance], [1]!Table6[State], A28, [1]!Table6[Year], 2020)</f>
        <v>29426629.09</v>
      </c>
      <c r="D28" s="4">
        <f t="shared" si="0"/>
        <v>196177.52726666667</v>
      </c>
    </row>
    <row r="29" spans="1:4" x14ac:dyDescent="0.3">
      <c r="A29" t="s">
        <v>28</v>
      </c>
      <c r="B29">
        <f>SUMIFS([1]!Table6[Total Number of Investments], [1]!Table6[State], A29, [1]!Table6[Year], 2020)</f>
        <v>29</v>
      </c>
      <c r="C29" s="2">
        <f>SUMIFS([1]!Table6[Total Amount of Assistance], [1]!Table6[State], A29, [1]!Table6[Year], 2020)</f>
        <v>1141301.6200000001</v>
      </c>
      <c r="D29" s="4">
        <f t="shared" si="0"/>
        <v>39355.228275862071</v>
      </c>
    </row>
    <row r="30" spans="1:4" x14ac:dyDescent="0.3">
      <c r="A30" t="s">
        <v>29</v>
      </c>
      <c r="B30">
        <f>SUMIFS([1]!Table6[Total Number of Investments], [1]!Table6[State], A30, [1]!Table6[Year], 2020)</f>
        <v>85</v>
      </c>
      <c r="C30" s="2">
        <f>SUMIFS([1]!Table6[Total Amount of Assistance], [1]!Table6[State], A30, [1]!Table6[Year], 2020)</f>
        <v>3115749.98</v>
      </c>
      <c r="D30" s="4">
        <f t="shared" si="0"/>
        <v>36655.882117647059</v>
      </c>
    </row>
    <row r="31" spans="1:4" x14ac:dyDescent="0.3">
      <c r="A31" t="s">
        <v>30</v>
      </c>
      <c r="B31">
        <f>SUMIFS([1]!Table6[Total Number of Investments], [1]!Table6[State], A31, [1]!Table6[Year], 2020)</f>
        <v>28</v>
      </c>
      <c r="C31" s="2">
        <f>SUMIFS([1]!Table6[Total Amount of Assistance], [1]!Table6[State], A31, [1]!Table6[Year], 2020)</f>
        <v>599482</v>
      </c>
      <c r="D31" s="4">
        <f t="shared" si="0"/>
        <v>21410.071428571428</v>
      </c>
    </row>
    <row r="32" spans="1:4" x14ac:dyDescent="0.3">
      <c r="A32" t="s">
        <v>31</v>
      </c>
      <c r="B32">
        <f>SUMIFS([1]!Table6[Total Number of Investments], [1]!Table6[State], A32, [1]!Table6[Year], 2020)</f>
        <v>49</v>
      </c>
      <c r="C32" s="2">
        <f>SUMIFS([1]!Table6[Total Amount of Assistance], [1]!Table6[State], A32, [1]!Table6[Year], 2020)</f>
        <v>7402702.1499999994</v>
      </c>
      <c r="D32" s="4">
        <f t="shared" si="0"/>
        <v>151075.55408163264</v>
      </c>
    </row>
    <row r="33" spans="1:4" x14ac:dyDescent="0.3">
      <c r="A33" t="s">
        <v>32</v>
      </c>
      <c r="B33">
        <f>SUMIFS([1]!Table6[Total Number of Investments], [1]!Table6[State], A33, [1]!Table6[Year], 2020)</f>
        <v>4</v>
      </c>
      <c r="C33" s="2">
        <f>SUMIFS([1]!Table6[Total Amount of Assistance], [1]!Table6[State], A33, [1]!Table6[Year], 2020)</f>
        <v>53672</v>
      </c>
      <c r="D33" s="4">
        <f t="shared" si="0"/>
        <v>13418</v>
      </c>
    </row>
    <row r="34" spans="1:4" x14ac:dyDescent="0.3">
      <c r="A34" t="s">
        <v>33</v>
      </c>
      <c r="B34">
        <f>SUMIFS([1]!Table6[Total Number of Investments], [1]!Table6[State], A34, [1]!Table6[Year], 2020)</f>
        <v>22</v>
      </c>
      <c r="C34" s="2">
        <f>SUMIFS([1]!Table6[Total Amount of Assistance], [1]!Table6[State], A34, [1]!Table6[Year], 2020)</f>
        <v>975569.39</v>
      </c>
      <c r="D34" s="4">
        <f t="shared" si="0"/>
        <v>44344.063181818179</v>
      </c>
    </row>
    <row r="35" spans="1:4" x14ac:dyDescent="0.3">
      <c r="A35" t="s">
        <v>34</v>
      </c>
      <c r="B35">
        <f>SUMIFS([1]!Table6[Total Number of Investments], [1]!Table6[State], A35, [1]!Table6[Year], 2020)</f>
        <v>8</v>
      </c>
      <c r="C35" s="2">
        <f>SUMIFS([1]!Table6[Total Amount of Assistance], [1]!Table6[State], A35, [1]!Table6[Year], 2020)</f>
        <v>423702</v>
      </c>
      <c r="D35" s="4">
        <f t="shared" si="0"/>
        <v>52962.75</v>
      </c>
    </row>
    <row r="36" spans="1:4" x14ac:dyDescent="0.3">
      <c r="A36" t="s">
        <v>35</v>
      </c>
      <c r="B36">
        <f>SUMIFS([1]!Table6[Total Number of Investments], [1]!Table6[State], A36, [1]!Table6[Year], 2020)</f>
        <v>20</v>
      </c>
      <c r="C36" s="2">
        <f>SUMIFS([1]!Table6[Total Amount of Assistance], [1]!Table6[State], A36, [1]!Table6[Year], 2020)</f>
        <v>49903359</v>
      </c>
      <c r="D36" s="4">
        <f t="shared" si="0"/>
        <v>2495167.9500000002</v>
      </c>
    </row>
    <row r="37" spans="1:4" x14ac:dyDescent="0.3">
      <c r="A37" t="s">
        <v>36</v>
      </c>
      <c r="B37">
        <f>SUMIFS([1]!Table6[Total Number of Investments], [1]!Table6[State], A37, [1]!Table6[Year], 2020)</f>
        <v>54</v>
      </c>
      <c r="C37" s="2">
        <f>SUMIFS([1]!Table6[Total Amount of Assistance], [1]!Table6[State], A37, [1]!Table6[Year], 2020)</f>
        <v>22079752</v>
      </c>
      <c r="D37" s="4">
        <f t="shared" si="0"/>
        <v>408884.29629629629</v>
      </c>
    </row>
    <row r="38" spans="1:4" x14ac:dyDescent="0.3">
      <c r="A38" t="s">
        <v>37</v>
      </c>
      <c r="B38">
        <f>SUMIFS([1]!Table6[Total Number of Investments], [1]!Table6[State], A38, [1]!Table6[Year], 2020)</f>
        <v>67</v>
      </c>
      <c r="C38" s="2">
        <f>SUMIFS([1]!Table6[Total Amount of Assistance], [1]!Table6[State], A38, [1]!Table6[Year], 2020)</f>
        <v>146683637.71000001</v>
      </c>
      <c r="D38" s="4">
        <f t="shared" si="0"/>
        <v>2189308.0255223881</v>
      </c>
    </row>
    <row r="39" spans="1:4" x14ac:dyDescent="0.3">
      <c r="A39" t="s">
        <v>38</v>
      </c>
      <c r="B39">
        <f>SUMIFS([1]!Table6[Total Number of Investments], [1]!Table6[State], A39, [1]!Table6[Year], 2020)</f>
        <v>19</v>
      </c>
      <c r="C39" s="2">
        <f>SUMIFS([1]!Table6[Total Amount of Assistance], [1]!Table6[State], A39, [1]!Table6[Year], 2020)</f>
        <v>729209</v>
      </c>
      <c r="D39" s="4">
        <f t="shared" si="0"/>
        <v>38379.42105263158</v>
      </c>
    </row>
    <row r="40" spans="1:4" x14ac:dyDescent="0.3">
      <c r="A40" t="s">
        <v>39</v>
      </c>
      <c r="B40">
        <f>SUMIFS([1]!Table6[Total Number of Investments], [1]!Table6[State], A40, [1]!Table6[Year], 2020)</f>
        <v>47</v>
      </c>
      <c r="C40" s="2">
        <f>SUMIFS([1]!Table6[Total Amount of Assistance], [1]!Table6[State], A40, [1]!Table6[Year], 2020)</f>
        <v>2356105.62</v>
      </c>
      <c r="D40" s="4">
        <f t="shared" si="0"/>
        <v>50129.906808510641</v>
      </c>
    </row>
    <row r="41" spans="1:4" x14ac:dyDescent="0.3">
      <c r="A41" t="s">
        <v>40</v>
      </c>
      <c r="B41">
        <f>SUMIFS([1]!Table6[Total Number of Investments], [1]!Table6[State], A41, [1]!Table6[Year], 2020)</f>
        <v>5</v>
      </c>
      <c r="C41" s="2">
        <f>SUMIFS([1]!Table6[Total Amount of Assistance], [1]!Table6[State], A41, [1]!Table6[Year], 2020)</f>
        <v>560040.80000000005</v>
      </c>
      <c r="D41" s="4">
        <f t="shared" si="0"/>
        <v>112008.16</v>
      </c>
    </row>
    <row r="42" spans="1:4" x14ac:dyDescent="0.3">
      <c r="A42" t="s">
        <v>41</v>
      </c>
      <c r="B42">
        <f>SUMIFS([1]!Table6[Total Number of Investments], [1]!Table6[State], A42, [1]!Table6[Year], 2020)</f>
        <v>35</v>
      </c>
      <c r="C42" s="2">
        <f>SUMIFS([1]!Table6[Total Amount of Assistance], [1]!Table6[State], A42, [1]!Table6[Year], 2020)</f>
        <v>15133214.199999999</v>
      </c>
      <c r="D42" s="4">
        <f t="shared" si="0"/>
        <v>432377.54857142858</v>
      </c>
    </row>
    <row r="43" spans="1:4" x14ac:dyDescent="0.3">
      <c r="A43" t="s">
        <v>42</v>
      </c>
      <c r="B43">
        <f>SUMIFS([1]!Table6[Total Number of Investments], [1]!Table6[State], A43, [1]!Table6[Year], 2020)</f>
        <v>38</v>
      </c>
      <c r="C43" s="2">
        <f>SUMIFS([1]!Table6[Total Amount of Assistance], [1]!Table6[State], A43, [1]!Table6[Year], 2020)</f>
        <v>2021733.78</v>
      </c>
      <c r="D43" s="4">
        <f t="shared" si="0"/>
        <v>53203.520526315791</v>
      </c>
    </row>
    <row r="44" spans="1:4" x14ac:dyDescent="0.3">
      <c r="A44" t="s">
        <v>43</v>
      </c>
      <c r="B44">
        <f>SUMIFS([1]!Table6[Total Number of Investments], [1]!Table6[State], A44, [1]!Table6[Year], 2020)</f>
        <v>12</v>
      </c>
      <c r="C44" s="2">
        <f>SUMIFS([1]!Table6[Total Amount of Assistance], [1]!Table6[State], A44, [1]!Table6[Year], 2020)</f>
        <v>611781.5</v>
      </c>
      <c r="D44" s="4">
        <f t="shared" si="0"/>
        <v>50981.791666666664</v>
      </c>
    </row>
    <row r="45" spans="1:4" x14ac:dyDescent="0.3">
      <c r="A45" t="s">
        <v>44</v>
      </c>
      <c r="B45">
        <f>SUMIFS([1]!Table6[Total Number of Investments], [1]!Table6[State], A45, [1]!Table6[Year], 2020)</f>
        <v>20</v>
      </c>
      <c r="C45" s="2">
        <f>SUMIFS([1]!Table6[Total Amount of Assistance], [1]!Table6[State], A45, [1]!Table6[Year], 2020)</f>
        <v>132464502</v>
      </c>
      <c r="D45" s="4">
        <f t="shared" si="0"/>
        <v>6623225.0999999996</v>
      </c>
    </row>
    <row r="46" spans="1:4" x14ac:dyDescent="0.3">
      <c r="A46" t="s">
        <v>45</v>
      </c>
      <c r="B46">
        <f>SUMIFS([1]!Table6[Total Number of Investments], [1]!Table6[State], A46, [1]!Table6[Year], 2020)</f>
        <v>24</v>
      </c>
      <c r="C46" s="2">
        <f>SUMIFS([1]!Table6[Total Amount of Assistance], [1]!Table6[State], A46, [1]!Table6[Year], 2020)</f>
        <v>6979992.2800000003</v>
      </c>
      <c r="D46" s="4">
        <f t="shared" si="0"/>
        <v>290833.01166666666</v>
      </c>
    </row>
    <row r="47" spans="1:4" x14ac:dyDescent="0.3">
      <c r="A47" t="s">
        <v>46</v>
      </c>
      <c r="B47">
        <f>SUMIFS([1]!Table6[Total Number of Investments], [1]!Table6[State], A47, [1]!Table6[Year], 2020)</f>
        <v>35</v>
      </c>
      <c r="C47" s="2">
        <f>SUMIFS([1]!Table6[Total Amount of Assistance], [1]!Table6[State], A47, [1]!Table6[Year], 2020)</f>
        <v>1591871.55</v>
      </c>
      <c r="D47" s="4">
        <f t="shared" si="0"/>
        <v>45482.044285714284</v>
      </c>
    </row>
    <row r="48" spans="1:4" x14ac:dyDescent="0.3">
      <c r="A48" t="s">
        <v>47</v>
      </c>
      <c r="B48">
        <f>SUMIFS([1]!Table6[Total Number of Investments], [1]!Table6[State], A48, [1]!Table6[Year], 2020)</f>
        <v>44</v>
      </c>
      <c r="C48" s="2">
        <f>SUMIFS([1]!Table6[Total Amount of Assistance], [1]!Table6[State], A48, [1]!Table6[Year], 2020)</f>
        <v>46953486.950000003</v>
      </c>
      <c r="D48" s="4">
        <f t="shared" si="0"/>
        <v>1067124.7034090909</v>
      </c>
    </row>
    <row r="49" spans="1:4" x14ac:dyDescent="0.3">
      <c r="A49" t="s">
        <v>48</v>
      </c>
      <c r="B49">
        <f>SUMIFS([1]!Table6[Total Number of Investments], [1]!Table6[State], A49, [1]!Table6[Year], 2020)</f>
        <v>17</v>
      </c>
      <c r="C49" s="2">
        <f>SUMIFS([1]!Table6[Total Amount of Assistance], [1]!Table6[State], A49, [1]!Table6[Year], 2020)</f>
        <v>674637.8</v>
      </c>
      <c r="D49" s="4">
        <f t="shared" si="0"/>
        <v>39684.576470588239</v>
      </c>
    </row>
    <row r="50" spans="1:4" x14ac:dyDescent="0.3">
      <c r="A50" t="s">
        <v>49</v>
      </c>
      <c r="B50">
        <f>SUMIFS([1]!Table6[Total Number of Investments], [1]!Table6[State], A50, [1]!Table6[Year], 2020)</f>
        <v>22</v>
      </c>
      <c r="C50" s="2">
        <f>SUMIFS([1]!Table6[Total Amount of Assistance], [1]!Table6[State], A50, [1]!Table6[Year], 2020)</f>
        <v>2487667.6</v>
      </c>
      <c r="D50" s="4">
        <f t="shared" si="0"/>
        <v>113075.8</v>
      </c>
    </row>
    <row r="51" spans="1:4" x14ac:dyDescent="0.3">
      <c r="A51" t="s">
        <v>50</v>
      </c>
      <c r="B51">
        <f>SUMIFS([1]!Table6[Total Number of Investments], [1]!Table6[State], A51, [1]!Table6[Year], 2020)</f>
        <v>32</v>
      </c>
      <c r="C51" s="2">
        <f>SUMIFS([1]!Table6[Total Amount of Assistance], [1]!Table6[State], A51, [1]!Table6[Year], 2020)</f>
        <v>2052324.12</v>
      </c>
      <c r="D51" s="4">
        <f t="shared" si="0"/>
        <v>64135.128750000003</v>
      </c>
    </row>
    <row r="52" spans="1:4" x14ac:dyDescent="0.3">
      <c r="A52" t="s">
        <v>51</v>
      </c>
      <c r="B52">
        <f>SUMIFS([1]!Table6[Total Number of Investments], [1]!Table6[State], A52, [1]!Table6[Year], 2020)</f>
        <v>59</v>
      </c>
      <c r="C52" s="2">
        <f>SUMIFS([1]!Table6[Total Amount of Assistance], [1]!Table6[State], A52, [1]!Table6[Year], 2020)</f>
        <v>2508729.02</v>
      </c>
      <c r="D52" s="4">
        <f t="shared" si="0"/>
        <v>42520.830847457626</v>
      </c>
    </row>
    <row r="53" spans="1:4" x14ac:dyDescent="0.3">
      <c r="A53" t="s">
        <v>52</v>
      </c>
      <c r="B53">
        <f>SUMIFS([1]!Table6[Total Number of Investments], [1]!Table6[State], A53, [1]!Table6[Year], 2020)</f>
        <v>34</v>
      </c>
      <c r="C53" s="2">
        <f>SUMIFS([1]!Table6[Total Amount of Assistance], [1]!Table6[State], A53, [1]!Table6[Year], 2020)</f>
        <v>1193092.3400000001</v>
      </c>
      <c r="D53" s="4">
        <f t="shared" si="0"/>
        <v>35090.951176470589</v>
      </c>
    </row>
    <row r="54" spans="1:4" x14ac:dyDescent="0.3">
      <c r="A54" t="s">
        <v>53</v>
      </c>
      <c r="B54">
        <f>SUMIFS([1]!Table6[Total Number of Investments], [1]!Table6[State], A54, [1]!Table6[Year], 2020)</f>
        <v>60</v>
      </c>
      <c r="C54" s="2">
        <f>SUMIFS([1]!Table6[Total Amount of Assistance], [1]!Table6[State], A54, [1]!Table6[Year], 2020)</f>
        <v>15288198.799999997</v>
      </c>
      <c r="D54" s="4">
        <f t="shared" si="0"/>
        <v>254803.3133333333</v>
      </c>
    </row>
    <row r="55" spans="1:4" x14ac:dyDescent="0.3">
      <c r="A55" t="s">
        <v>54</v>
      </c>
      <c r="B55">
        <f>SUMIFS([1]!Table6[Total Number of Investments], [1]!Table6[State], A55, [1]!Table6[Year], 2020)</f>
        <v>8</v>
      </c>
      <c r="C55" s="2">
        <f>SUMIFS([1]!Table6[Total Amount of Assistance], [1]!Table6[State], A55, [1]!Table6[Year], 2020)</f>
        <v>226489</v>
      </c>
      <c r="D55" s="4">
        <f t="shared" si="0"/>
        <v>28311.125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Charleux</dc:creator>
  <cp:lastModifiedBy>Helene Charleux</cp:lastModifiedBy>
  <dcterms:created xsi:type="dcterms:W3CDTF">2021-11-12T16:27:53Z</dcterms:created>
  <dcterms:modified xsi:type="dcterms:W3CDTF">2021-11-12T17:15:52Z</dcterms:modified>
</cp:coreProperties>
</file>