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ITR 2019 Returns  (final)" sheetId="4" r:id="rId1"/>
    <sheet name="April" sheetId="5" r:id="rId2"/>
    <sheet name="May" sheetId="6" r:id="rId3"/>
    <sheet name="June" sheetId="7" r:id="rId4"/>
    <sheet name="Sheet2" sheetId="2" r:id="rId5"/>
    <sheet name="Sheet3" sheetId="3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April!$B$3:$H$3</definedName>
    <definedName name="_xlnm.Print_Area" localSheetId="0">'ITR 2019 Returns  (final)'!$A$2:$I$56</definedName>
  </definedNames>
  <calcPr calcId="124519"/>
  <fileRecoveryPr repairLoad="1"/>
</workbook>
</file>

<file path=xl/calcChain.xml><?xml version="1.0" encoding="utf-8"?>
<calcChain xmlns="http://schemas.openxmlformats.org/spreadsheetml/2006/main">
  <c r="I25" i="4"/>
  <c r="I14" l="1"/>
  <c r="I49" l="1"/>
  <c r="I24"/>
  <c r="I41"/>
  <c r="I46"/>
  <c r="I40"/>
  <c r="I22"/>
  <c r="I23"/>
  <c r="I47"/>
  <c r="I33"/>
  <c r="I44" s="1"/>
  <c r="I45"/>
  <c r="I27"/>
  <c r="I26"/>
  <c r="I48"/>
  <c r="I50" l="1"/>
  <c r="I20"/>
  <c r="I21" s="1"/>
  <c r="I15" l="1"/>
  <c r="I10"/>
  <c r="F229" i="7"/>
  <c r="G229" s="1"/>
  <c r="F228"/>
  <c r="G228" s="1"/>
  <c r="F227"/>
  <c r="G227" s="1"/>
  <c r="F226"/>
  <c r="G226" s="1"/>
  <c r="F225"/>
  <c r="G225" s="1"/>
  <c r="F223"/>
  <c r="G223" s="1"/>
  <c r="F222"/>
  <c r="G222" s="1"/>
  <c r="F221"/>
  <c r="G221" s="1"/>
  <c r="F220"/>
  <c r="G220" s="1"/>
  <c r="F219"/>
  <c r="G219" s="1"/>
  <c r="F218"/>
  <c r="G218" s="1"/>
  <c r="F217"/>
  <c r="G217" s="1"/>
  <c r="H212"/>
  <c r="G212"/>
  <c r="F212"/>
  <c r="F208"/>
  <c r="H203"/>
  <c r="G203"/>
  <c r="H202"/>
  <c r="G202"/>
  <c r="H201"/>
  <c r="G201"/>
  <c r="H200"/>
  <c r="G200"/>
  <c r="H199"/>
  <c r="G199"/>
  <c r="H198"/>
  <c r="G198"/>
  <c r="H197"/>
  <c r="G197"/>
  <c r="H196"/>
  <c r="G196"/>
  <c r="H195"/>
  <c r="G195"/>
  <c r="H194"/>
  <c r="G194"/>
  <c r="H193"/>
  <c r="G193"/>
  <c r="H192"/>
  <c r="G192"/>
  <c r="H191"/>
  <c r="G191"/>
  <c r="H190"/>
  <c r="G190"/>
  <c r="H189"/>
  <c r="G189"/>
  <c r="H188"/>
  <c r="G188"/>
  <c r="H187"/>
  <c r="G187"/>
  <c r="H186"/>
  <c r="G186"/>
  <c r="H185"/>
  <c r="G185"/>
  <c r="H184"/>
  <c r="G184"/>
  <c r="H183"/>
  <c r="G183"/>
  <c r="H182"/>
  <c r="G182"/>
  <c r="H181"/>
  <c r="G181"/>
  <c r="H180"/>
  <c r="G180"/>
  <c r="H179"/>
  <c r="G179"/>
  <c r="H178"/>
  <c r="G178"/>
  <c r="H177"/>
  <c r="G177"/>
  <c r="H176"/>
  <c r="G176"/>
  <c r="H175"/>
  <c r="G175"/>
  <c r="H174"/>
  <c r="G174"/>
  <c r="H173"/>
  <c r="G173"/>
  <c r="H172"/>
  <c r="G172"/>
  <c r="H171"/>
  <c r="G171"/>
  <c r="H170"/>
  <c r="G170"/>
  <c r="H169"/>
  <c r="G169"/>
  <c r="H168"/>
  <c r="G168"/>
  <c r="H167"/>
  <c r="G167"/>
  <c r="H166"/>
  <c r="G166"/>
  <c r="H165"/>
  <c r="G165"/>
  <c r="H164"/>
  <c r="G164"/>
  <c r="H163"/>
  <c r="G163"/>
  <c r="H162"/>
  <c r="G162"/>
  <c r="H161"/>
  <c r="G161"/>
  <c r="H160"/>
  <c r="G160"/>
  <c r="H159"/>
  <c r="G159"/>
  <c r="H158"/>
  <c r="G158"/>
  <c r="H157"/>
  <c r="G157"/>
  <c r="H156"/>
  <c r="G156"/>
  <c r="H155"/>
  <c r="G155"/>
  <c r="H154"/>
  <c r="G154"/>
  <c r="H153"/>
  <c r="G153"/>
  <c r="H152"/>
  <c r="G152"/>
  <c r="H151"/>
  <c r="G151"/>
  <c r="H150"/>
  <c r="G150"/>
  <c r="H149"/>
  <c r="G149"/>
  <c r="H148"/>
  <c r="G148"/>
  <c r="H147"/>
  <c r="G147"/>
  <c r="H146"/>
  <c r="G146"/>
  <c r="H145"/>
  <c r="G145"/>
  <c r="H144"/>
  <c r="G144"/>
  <c r="H143"/>
  <c r="G143"/>
  <c r="H142"/>
  <c r="G142"/>
  <c r="H141"/>
  <c r="G141"/>
  <c r="H140"/>
  <c r="G140"/>
  <c r="H139"/>
  <c r="G139"/>
  <c r="H138"/>
  <c r="G138"/>
  <c r="H137"/>
  <c r="G137"/>
  <c r="H136"/>
  <c r="G136"/>
  <c r="H135"/>
  <c r="G135"/>
  <c r="H134"/>
  <c r="G134"/>
  <c r="H133"/>
  <c r="G133"/>
  <c r="H132"/>
  <c r="G132"/>
  <c r="H131"/>
  <c r="G131"/>
  <c r="H130"/>
  <c r="G130"/>
  <c r="H129"/>
  <c r="G129"/>
  <c r="H128"/>
  <c r="G128"/>
  <c r="H127"/>
  <c r="G127"/>
  <c r="H126"/>
  <c r="G126"/>
  <c r="H125"/>
  <c r="G125"/>
  <c r="H124"/>
  <c r="G124"/>
  <c r="H123"/>
  <c r="G123"/>
  <c r="H122"/>
  <c r="G122"/>
  <c r="H121"/>
  <c r="G121"/>
  <c r="H120"/>
  <c r="G120"/>
  <c r="H119"/>
  <c r="G119"/>
  <c r="H118"/>
  <c r="G118"/>
  <c r="H117"/>
  <c r="G117"/>
  <c r="H116"/>
  <c r="G116"/>
  <c r="H115"/>
  <c r="G115"/>
  <c r="H114"/>
  <c r="G114"/>
  <c r="H113"/>
  <c r="G113"/>
  <c r="H112"/>
  <c r="G112"/>
  <c r="H111"/>
  <c r="G111"/>
  <c r="H110"/>
  <c r="G110"/>
  <c r="H109"/>
  <c r="G109"/>
  <c r="H108"/>
  <c r="G108"/>
  <c r="H107"/>
  <c r="G107"/>
  <c r="H106"/>
  <c r="G106"/>
  <c r="H105"/>
  <c r="G105"/>
  <c r="H104"/>
  <c r="G104"/>
  <c r="H103"/>
  <c r="G103"/>
  <c r="H102"/>
  <c r="G102"/>
  <c r="H101"/>
  <c r="G101"/>
  <c r="H100"/>
  <c r="G100"/>
  <c r="H99"/>
  <c r="G99"/>
  <c r="H98"/>
  <c r="G98"/>
  <c r="H97"/>
  <c r="G97"/>
  <c r="H96"/>
  <c r="G96"/>
  <c r="H95"/>
  <c r="G95"/>
  <c r="H94"/>
  <c r="G94"/>
  <c r="H93"/>
  <c r="G93"/>
  <c r="H92"/>
  <c r="G92"/>
  <c r="H91"/>
  <c r="G91"/>
  <c r="H90"/>
  <c r="G90"/>
  <c r="H89"/>
  <c r="G89"/>
  <c r="H88"/>
  <c r="G88"/>
  <c r="H87"/>
  <c r="G87"/>
  <c r="H86"/>
  <c r="G86"/>
  <c r="H85"/>
  <c r="G85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2"/>
  <c r="G72"/>
  <c r="H71"/>
  <c r="G71"/>
  <c r="H70"/>
  <c r="G70"/>
  <c r="H69"/>
  <c r="G69"/>
  <c r="H68"/>
  <c r="G68"/>
  <c r="H67"/>
  <c r="G67"/>
  <c r="H66"/>
  <c r="G66"/>
  <c r="H65"/>
  <c r="G65"/>
  <c r="H64"/>
  <c r="G64"/>
  <c r="H63"/>
  <c r="G63"/>
  <c r="H62"/>
  <c r="G62"/>
  <c r="H61"/>
  <c r="G61"/>
  <c r="H60"/>
  <c r="G60"/>
  <c r="H59"/>
  <c r="G59"/>
  <c r="H58"/>
  <c r="G58"/>
  <c r="H57"/>
  <c r="G57"/>
  <c r="H56"/>
  <c r="G56"/>
  <c r="H55"/>
  <c r="G55"/>
  <c r="H54"/>
  <c r="G54"/>
  <c r="H53"/>
  <c r="G53"/>
  <c r="H52"/>
  <c r="G52"/>
  <c r="H51"/>
  <c r="G51"/>
  <c r="H50"/>
  <c r="G50"/>
  <c r="H49"/>
  <c r="G49"/>
  <c r="H48"/>
  <c r="G48"/>
  <c r="H47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H30"/>
  <c r="G30"/>
  <c r="H29"/>
  <c r="G29"/>
  <c r="H28"/>
  <c r="G28"/>
  <c r="H27"/>
  <c r="G27"/>
  <c r="H26"/>
  <c r="G26"/>
  <c r="H25"/>
  <c r="G25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G14"/>
  <c r="H13"/>
  <c r="G13"/>
  <c r="H12"/>
  <c r="G12"/>
  <c r="F11"/>
  <c r="F205" s="1"/>
  <c r="F213" s="1"/>
  <c r="G10"/>
  <c r="H10" s="1"/>
  <c r="G9"/>
  <c r="H9" s="1"/>
  <c r="G8"/>
  <c r="H8" s="1"/>
  <c r="G7"/>
  <c r="H7" s="1"/>
  <c r="G6"/>
  <c r="H6" s="1"/>
  <c r="G5"/>
  <c r="H5" s="1"/>
  <c r="G4"/>
  <c r="G196" i="6"/>
  <c r="H196" s="1"/>
  <c r="G195"/>
  <c r="H195" s="1"/>
  <c r="G190"/>
  <c r="H190" s="1"/>
  <c r="G189"/>
  <c r="H189" s="1"/>
  <c r="G188"/>
  <c r="H188" s="1"/>
  <c r="G187"/>
  <c r="H187" s="1"/>
  <c r="G186"/>
  <c r="H186" s="1"/>
  <c r="G185"/>
  <c r="H185" s="1"/>
  <c r="G184"/>
  <c r="H184" s="1"/>
  <c r="G183"/>
  <c r="H183" s="1"/>
  <c r="G182"/>
  <c r="H182" s="1"/>
  <c r="G181"/>
  <c r="H181" s="1"/>
  <c r="G180"/>
  <c r="H180" s="1"/>
  <c r="G179"/>
  <c r="H179" s="1"/>
  <c r="G178"/>
  <c r="H178" s="1"/>
  <c r="G177"/>
  <c r="H177" s="1"/>
  <c r="G176"/>
  <c r="H176" s="1"/>
  <c r="G175"/>
  <c r="H175" s="1"/>
  <c r="G174"/>
  <c r="H174" s="1"/>
  <c r="G173"/>
  <c r="H173" s="1"/>
  <c r="G172"/>
  <c r="H172" s="1"/>
  <c r="G171"/>
  <c r="H171" s="1"/>
  <c r="G170"/>
  <c r="H170" s="1"/>
  <c r="G169"/>
  <c r="H169" s="1"/>
  <c r="G168"/>
  <c r="H168" s="1"/>
  <c r="G167"/>
  <c r="H167" s="1"/>
  <c r="G166"/>
  <c r="H166" s="1"/>
  <c r="G165"/>
  <c r="H165" s="1"/>
  <c r="G164"/>
  <c r="H164" s="1"/>
  <c r="G163"/>
  <c r="H163" s="1"/>
  <c r="G162"/>
  <c r="H162" s="1"/>
  <c r="G161"/>
  <c r="H161" s="1"/>
  <c r="G160"/>
  <c r="H160" s="1"/>
  <c r="G159"/>
  <c r="H159" s="1"/>
  <c r="G158"/>
  <c r="H158" s="1"/>
  <c r="G157"/>
  <c r="H157" s="1"/>
  <c r="G156"/>
  <c r="H156" s="1"/>
  <c r="G155"/>
  <c r="H155" s="1"/>
  <c r="G154"/>
  <c r="H154" s="1"/>
  <c r="G153"/>
  <c r="H153" s="1"/>
  <c r="G152"/>
  <c r="H152" s="1"/>
  <c r="F139"/>
  <c r="G139" s="1"/>
  <c r="F138"/>
  <c r="G138" s="1"/>
  <c r="F137"/>
  <c r="G137" s="1"/>
  <c r="F136"/>
  <c r="G136" s="1"/>
  <c r="F135"/>
  <c r="G135" s="1"/>
  <c r="F134"/>
  <c r="G134" s="1"/>
  <c r="F133"/>
  <c r="G133" s="1"/>
  <c r="F128"/>
  <c r="H125"/>
  <c r="G125"/>
  <c r="H124"/>
  <c r="G124"/>
  <c r="H123"/>
  <c r="G123"/>
  <c r="H122"/>
  <c r="G122"/>
  <c r="H121"/>
  <c r="G121"/>
  <c r="H120"/>
  <c r="G120"/>
  <c r="H119"/>
  <c r="G119"/>
  <c r="H118"/>
  <c r="G118"/>
  <c r="H117"/>
  <c r="G117"/>
  <c r="H116"/>
  <c r="G116"/>
  <c r="H115"/>
  <c r="G115"/>
  <c r="H114"/>
  <c r="G114"/>
  <c r="H113"/>
  <c r="G113"/>
  <c r="H112"/>
  <c r="G112"/>
  <c r="H111"/>
  <c r="G111"/>
  <c r="H110"/>
  <c r="G110"/>
  <c r="H109"/>
  <c r="G109"/>
  <c r="H108"/>
  <c r="G108"/>
  <c r="H107"/>
  <c r="G107"/>
  <c r="H106"/>
  <c r="G106"/>
  <c r="H105"/>
  <c r="G105"/>
  <c r="H104"/>
  <c r="G104"/>
  <c r="H103"/>
  <c r="G103"/>
  <c r="H102"/>
  <c r="G102"/>
  <c r="H101"/>
  <c r="G101"/>
  <c r="H100"/>
  <c r="G100"/>
  <c r="H99"/>
  <c r="G99"/>
  <c r="H98"/>
  <c r="G98"/>
  <c r="H97"/>
  <c r="G97"/>
  <c r="H96"/>
  <c r="G96"/>
  <c r="H95"/>
  <c r="G95"/>
  <c r="H94"/>
  <c r="G94"/>
  <c r="H93"/>
  <c r="G93"/>
  <c r="H92"/>
  <c r="G92"/>
  <c r="H91"/>
  <c r="G91"/>
  <c r="H90"/>
  <c r="G90"/>
  <c r="H89"/>
  <c r="G89"/>
  <c r="H88"/>
  <c r="G88"/>
  <c r="H87"/>
  <c r="G87"/>
  <c r="H86"/>
  <c r="G86"/>
  <c r="H85"/>
  <c r="G85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2"/>
  <c r="G72"/>
  <c r="H71"/>
  <c r="G71"/>
  <c r="H70"/>
  <c r="G70"/>
  <c r="H69"/>
  <c r="G69"/>
  <c r="H68"/>
  <c r="G68"/>
  <c r="H67"/>
  <c r="G67"/>
  <c r="H66"/>
  <c r="G66"/>
  <c r="H65"/>
  <c r="G65"/>
  <c r="H64"/>
  <c r="G64"/>
  <c r="H63"/>
  <c r="G63"/>
  <c r="H62"/>
  <c r="G62"/>
  <c r="H61"/>
  <c r="G61"/>
  <c r="H60"/>
  <c r="G60"/>
  <c r="H59"/>
  <c r="G59"/>
  <c r="H58"/>
  <c r="G58"/>
  <c r="H57"/>
  <c r="G57"/>
  <c r="H56"/>
  <c r="G56"/>
  <c r="H55"/>
  <c r="G55"/>
  <c r="H54"/>
  <c r="G54"/>
  <c r="H53"/>
  <c r="G53"/>
  <c r="H52"/>
  <c r="G52"/>
  <c r="H51"/>
  <c r="G51"/>
  <c r="H50"/>
  <c r="G50"/>
  <c r="H49"/>
  <c r="G49"/>
  <c r="H48"/>
  <c r="G48"/>
  <c r="H47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H30"/>
  <c r="G30"/>
  <c r="H29"/>
  <c r="G29"/>
  <c r="H28"/>
  <c r="G28"/>
  <c r="H27"/>
  <c r="G27"/>
  <c r="H26"/>
  <c r="G26"/>
  <c r="H25"/>
  <c r="G25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G14"/>
  <c r="H13"/>
  <c r="G13"/>
  <c r="H12"/>
  <c r="G12"/>
  <c r="H11"/>
  <c r="G11"/>
  <c r="H10"/>
  <c r="G10"/>
  <c r="H9"/>
  <c r="G9"/>
  <c r="H8"/>
  <c r="G8"/>
  <c r="H7"/>
  <c r="G7"/>
  <c r="F6"/>
  <c r="F127" s="1"/>
  <c r="G5"/>
  <c r="H5" s="1"/>
  <c r="G4"/>
  <c r="H4" s="1"/>
  <c r="F363" i="5"/>
  <c r="G363" s="1"/>
  <c r="F362"/>
  <c r="G362" s="1"/>
  <c r="F361"/>
  <c r="G361" s="1"/>
  <c r="F360"/>
  <c r="G360" s="1"/>
  <c r="F359"/>
  <c r="G359" s="1"/>
  <c r="F358"/>
  <c r="G358" s="1"/>
  <c r="F356"/>
  <c r="G356" s="1"/>
  <c r="F355"/>
  <c r="G355" s="1"/>
  <c r="F354"/>
  <c r="G354" s="1"/>
  <c r="F353"/>
  <c r="G353" s="1"/>
  <c r="F352"/>
  <c r="G352" s="1"/>
  <c r="F350"/>
  <c r="H345"/>
  <c r="G345"/>
  <c r="F345"/>
  <c r="H341"/>
  <c r="G341"/>
  <c r="H340"/>
  <c r="G340"/>
  <c r="H339"/>
  <c r="G339"/>
  <c r="H338"/>
  <c r="G338"/>
  <c r="H337"/>
  <c r="G337"/>
  <c r="H336"/>
  <c r="G336"/>
  <c r="H335"/>
  <c r="G335"/>
  <c r="H334"/>
  <c r="G334"/>
  <c r="H333"/>
  <c r="G333"/>
  <c r="H332"/>
  <c r="G332"/>
  <c r="H331"/>
  <c r="G331"/>
  <c r="H330"/>
  <c r="G330"/>
  <c r="H329"/>
  <c r="G329"/>
  <c r="H328"/>
  <c r="G328"/>
  <c r="H327"/>
  <c r="G327"/>
  <c r="H326"/>
  <c r="G326"/>
  <c r="H325"/>
  <c r="G325"/>
  <c r="H324"/>
  <c r="G324"/>
  <c r="H323"/>
  <c r="G323"/>
  <c r="H322"/>
  <c r="G322"/>
  <c r="H321"/>
  <c r="G321"/>
  <c r="H320"/>
  <c r="G320"/>
  <c r="H319"/>
  <c r="G319"/>
  <c r="H318"/>
  <c r="G318"/>
  <c r="H317"/>
  <c r="G317"/>
  <c r="H316"/>
  <c r="G316"/>
  <c r="H315"/>
  <c r="G315"/>
  <c r="H314"/>
  <c r="G314"/>
  <c r="H313"/>
  <c r="G313"/>
  <c r="H312"/>
  <c r="G312"/>
  <c r="H311"/>
  <c r="G311"/>
  <c r="H310"/>
  <c r="G310"/>
  <c r="H309"/>
  <c r="G309"/>
  <c r="H308"/>
  <c r="G308"/>
  <c r="H307"/>
  <c r="G307"/>
  <c r="H306"/>
  <c r="G306"/>
  <c r="H305"/>
  <c r="G305"/>
  <c r="H304"/>
  <c r="G304"/>
  <c r="H303"/>
  <c r="G303"/>
  <c r="H302"/>
  <c r="G302"/>
  <c r="H301"/>
  <c r="G301"/>
  <c r="H300"/>
  <c r="G300"/>
  <c r="H299"/>
  <c r="G299"/>
  <c r="H298"/>
  <c r="G298"/>
  <c r="H297"/>
  <c r="G297"/>
  <c r="H296"/>
  <c r="G296"/>
  <c r="H295"/>
  <c r="G295"/>
  <c r="H294"/>
  <c r="G294"/>
  <c r="H293"/>
  <c r="G293"/>
  <c r="H292"/>
  <c r="G292"/>
  <c r="H291"/>
  <c r="G291"/>
  <c r="H290"/>
  <c r="G290"/>
  <c r="H289"/>
  <c r="G289"/>
  <c r="H288"/>
  <c r="G288"/>
  <c r="H287"/>
  <c r="G287"/>
  <c r="H286"/>
  <c r="G286"/>
  <c r="H285"/>
  <c r="G285"/>
  <c r="H284"/>
  <c r="G284"/>
  <c r="H283"/>
  <c r="G283"/>
  <c r="H282"/>
  <c r="G282"/>
  <c r="H281"/>
  <c r="G281"/>
  <c r="H280"/>
  <c r="G280"/>
  <c r="H279"/>
  <c r="G279"/>
  <c r="H278"/>
  <c r="G278"/>
  <c r="H277"/>
  <c r="G277"/>
  <c r="H276"/>
  <c r="G276"/>
  <c r="H275"/>
  <c r="G275"/>
  <c r="H274"/>
  <c r="G274"/>
  <c r="H273"/>
  <c r="G273"/>
  <c r="H272"/>
  <c r="G272"/>
  <c r="H271"/>
  <c r="G271"/>
  <c r="H270"/>
  <c r="G270"/>
  <c r="H269"/>
  <c r="G269"/>
  <c r="H268"/>
  <c r="G268"/>
  <c r="H267"/>
  <c r="G267"/>
  <c r="H266"/>
  <c r="G266"/>
  <c r="H265"/>
  <c r="G265"/>
  <c r="H264"/>
  <c r="G264"/>
  <c r="H263"/>
  <c r="G263"/>
  <c r="H262"/>
  <c r="G262"/>
  <c r="H261"/>
  <c r="G261"/>
  <c r="H260"/>
  <c r="G260"/>
  <c r="H259"/>
  <c r="G259"/>
  <c r="H258"/>
  <c r="G258"/>
  <c r="H257"/>
  <c r="G257"/>
  <c r="H256"/>
  <c r="G256"/>
  <c r="H255"/>
  <c r="G255"/>
  <c r="H254"/>
  <c r="G254"/>
  <c r="H253"/>
  <c r="G253"/>
  <c r="H252"/>
  <c r="G252"/>
  <c r="H251"/>
  <c r="G251"/>
  <c r="H250"/>
  <c r="G250"/>
  <c r="H249"/>
  <c r="G249"/>
  <c r="H248"/>
  <c r="G248"/>
  <c r="H247"/>
  <c r="G247"/>
  <c r="H246"/>
  <c r="G246"/>
  <c r="H245"/>
  <c r="G245"/>
  <c r="H244"/>
  <c r="G244"/>
  <c r="H243"/>
  <c r="G243"/>
  <c r="H242"/>
  <c r="G242"/>
  <c r="H241"/>
  <c r="G241"/>
  <c r="H240"/>
  <c r="G240"/>
  <c r="H239"/>
  <c r="G239"/>
  <c r="H238"/>
  <c r="G238"/>
  <c r="H237"/>
  <c r="G237"/>
  <c r="H236"/>
  <c r="G236"/>
  <c r="H235"/>
  <c r="G235"/>
  <c r="H234"/>
  <c r="G234"/>
  <c r="H233"/>
  <c r="G233"/>
  <c r="H232"/>
  <c r="G232"/>
  <c r="H231"/>
  <c r="G231"/>
  <c r="H230"/>
  <c r="G230"/>
  <c r="H229"/>
  <c r="G229"/>
  <c r="H228"/>
  <c r="G228"/>
  <c r="H227"/>
  <c r="G227"/>
  <c r="H226"/>
  <c r="G226"/>
  <c r="H225"/>
  <c r="G225"/>
  <c r="H224"/>
  <c r="G224"/>
  <c r="H223"/>
  <c r="G223"/>
  <c r="H222"/>
  <c r="G222"/>
  <c r="H221"/>
  <c r="G221"/>
  <c r="H220"/>
  <c r="G220"/>
  <c r="H219"/>
  <c r="G219"/>
  <c r="H218"/>
  <c r="G218"/>
  <c r="H217"/>
  <c r="G217"/>
  <c r="H216"/>
  <c r="G216"/>
  <c r="H215"/>
  <c r="G215"/>
  <c r="H214"/>
  <c r="G214"/>
  <c r="H213"/>
  <c r="G213"/>
  <c r="H212"/>
  <c r="G212"/>
  <c r="H211"/>
  <c r="G211"/>
  <c r="H210"/>
  <c r="G210"/>
  <c r="H209"/>
  <c r="G209"/>
  <c r="H208"/>
  <c r="G208"/>
  <c r="H207"/>
  <c r="G207"/>
  <c r="H206"/>
  <c r="G206"/>
  <c r="H205"/>
  <c r="G205"/>
  <c r="H204"/>
  <c r="G204"/>
  <c r="H203"/>
  <c r="G203"/>
  <c r="H202"/>
  <c r="G202"/>
  <c r="H201"/>
  <c r="G201"/>
  <c r="H200"/>
  <c r="G200"/>
  <c r="H199"/>
  <c r="G199"/>
  <c r="H198"/>
  <c r="G198"/>
  <c r="H197"/>
  <c r="G197"/>
  <c r="H196"/>
  <c r="G196"/>
  <c r="H195"/>
  <c r="G195"/>
  <c r="H194"/>
  <c r="G194"/>
  <c r="H193"/>
  <c r="G193"/>
  <c r="H192"/>
  <c r="G192"/>
  <c r="H191"/>
  <c r="G191"/>
  <c r="H190"/>
  <c r="G190"/>
  <c r="H189"/>
  <c r="G189"/>
  <c r="H188"/>
  <c r="G188"/>
  <c r="H187"/>
  <c r="G187"/>
  <c r="H186"/>
  <c r="G186"/>
  <c r="H185"/>
  <c r="G185"/>
  <c r="H184"/>
  <c r="G184"/>
  <c r="H183"/>
  <c r="G183"/>
  <c r="H182"/>
  <c r="G182"/>
  <c r="H181"/>
  <c r="G181"/>
  <c r="H180"/>
  <c r="G180"/>
  <c r="H179"/>
  <c r="G179"/>
  <c r="H178"/>
  <c r="G178"/>
  <c r="H177"/>
  <c r="G177"/>
  <c r="H176"/>
  <c r="G176"/>
  <c r="H175"/>
  <c r="G175"/>
  <c r="H174"/>
  <c r="G174"/>
  <c r="H173"/>
  <c r="G173"/>
  <c r="H172"/>
  <c r="G172"/>
  <c r="H171"/>
  <c r="G171"/>
  <c r="H170"/>
  <c r="G170"/>
  <c r="H169"/>
  <c r="G169"/>
  <c r="H168"/>
  <c r="G168"/>
  <c r="H167"/>
  <c r="G167"/>
  <c r="H166"/>
  <c r="G166"/>
  <c r="H165"/>
  <c r="G165"/>
  <c r="H164"/>
  <c r="G164"/>
  <c r="H163"/>
  <c r="G163"/>
  <c r="H162"/>
  <c r="G162"/>
  <c r="H161"/>
  <c r="G161"/>
  <c r="H160"/>
  <c r="G160"/>
  <c r="H159"/>
  <c r="G159"/>
  <c r="H158"/>
  <c r="G158"/>
  <c r="H157"/>
  <c r="G157"/>
  <c r="H156"/>
  <c r="G156"/>
  <c r="H155"/>
  <c r="G155"/>
  <c r="H154"/>
  <c r="G154"/>
  <c r="H153"/>
  <c r="G153"/>
  <c r="H152"/>
  <c r="G152"/>
  <c r="H151"/>
  <c r="G151"/>
  <c r="H150"/>
  <c r="G150"/>
  <c r="H149"/>
  <c r="G149"/>
  <c r="H148"/>
  <c r="G148"/>
  <c r="H147"/>
  <c r="G147"/>
  <c r="H146"/>
  <c r="G146"/>
  <c r="H145"/>
  <c r="G145"/>
  <c r="H144"/>
  <c r="G144"/>
  <c r="H143"/>
  <c r="G143"/>
  <c r="H142"/>
  <c r="G142"/>
  <c r="H141"/>
  <c r="G141"/>
  <c r="H140"/>
  <c r="G140"/>
  <c r="H139"/>
  <c r="G139"/>
  <c r="H138"/>
  <c r="G138"/>
  <c r="H137"/>
  <c r="G137"/>
  <c r="H136"/>
  <c r="G136"/>
  <c r="H135"/>
  <c r="G135"/>
  <c r="H134"/>
  <c r="G134"/>
  <c r="H133"/>
  <c r="G133"/>
  <c r="H132"/>
  <c r="G132"/>
  <c r="H131"/>
  <c r="G131"/>
  <c r="H130"/>
  <c r="G130"/>
  <c r="H129"/>
  <c r="G129"/>
  <c r="H128"/>
  <c r="G128"/>
  <c r="H127"/>
  <c r="G127"/>
  <c r="H126"/>
  <c r="G126"/>
  <c r="H125"/>
  <c r="F125"/>
  <c r="G125" s="1"/>
  <c r="G124"/>
  <c r="H124" s="1"/>
  <c r="G123"/>
  <c r="H123" s="1"/>
  <c r="G122"/>
  <c r="H122" s="1"/>
  <c r="G121"/>
  <c r="H121" s="1"/>
  <c r="G120"/>
  <c r="H120" s="1"/>
  <c r="G119"/>
  <c r="H119" s="1"/>
  <c r="G118"/>
  <c r="H118" s="1"/>
  <c r="G117"/>
  <c r="H117" s="1"/>
  <c r="G116"/>
  <c r="H116" s="1"/>
  <c r="G115"/>
  <c r="H115" s="1"/>
  <c r="G114"/>
  <c r="H114" s="1"/>
  <c r="G113"/>
  <c r="H113" s="1"/>
  <c r="G112"/>
  <c r="H112" s="1"/>
  <c r="G111"/>
  <c r="H111" s="1"/>
  <c r="G110"/>
  <c r="H110" s="1"/>
  <c r="G109"/>
  <c r="H109" s="1"/>
  <c r="G108"/>
  <c r="H108" s="1"/>
  <c r="G107"/>
  <c r="H107" s="1"/>
  <c r="G106"/>
  <c r="H106" s="1"/>
  <c r="G105"/>
  <c r="H105" s="1"/>
  <c r="G104"/>
  <c r="H104" s="1"/>
  <c r="G103"/>
  <c r="H103" s="1"/>
  <c r="G102"/>
  <c r="H102" s="1"/>
  <c r="G101"/>
  <c r="H101" s="1"/>
  <c r="G100"/>
  <c r="H100" s="1"/>
  <c r="G99"/>
  <c r="H99" s="1"/>
  <c r="G98"/>
  <c r="H98" s="1"/>
  <c r="G97"/>
  <c r="H97" s="1"/>
  <c r="G96"/>
  <c r="H96" s="1"/>
  <c r="G95"/>
  <c r="H95" s="1"/>
  <c r="G94"/>
  <c r="H94" s="1"/>
  <c r="G93"/>
  <c r="H93" s="1"/>
  <c r="G92"/>
  <c r="H92" s="1"/>
  <c r="G91"/>
  <c r="H91" s="1"/>
  <c r="G90"/>
  <c r="H90" s="1"/>
  <c r="G89"/>
  <c r="H89" s="1"/>
  <c r="G88"/>
  <c r="H88" s="1"/>
  <c r="G87"/>
  <c r="H87" s="1"/>
  <c r="G86"/>
  <c r="H86" s="1"/>
  <c r="G85"/>
  <c r="H85" s="1"/>
  <c r="G84"/>
  <c r="H84" s="1"/>
  <c r="G83"/>
  <c r="H83" s="1"/>
  <c r="G82"/>
  <c r="H82" s="1"/>
  <c r="G81"/>
  <c r="H81" s="1"/>
  <c r="G80"/>
  <c r="H80" s="1"/>
  <c r="G79"/>
  <c r="H79" s="1"/>
  <c r="G78"/>
  <c r="H78" s="1"/>
  <c r="G77"/>
  <c r="H77" s="1"/>
  <c r="G76"/>
  <c r="H76" s="1"/>
  <c r="G75"/>
  <c r="H75" s="1"/>
  <c r="G74"/>
  <c r="H74" s="1"/>
  <c r="G73"/>
  <c r="H73" s="1"/>
  <c r="G72"/>
  <c r="H72" s="1"/>
  <c r="G71"/>
  <c r="H71" s="1"/>
  <c r="G70"/>
  <c r="H70" s="1"/>
  <c r="G69"/>
  <c r="H69" s="1"/>
  <c r="G68"/>
  <c r="H68" s="1"/>
  <c r="G67"/>
  <c r="H67" s="1"/>
  <c r="G66"/>
  <c r="H66" s="1"/>
  <c r="G65"/>
  <c r="H65" s="1"/>
  <c r="G64"/>
  <c r="H64" s="1"/>
  <c r="G63"/>
  <c r="H63" s="1"/>
  <c r="G62"/>
  <c r="H62" s="1"/>
  <c r="G61"/>
  <c r="H61" s="1"/>
  <c r="H60"/>
  <c r="G60"/>
  <c r="H59"/>
  <c r="G59"/>
  <c r="H58"/>
  <c r="G58"/>
  <c r="H57"/>
  <c r="G57"/>
  <c r="H56"/>
  <c r="G56"/>
  <c r="H55"/>
  <c r="G55"/>
  <c r="H54"/>
  <c r="G54"/>
  <c r="H53"/>
  <c r="G53"/>
  <c r="H52"/>
  <c r="G52"/>
  <c r="H51"/>
  <c r="G51"/>
  <c r="H50"/>
  <c r="G50"/>
  <c r="H49"/>
  <c r="G49"/>
  <c r="H48"/>
  <c r="G48"/>
  <c r="H47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H30"/>
  <c r="G30"/>
  <c r="H29"/>
  <c r="G29"/>
  <c r="H28"/>
  <c r="G28"/>
  <c r="H27"/>
  <c r="G27"/>
  <c r="H26"/>
  <c r="G26"/>
  <c r="H25"/>
  <c r="G25"/>
  <c r="H24"/>
  <c r="G24"/>
  <c r="H23"/>
  <c r="G23"/>
  <c r="H22"/>
  <c r="G22"/>
  <c r="H21"/>
  <c r="G21"/>
  <c r="H20"/>
  <c r="G20"/>
  <c r="H19"/>
  <c r="G19"/>
  <c r="H18"/>
  <c r="G18"/>
  <c r="H17"/>
  <c r="G17"/>
  <c r="F16"/>
  <c r="F351" s="1"/>
  <c r="G351" s="1"/>
  <c r="G15"/>
  <c r="H15" s="1"/>
  <c r="G14"/>
  <c r="H14" s="1"/>
  <c r="G13"/>
  <c r="H13" s="1"/>
  <c r="G12"/>
  <c r="H12" s="1"/>
  <c r="G11"/>
  <c r="H11" s="1"/>
  <c r="F11"/>
  <c r="H10"/>
  <c r="G10"/>
  <c r="H9"/>
  <c r="G9"/>
  <c r="H8"/>
  <c r="G8"/>
  <c r="H7"/>
  <c r="G7"/>
  <c r="H6"/>
  <c r="G6"/>
  <c r="H5"/>
  <c r="G5"/>
  <c r="H4"/>
  <c r="G4"/>
  <c r="F214" i="7" l="1"/>
  <c r="F207"/>
  <c r="F224"/>
  <c r="G224" s="1"/>
  <c r="G230" s="1"/>
  <c r="H4"/>
  <c r="G11"/>
  <c r="H11" s="1"/>
  <c r="H127" i="6"/>
  <c r="F129"/>
  <c r="F132"/>
  <c r="G6"/>
  <c r="H6" s="1"/>
  <c r="G350" i="5"/>
  <c r="F344"/>
  <c r="F346" s="1"/>
  <c r="G16"/>
  <c r="H16" s="1"/>
  <c r="H344" s="1"/>
  <c r="H346" s="1"/>
  <c r="F357"/>
  <c r="G357" s="1"/>
  <c r="H205" i="7" l="1"/>
  <c r="H207"/>
  <c r="H213" s="1"/>
  <c r="H214" s="1"/>
  <c r="G205"/>
  <c r="F209"/>
  <c r="F210" s="1"/>
  <c r="G208"/>
  <c r="H208" s="1"/>
  <c r="H209" s="1"/>
  <c r="F230"/>
  <c r="F231" s="1"/>
  <c r="G207"/>
  <c r="G132" i="6"/>
  <c r="G140" s="1"/>
  <c r="F140"/>
  <c r="F141" s="1"/>
  <c r="G127"/>
  <c r="G141" s="1"/>
  <c r="F364" i="5"/>
  <c r="F365"/>
  <c r="G364"/>
  <c r="G344"/>
  <c r="G231" i="7" l="1"/>
  <c r="G213"/>
  <c r="G214" s="1"/>
  <c r="G365" i="5"/>
  <c r="G346"/>
  <c r="I82" i="4" l="1"/>
  <c r="I29"/>
  <c r="I12" l="1"/>
  <c r="K12" s="1"/>
  <c r="X53"/>
  <c r="X92" s="1"/>
  <c r="U53"/>
  <c r="R53"/>
  <c r="T52"/>
  <c r="Y51"/>
  <c r="Z51" s="1"/>
  <c r="T51"/>
  <c r="Z50"/>
  <c r="T50"/>
  <c r="Y48"/>
  <c r="Y53" s="1"/>
  <c r="T48"/>
  <c r="H48"/>
  <c r="Z47"/>
  <c r="T47"/>
  <c r="Z46"/>
  <c r="S46"/>
  <c r="S53" s="1"/>
  <c r="Z45"/>
  <c r="T45"/>
  <c r="H45"/>
  <c r="Z44"/>
  <c r="Z53" s="1"/>
  <c r="T44"/>
  <c r="H40"/>
  <c r="H38"/>
  <c r="H36"/>
  <c r="Z35"/>
  <c r="L32"/>
  <c r="R30"/>
  <c r="M28"/>
  <c r="L28"/>
  <c r="L29" s="1"/>
  <c r="H28"/>
  <c r="H24"/>
  <c r="H23"/>
  <c r="H20"/>
  <c r="H15"/>
  <c r="H16" s="1"/>
  <c r="H18" s="1"/>
  <c r="H10"/>
  <c r="L30" l="1"/>
  <c r="H29"/>
  <c r="Z91" s="1"/>
  <c r="Z93" s="1"/>
  <c r="L33"/>
  <c r="L34" s="1"/>
  <c r="H50"/>
  <c r="Y92" s="1"/>
  <c r="T46"/>
  <c r="T53" s="1"/>
  <c r="Y91"/>
  <c r="H12"/>
  <c r="U54" l="1"/>
  <c r="U32"/>
  <c r="H30"/>
  <c r="H31" s="1"/>
  <c r="H51" s="1"/>
  <c r="S91"/>
  <c r="T91" l="1"/>
  <c r="I16" l="1"/>
  <c r="I18" s="1"/>
  <c r="I30" l="1"/>
  <c r="S92"/>
  <c r="I31" l="1"/>
  <c r="I51" s="1"/>
  <c r="I54" s="1"/>
  <c r="I56" s="1"/>
  <c r="K31"/>
</calcChain>
</file>

<file path=xl/sharedStrings.xml><?xml version="1.0" encoding="utf-8"?>
<sst xmlns="http://schemas.openxmlformats.org/spreadsheetml/2006/main" count="2801" uniqueCount="1039">
  <si>
    <t>Address</t>
  </si>
  <si>
    <t>Meralco</t>
  </si>
  <si>
    <t>PLDT</t>
  </si>
  <si>
    <t>Smart Communications, Inc.</t>
  </si>
  <si>
    <t>001-901-673</t>
  </si>
  <si>
    <t>Mercury Drug</t>
  </si>
  <si>
    <t>Citra Metro Manila Tollways Corporation</t>
  </si>
  <si>
    <t>Repairs and maintenance - Materials</t>
  </si>
  <si>
    <t>Communications</t>
  </si>
  <si>
    <t>Electricity</t>
  </si>
  <si>
    <t>Insurance</t>
  </si>
  <si>
    <t>CONSOLIDATED INCOME STATEMENT</t>
  </si>
  <si>
    <t>As per FS</t>
  </si>
  <si>
    <t>Revenue from Sales &amp; Royalty</t>
  </si>
  <si>
    <t xml:space="preserve"> </t>
  </si>
  <si>
    <t>41000 · Sales Discount</t>
  </si>
  <si>
    <t>Sales of Good/Properties</t>
  </si>
  <si>
    <t>Less: Sales Returns, Allowances and Discounts</t>
  </si>
  <si>
    <t>Total Revenue</t>
  </si>
  <si>
    <t>Cost of Goods Sold</t>
  </si>
  <si>
    <t>Beginning Inventory</t>
  </si>
  <si>
    <t>Add: Purchases</t>
  </si>
  <si>
    <t>Goods Available for Sale</t>
  </si>
  <si>
    <t>Less: Ending Inventory</t>
  </si>
  <si>
    <t xml:space="preserve"> Cost of Sales</t>
  </si>
  <si>
    <t>Cost of Services</t>
  </si>
  <si>
    <t>Direct Charges - Salaries, Wages and Benefits</t>
  </si>
  <si>
    <t>Direct Charges - Materials, Supplies and Facilities</t>
  </si>
  <si>
    <t>Direct Charges - Depreciation</t>
  </si>
  <si>
    <t>&lt;-------------</t>
  </si>
  <si>
    <t>Direct Charges - Fuel</t>
  </si>
  <si>
    <t>Direct Charges - Others</t>
  </si>
  <si>
    <t>Total Cost of Services</t>
  </si>
  <si>
    <t>DC - OTHERS</t>
  </si>
  <si>
    <t>Total Cost of Sales/Services</t>
  </si>
  <si>
    <t>Gross Profit</t>
  </si>
  <si>
    <t>Less: Operating  Expenses</t>
  </si>
  <si>
    <t>Salaries and Wages</t>
  </si>
  <si>
    <t>h.o</t>
  </si>
  <si>
    <t>store</t>
  </si>
  <si>
    <t>Contracted services</t>
  </si>
  <si>
    <t>Agency fee</t>
  </si>
  <si>
    <t>HO</t>
  </si>
  <si>
    <t>Communication, Light and Water</t>
  </si>
  <si>
    <t>Interest</t>
  </si>
  <si>
    <t>Janitorial and Messengerial Services</t>
  </si>
  <si>
    <t>Miscellaneous</t>
  </si>
  <si>
    <t>Office Supplies</t>
  </si>
  <si>
    <t>Professional Fees</t>
  </si>
  <si>
    <t>Repairs and Maintenance - (labor or Labor &amp; materials)</t>
  </si>
  <si>
    <t>13th Month Pay</t>
  </si>
  <si>
    <t>SSS, Philhealth, HDMF and Other contributions</t>
  </si>
  <si>
    <t>Transporation and Travel</t>
  </si>
  <si>
    <t>Total Operating Expense</t>
  </si>
  <si>
    <t>Net Income/(Loss) From Operation</t>
  </si>
  <si>
    <t>Less: Other expenses</t>
  </si>
  <si>
    <t>Depreciation</t>
  </si>
  <si>
    <t>Net Income/(Loss) before Income Tax</t>
  </si>
  <si>
    <t>Net Income after Tax</t>
  </si>
  <si>
    <t>Smart Head office</t>
  </si>
  <si>
    <t>Direct Charges - 13th month</t>
  </si>
  <si>
    <t>Direct Charges - SSS, Philhealth, HDMF and Other contributions</t>
  </si>
  <si>
    <t>based on qb</t>
  </si>
  <si>
    <t>Manila Express Payment System Inc.</t>
  </si>
  <si>
    <t>Packaging expense</t>
  </si>
  <si>
    <t>CW</t>
  </si>
  <si>
    <t>FV</t>
  </si>
  <si>
    <t>PG</t>
  </si>
  <si>
    <t>SJ</t>
  </si>
  <si>
    <t>South Luzon Tollway Corporation</t>
  </si>
  <si>
    <t>Uno Fuel Incorporated</t>
  </si>
  <si>
    <t>ok</t>
  </si>
  <si>
    <t>MAYOR'S PERMIT</t>
  </si>
  <si>
    <t>TG</t>
  </si>
  <si>
    <t>FOR PERIOD APR. TO JUNE 2019</t>
  </si>
  <si>
    <t>Metro Oil Subic, Inc.</t>
  </si>
  <si>
    <t xml:space="preserve"> VAT Hardware Expenses for the Month of April 2019</t>
  </si>
  <si>
    <t>Date</t>
  </si>
  <si>
    <t>Company Name</t>
  </si>
  <si>
    <t>TIN No.</t>
  </si>
  <si>
    <t>Amount</t>
  </si>
  <si>
    <t>Vatable Sales</t>
  </si>
  <si>
    <t>Output Tax</t>
  </si>
  <si>
    <t>Ebara Pumps Philippines Inc</t>
  </si>
  <si>
    <t>Canlubang Industrial Estate Bo. Pittland Cabuyao Laguna</t>
  </si>
  <si>
    <t>000-053-704-0000</t>
  </si>
  <si>
    <t>Inventory Supplies</t>
  </si>
  <si>
    <t>Goldilocks Bakeshop, Inc</t>
  </si>
  <si>
    <t>SM Cubao Hypermarket</t>
  </si>
  <si>
    <t>000-054-207-000</t>
  </si>
  <si>
    <t>Employee meals</t>
  </si>
  <si>
    <t>Meralco- Phinma (I)</t>
  </si>
  <si>
    <t>Novaliches Bus Ctr Quirino</t>
  </si>
  <si>
    <t>000-101-528-000</t>
  </si>
  <si>
    <t>Meralco- Phinma (G)</t>
  </si>
  <si>
    <t xml:space="preserve">Novaliches Bus. Ctr Quirino, Q.C </t>
  </si>
  <si>
    <t>Golden Arches Devt Corporation</t>
  </si>
  <si>
    <t>UST Espana</t>
  </si>
  <si>
    <t>000-121-242-188</t>
  </si>
  <si>
    <t>Shakeys</t>
  </si>
  <si>
    <t>000-163-396-102</t>
  </si>
  <si>
    <t>Meeting</t>
  </si>
  <si>
    <t xml:space="preserve">Shakey's </t>
  </si>
  <si>
    <t>G/F UCKG Bldg. Gen Roxas St. Cor. Gen. Araneta St. Cubao QC</t>
  </si>
  <si>
    <t>000-163-396-174</t>
  </si>
  <si>
    <t>Luisita Land Corporation</t>
  </si>
  <si>
    <t>Central San Miguel Tarlac City</t>
  </si>
  <si>
    <t>000-197-814-00002</t>
  </si>
  <si>
    <t>Parking and toll</t>
  </si>
  <si>
    <t>Resstone Commodities Corporation</t>
  </si>
  <si>
    <t>40 B Rivera St. Tinajeros, Malabon City</t>
  </si>
  <si>
    <t>000-246-761-000</t>
  </si>
  <si>
    <t>CLK Supertools Depot Inc</t>
  </si>
  <si>
    <t>315 Dasmarinas St., Brgy. 290, Zone 27, Binondo Manila</t>
  </si>
  <si>
    <t>000-327-109-000</t>
  </si>
  <si>
    <t>Bindy Parts Corporation</t>
  </si>
  <si>
    <t>1261 C.M Recto Ave. Brgy. 260, Zone 024, Sta. Cruz</t>
  </si>
  <si>
    <t>000-330-686-000</t>
  </si>
  <si>
    <t>Fresh N Famoous Food</t>
  </si>
  <si>
    <t>Fairview Terraces Pasong Putik QC</t>
  </si>
  <si>
    <t>000-333-173-627</t>
  </si>
  <si>
    <t>Chowking Sta. Rosa Tagaytay</t>
  </si>
  <si>
    <t xml:space="preserve">Tagaytay Rd. Sta. Rosa, Estates </t>
  </si>
  <si>
    <t>000-333-173-664</t>
  </si>
  <si>
    <t xml:space="preserve">Phillipine Ports Authority </t>
  </si>
  <si>
    <t>North Harbor Tondo Manila</t>
  </si>
  <si>
    <t>000-352-232-003</t>
  </si>
  <si>
    <t>Twin Aces Industries Inc</t>
  </si>
  <si>
    <t>107 Judge Juan Luna St Bungad SFDM QC</t>
  </si>
  <si>
    <t>000-366-356-000</t>
  </si>
  <si>
    <t>1108 Level M1 Edsa Cor. North Ave Bagong Pag Asa QC</t>
  </si>
  <si>
    <t>000-388-474-00480</t>
  </si>
  <si>
    <t>Medicine</t>
  </si>
  <si>
    <t>Sampaloc Manila</t>
  </si>
  <si>
    <t>000-388-474-00494</t>
  </si>
  <si>
    <t>000-388-474-586</t>
  </si>
  <si>
    <t>Jollibee</t>
  </si>
  <si>
    <t>SM City Fairview</t>
  </si>
  <si>
    <t>000-388-771-044</t>
  </si>
  <si>
    <t>Jollibee Paseo de Sta. Rosa</t>
  </si>
  <si>
    <t>Sta. Rosa Laguna</t>
  </si>
  <si>
    <t>000-388-771-176</t>
  </si>
  <si>
    <t>Laguna</t>
  </si>
  <si>
    <t>000-388-771-235</t>
  </si>
  <si>
    <t>000-388-771-236</t>
  </si>
  <si>
    <t>Jollibee Foods Corp.</t>
  </si>
  <si>
    <t>Boni Avenue Maysilo Mandaluyong City</t>
  </si>
  <si>
    <t>000-388-771-325</t>
  </si>
  <si>
    <t>Avesco Marketing Corporation</t>
  </si>
  <si>
    <t>000-400-152-00001</t>
  </si>
  <si>
    <t>Repairs and maintenance-Materials</t>
  </si>
  <si>
    <t>Triumvirate Dev Corp</t>
  </si>
  <si>
    <t>L1 B2 Metropoli Ave., E Rodriguez Jr QC</t>
  </si>
  <si>
    <t>000-604-578-003</t>
  </si>
  <si>
    <t>Philippine Postal Corporation</t>
  </si>
  <si>
    <t>Domestic Rd CMEC Compound Brgy 191 Pasay City</t>
  </si>
  <si>
    <t>000-746-621-01046</t>
  </si>
  <si>
    <t>Ernesto Oppen Inc</t>
  </si>
  <si>
    <t>Cartimar Bry 39 Pasay City</t>
  </si>
  <si>
    <t>000-760-771-000</t>
  </si>
  <si>
    <t>Wendys Hamburger Restaurant</t>
  </si>
  <si>
    <t>Pag Asa QC</t>
  </si>
  <si>
    <t>001-096-949-034</t>
  </si>
  <si>
    <t>Smart Communications, Inc</t>
  </si>
  <si>
    <t>SMART Tower , 6799 Ayala Avenue Makati City</t>
  </si>
  <si>
    <t>SMART Tower, 6799 Ayala Ave., Makati City</t>
  </si>
  <si>
    <t>001-901-673-000</t>
  </si>
  <si>
    <t>Hivorex Industrial Corporation</t>
  </si>
  <si>
    <t>Lawang Bato, Valenzuela City</t>
  </si>
  <si>
    <t>002-563-292-000</t>
  </si>
  <si>
    <t>GYH Industrial Sales Corp</t>
  </si>
  <si>
    <t>457-459 T. Pinpin St Brgy 290 Zone 27 Dist III Binondo Manila</t>
  </si>
  <si>
    <t>002-623-731-000</t>
  </si>
  <si>
    <t>GYH Imdustrial Sales Corp.</t>
  </si>
  <si>
    <t>457-459 T. Pinpin St. Brgy. 290 Zone 27 Dist. III Binondo Manila</t>
  </si>
  <si>
    <t>SM Prime Holdings Inc</t>
  </si>
  <si>
    <t xml:space="preserve">SMF Quirino Highway NCR Second District </t>
  </si>
  <si>
    <t>003-058-765-005</t>
  </si>
  <si>
    <t>SMF Quirino Hway Novaliches</t>
  </si>
  <si>
    <t>003-058-789-00006</t>
  </si>
  <si>
    <t>Saniflex Commercial Inc</t>
  </si>
  <si>
    <t>674 Tomas Mapua St Brgy 305 Zone 29 Dist III Sta Cruz Manila</t>
  </si>
  <si>
    <t>004-454-580-000</t>
  </si>
  <si>
    <t>674 Tomas Mapua St Brgy 305 Zone 29 Dist III Sta. Cruz Manila</t>
  </si>
  <si>
    <t>3F Dona Soledad Ave Brgy Don Bosco Paranaque</t>
  </si>
  <si>
    <t>004-625-830-000</t>
  </si>
  <si>
    <t>Cavitex Infrastructure Corp.</t>
  </si>
  <si>
    <t>PEATC Cmp. Aguinaldo Blvd. Paranaque City</t>
  </si>
  <si>
    <t>004-672-924-000</t>
  </si>
  <si>
    <t>Baler Industrial Corp.</t>
  </si>
  <si>
    <t>10 Resthaven St. San Francisco Del Monte, QC</t>
  </si>
  <si>
    <t>004-710-982-000</t>
  </si>
  <si>
    <t>NLEX Corporation</t>
  </si>
  <si>
    <t>Km 12 NLEX Compound, Balintawak, Caloocan City</t>
  </si>
  <si>
    <t>004-948-946-000</t>
  </si>
  <si>
    <t>Km 12 NLEX Compound, Balintawak Caloocan City</t>
  </si>
  <si>
    <t>004-964-945-000</t>
  </si>
  <si>
    <t>Km 12 NLEX Compound Balintawak Caloocan City</t>
  </si>
  <si>
    <t>004-983-946-000</t>
  </si>
  <si>
    <t>004-984-946-000</t>
  </si>
  <si>
    <t xml:space="preserve">Burger King </t>
  </si>
  <si>
    <t>Lot 6 &amp; blk 66 Commonwealth ave Fairview Qc</t>
  </si>
  <si>
    <t>005-009-744-0</t>
  </si>
  <si>
    <t xml:space="preserve">Rustans Marketing </t>
  </si>
  <si>
    <t>005-120-744-013</t>
  </si>
  <si>
    <t>Employee benefits</t>
  </si>
  <si>
    <t>Salinas (IM) Corporation</t>
  </si>
  <si>
    <t>33 Scout Rallos St. L aging Handa QC</t>
  </si>
  <si>
    <t>005-198-909-000</t>
  </si>
  <si>
    <t>LISP I- Locators Association Inc</t>
  </si>
  <si>
    <t>Bo. Diezmo Cabuyao Laguna</t>
  </si>
  <si>
    <t>005-242-510-000</t>
  </si>
  <si>
    <t>Association fee</t>
  </si>
  <si>
    <t>Taiwanese Cuisine</t>
  </si>
  <si>
    <t>Bagumbayan QC</t>
  </si>
  <si>
    <t>005-341-312-051</t>
  </si>
  <si>
    <t>Beyond Global MultiSales Corp.</t>
  </si>
  <si>
    <t>Golden Arcade 580 F Torres St. Brgy. 303, Zone 29 District III Sta. Cruz</t>
  </si>
  <si>
    <t>006-600-490-007</t>
  </si>
  <si>
    <t>Beyond Global Multisales Corp.</t>
  </si>
  <si>
    <t>Unit I and G Golden Arcade 580 F. Torres St., Brgy. 303 Zone 029 District III, Sta. Cruz, Manila</t>
  </si>
  <si>
    <t xml:space="preserve">True Value </t>
  </si>
  <si>
    <t>Techno Plaza 2 Eastwood Bagumbayan</t>
  </si>
  <si>
    <t>006-643-830-012</t>
  </si>
  <si>
    <t>Private Infra Dev Corporation TPLEX</t>
  </si>
  <si>
    <t>Unit 4B 4TH Floor San Miguel Properties Mandaluyong</t>
  </si>
  <si>
    <t>006-887-378-000</t>
  </si>
  <si>
    <t>Private Infra Dev Corporation- TPLEX</t>
  </si>
  <si>
    <t>Unit 4 B 4th floor San Miguel Ortigas Center Wack Wack Mandaluyong</t>
  </si>
  <si>
    <t>Brusmick Place Balibago</t>
  </si>
  <si>
    <t>L1 Balibago Rd cor RSBS Blvd Sta Rosa Laguna</t>
  </si>
  <si>
    <t>006-940-152-000</t>
  </si>
  <si>
    <t>Total Janburlai Corporation</t>
  </si>
  <si>
    <t>Lot along Tipo Expressway near Tipo Security Plaza</t>
  </si>
  <si>
    <t>006-973-617-000</t>
  </si>
  <si>
    <t>Titanium Star Foods Coro</t>
  </si>
  <si>
    <t>Turbina Calamba Laguna</t>
  </si>
  <si>
    <t>007-167-375-000</t>
  </si>
  <si>
    <t>Kenny Rogers Roasters</t>
  </si>
  <si>
    <t>UG/F SMF QC</t>
  </si>
  <si>
    <t>007-189-834-015</t>
  </si>
  <si>
    <t>AL and TL Food Franchise Corp</t>
  </si>
  <si>
    <t>Blk 48 GF Harbour Square CCP Complex</t>
  </si>
  <si>
    <t>007-823-719-000</t>
  </si>
  <si>
    <t xml:space="preserve">Congo Grille </t>
  </si>
  <si>
    <t>Diezmo Cabuyao Laguna</t>
  </si>
  <si>
    <t>007-855-866-126</t>
  </si>
  <si>
    <t>Bistro Americano Eastwood Mall Corp TGI Fridays</t>
  </si>
  <si>
    <t>GF Unit CW II Citywalk I Bagumbayan QC</t>
  </si>
  <si>
    <t>008-114-391-000</t>
  </si>
  <si>
    <t>JAO Restaurante Inc.</t>
  </si>
  <si>
    <t>Edsa Corner NIA PDEA Rd Brgy. Pinyahan QC</t>
  </si>
  <si>
    <t>008-476-403-000</t>
  </si>
  <si>
    <t>Quan U Furniture</t>
  </si>
  <si>
    <t>CCP 104-B SM City North Edsa Bagong Pag Asa</t>
  </si>
  <si>
    <t>008-492-276-002</t>
  </si>
  <si>
    <t>Valucore Business Ventures Corporation</t>
  </si>
  <si>
    <t>Km 23 North Luzon Expressway Lias Marilao Bulacan</t>
  </si>
  <si>
    <t>008-497-158-000</t>
  </si>
  <si>
    <t>Vertex Tollways Devt Inc</t>
  </si>
  <si>
    <t>San Miguel Ave Mandaluyong</t>
  </si>
  <si>
    <t>008-541-677-00000</t>
  </si>
  <si>
    <t>Topnotch 101 Retail &amp; Services Inc.</t>
  </si>
  <si>
    <t>Blk 11 Lot 1 Walk 3 Eton Sta. Rosa Laguna</t>
  </si>
  <si>
    <t>008-577-571-0010</t>
  </si>
  <si>
    <t>Hansbury Inc</t>
  </si>
  <si>
    <t>North Edsa North Ave QC</t>
  </si>
  <si>
    <t>008-658-631-020</t>
  </si>
  <si>
    <t>Beauty Republic Internationale Inc.</t>
  </si>
  <si>
    <t>U-603B GC Corporate Plaza 150 Legaspi Village San Lorenzo Makati City</t>
  </si>
  <si>
    <t>008-711-750-000</t>
  </si>
  <si>
    <t>Lumiere Trading Philippines</t>
  </si>
  <si>
    <t>12D One Orchard Rd Bldg Eastwood St Bagumbayan 3 QC</t>
  </si>
  <si>
    <t>008-894-134-000</t>
  </si>
  <si>
    <t>Coffee Table Inc</t>
  </si>
  <si>
    <t>G/F Space 033 Gateway Mall Araneta Center, Soccoro Cubao QC</t>
  </si>
  <si>
    <t>008-976-889-035</t>
  </si>
  <si>
    <t>Jollibee Pulo Cabuyao</t>
  </si>
  <si>
    <t>Cabuyao Laguna</t>
  </si>
  <si>
    <t>009-025-198-000</t>
  </si>
  <si>
    <t>Pulo Cabuyao</t>
  </si>
  <si>
    <t>009-025-198-0000</t>
  </si>
  <si>
    <t>Jollibee 9th Avenue</t>
  </si>
  <si>
    <t>9th Avenue cor Rizal Ave Caloocan City</t>
  </si>
  <si>
    <t>009-044-447-000</t>
  </si>
  <si>
    <t>9th Ave cor Rizal Ave Caloocan</t>
  </si>
  <si>
    <t>McSeina Restaurant Corporation</t>
  </si>
  <si>
    <t>Novaliches QC</t>
  </si>
  <si>
    <t>009-077-946-000</t>
  </si>
  <si>
    <t>MC Seina Restaurant Corporation</t>
  </si>
  <si>
    <t>Zabarte Ave Cor Camarin Ave</t>
  </si>
  <si>
    <t>Master So Supply Center Inc.</t>
  </si>
  <si>
    <t>009-152-952-000</t>
  </si>
  <si>
    <t>Wilcon Depot Inc</t>
  </si>
  <si>
    <t>90 E Rodriguez Jr Ave Brgy Ugong Norte D3 QC</t>
  </si>
  <si>
    <t>009-192-878-00000</t>
  </si>
  <si>
    <t>009-192-878-035</t>
  </si>
  <si>
    <t>Bright Well Crystal Trading &amp; Builders Corporation</t>
  </si>
  <si>
    <t>730-936 Ongpin St Brgy 298 Zone 29 Sta Cruz Manila</t>
  </si>
  <si>
    <t>009-254-394-001</t>
  </si>
  <si>
    <t>Brightwell Crystal Trading &amp; Builders Corporation</t>
  </si>
  <si>
    <t>936 Ongpin St., Brgy. 298 Zone 029 Sta. Cruz, Manila</t>
  </si>
  <si>
    <t>Triple S Medical &amp; Dental Trading Corporation</t>
  </si>
  <si>
    <t>1629 Bambang St., Brgy. 320 Zone 032 Sta.Cruz Manila</t>
  </si>
  <si>
    <t>009-304-855-000</t>
  </si>
  <si>
    <t>Multiple M Fuel Services Inc</t>
  </si>
  <si>
    <t>Blk 46 Congressional Rd. Ext Bagumbong Brgy. 171</t>
  </si>
  <si>
    <t>009-578-448-0000</t>
  </si>
  <si>
    <t>Gasoline</t>
  </si>
  <si>
    <t>009-678-448-0000</t>
  </si>
  <si>
    <t>First Ching Food Resource Corporation</t>
  </si>
  <si>
    <t>152 Roosevelt Ave. Brgy. Paraiso QC</t>
  </si>
  <si>
    <t>009-755-109-000</t>
  </si>
  <si>
    <t>Jollibee Fairview Regalado</t>
  </si>
  <si>
    <t>Lot 1 &amp; 3 Blk 31 DMMA cor. Regalado Ave</t>
  </si>
  <si>
    <t>009-903-749-001</t>
  </si>
  <si>
    <t>McDelight South Inc</t>
  </si>
  <si>
    <t>San Antonio San Pedro Laguna</t>
  </si>
  <si>
    <t>010-140-403-000</t>
  </si>
  <si>
    <t>Waly- Wall Trend Phils</t>
  </si>
  <si>
    <t>476-478 E.T Yuchengco St. Brgy. 290 Zone 27 Binondo Manila</t>
  </si>
  <si>
    <t>103-207-195-000</t>
  </si>
  <si>
    <t>Waly-Wall Trend Phils</t>
  </si>
  <si>
    <t>476-478 E.T Yuchengco St. Brgy. 290, Zone 27 Binondo Manila</t>
  </si>
  <si>
    <t>A Chua Enterprises</t>
  </si>
  <si>
    <t>Deparo Caloocan City</t>
  </si>
  <si>
    <t>103-312-891-000</t>
  </si>
  <si>
    <t xml:space="preserve">Caltex </t>
  </si>
  <si>
    <t>504 EDSA Cor. U. Plata St. Caloocan City</t>
  </si>
  <si>
    <t>103-761-019-000</t>
  </si>
  <si>
    <t>To Suy Screw Hardware</t>
  </si>
  <si>
    <t>743-745 Tomas Mapua St., Brgy. 305 Zone 029 Sta. Cruz, Manila</t>
  </si>
  <si>
    <t>103-905-204-004</t>
  </si>
  <si>
    <t>Zabarte Petron Service Station</t>
  </si>
  <si>
    <t>69 Old Zabarte Rd Brgy Kaligayahan</t>
  </si>
  <si>
    <t>103-966-503-0002</t>
  </si>
  <si>
    <t>Brgy Kaligayahan Novaliches</t>
  </si>
  <si>
    <t>Petron</t>
  </si>
  <si>
    <t>Masangkay Computer Center</t>
  </si>
  <si>
    <t>1143 G. Masangkay St. Brgy. 266 Zone 24 Dist II Sta. Cruz, Manila</t>
  </si>
  <si>
    <t>106-690-242-000</t>
  </si>
  <si>
    <t>Office equipment</t>
  </si>
  <si>
    <t>Goal Team Trading</t>
  </si>
  <si>
    <t>8-B Joy St. Grace Village Balingasa QC</t>
  </si>
  <si>
    <t>115-867-763-000</t>
  </si>
  <si>
    <t>Everlastic Trading</t>
  </si>
  <si>
    <t>193 Maysan Road Maysan Valenzuela City</t>
  </si>
  <si>
    <t>123-515-177-000</t>
  </si>
  <si>
    <t>193 Maysan Rd. Maysan, Valenzuela City</t>
  </si>
  <si>
    <t>Centennial Shell Service Station</t>
  </si>
  <si>
    <t>1205 Tayuman Cor. J.A Santos Sts.Brgy. 226 Zone 21 Tondo Manila</t>
  </si>
  <si>
    <t>144-157-854-014</t>
  </si>
  <si>
    <t>Gigawealth Gasoline Station</t>
  </si>
  <si>
    <t>Congressional Ave. Brgy. Bahay Toro District 1 QC</t>
  </si>
  <si>
    <t>152-088-724-008</t>
  </si>
  <si>
    <t xml:space="preserve">Bien Cee Hardware </t>
  </si>
  <si>
    <t>152-744-932-000</t>
  </si>
  <si>
    <t>N Clamor Petron Service Center</t>
  </si>
  <si>
    <t>245 Susano rd Deparo Kalookan</t>
  </si>
  <si>
    <t>158-844-204-0000</t>
  </si>
  <si>
    <t>N. Clamor Petron Service Center</t>
  </si>
  <si>
    <t>245 Susano Rd Deparo Kalookan City</t>
  </si>
  <si>
    <t>New Extensive Auto Supply</t>
  </si>
  <si>
    <t>Binondo Manila</t>
  </si>
  <si>
    <t>165-476-628-000</t>
  </si>
  <si>
    <t>M3A Gasoline Station</t>
  </si>
  <si>
    <t>341 G Araneta Ave Cor Baloy St Brgy Santol QC</t>
  </si>
  <si>
    <t>189-596-454-0002</t>
  </si>
  <si>
    <t>Hey Star Trading</t>
  </si>
  <si>
    <t>189-750-275-000</t>
  </si>
  <si>
    <t>Goldtown Imports</t>
  </si>
  <si>
    <t>160 M.H Del Pilar St Brgy 106 Caloocan City</t>
  </si>
  <si>
    <t>199-080-925-000</t>
  </si>
  <si>
    <t>Goltown Imports</t>
  </si>
  <si>
    <t>160 M.H Del Pilar St. Brgy. 106 Caloocan City</t>
  </si>
  <si>
    <t>Ace Hardware Philippines Inc</t>
  </si>
  <si>
    <t>SMF Annex Quirino Highway Novaliches QC</t>
  </si>
  <si>
    <t>200-035-311-002</t>
  </si>
  <si>
    <t>Ace Hardware</t>
  </si>
  <si>
    <t>GF Sm City Fairview Annex Quirino Highway Cor Regalado Novaliches QC</t>
  </si>
  <si>
    <t>200-038-311-002</t>
  </si>
  <si>
    <t>Our Home</t>
  </si>
  <si>
    <t>SM City North Edsa</t>
  </si>
  <si>
    <t>200-282-826-023</t>
  </si>
  <si>
    <t>VECO Stationery Inc</t>
  </si>
  <si>
    <t>499 ET Yuchengco  St Brgy. 289 Zone 27Binondo Manila</t>
  </si>
  <si>
    <t>200-483-914-000</t>
  </si>
  <si>
    <t>Office supplies</t>
  </si>
  <si>
    <t>VECO Stationery , Inc.</t>
  </si>
  <si>
    <t>499 E.T Yuchengco St., Brgy. 289, Zone 027, Binondo, Manila</t>
  </si>
  <si>
    <t>Security Car Park Mgt. Corp.</t>
  </si>
  <si>
    <t>475 Yuchengco St. Brgy. 289 Zone 27, Binondo Manila</t>
  </si>
  <si>
    <t>202-042-752-006</t>
  </si>
  <si>
    <t>Uno Fuel Incorporated Branch</t>
  </si>
  <si>
    <t>Zabarte Rd Brgy Kaligayahn Novaliches QC</t>
  </si>
  <si>
    <t>205-214-184-018</t>
  </si>
  <si>
    <t>L3 Blck 2 Zabarte Rd. Kaligayahan Novaliches QC</t>
  </si>
  <si>
    <t>Km 44 SL Brgy Mapagong Sitio Latian Calamba Laguna</t>
  </si>
  <si>
    <t>207-247-094-000</t>
  </si>
  <si>
    <t>Km 44 South Luzon Brgy. Paging Sitio Latian Calamba Laguna</t>
  </si>
  <si>
    <t>New Jabonga Hardware</t>
  </si>
  <si>
    <t>830 Espela St. Brgy. 297 Zone 029 Sta. Cruz Manila</t>
  </si>
  <si>
    <t>208-268-761-000</t>
  </si>
  <si>
    <t>Super Shopping Market Inc</t>
  </si>
  <si>
    <t>SM Hypermarket Cubao Main Ave EDSA Socorro</t>
  </si>
  <si>
    <t>209-609-185-00023</t>
  </si>
  <si>
    <t xml:space="preserve">Limson Marketing Inc </t>
  </si>
  <si>
    <t>Gil Puyat Ave Ext. Cor. Diosdado Macapagal Blvd. Pasay City</t>
  </si>
  <si>
    <t>211-546-134-002</t>
  </si>
  <si>
    <t>Dagamis Sash &amp; Wood Works</t>
  </si>
  <si>
    <t xml:space="preserve">4 St Jude St Zabarte Rd Kaligayahan Novaliches </t>
  </si>
  <si>
    <t>212-741-805-000</t>
  </si>
  <si>
    <t>Gerry's Grill</t>
  </si>
  <si>
    <t>216-111-005-000</t>
  </si>
  <si>
    <t>Gazz Up Inc.</t>
  </si>
  <si>
    <t>Santiago Concepcion Tarlac</t>
  </si>
  <si>
    <t>218-157-626-0080</t>
  </si>
  <si>
    <t>Consolidated Global Imports Inc</t>
  </si>
  <si>
    <t>UN Ave. Cor Churucca St.  Brgy 666 Zone 72 Ermita</t>
  </si>
  <si>
    <t>219-294-991-499</t>
  </si>
  <si>
    <t>181 A Bonifacio</t>
  </si>
  <si>
    <t>219-371-010-0000</t>
  </si>
  <si>
    <t>Max's Kitchen, Inc.</t>
  </si>
  <si>
    <t>L1 Unit 1 Blk 3A Harbour Square CCP Complex BUK Brgy. 719 Manila</t>
  </si>
  <si>
    <t>221-007-336-054</t>
  </si>
  <si>
    <t>Max's Kitchen, Inc</t>
  </si>
  <si>
    <t>L1 Unit 1 Blk 3A Harbour Square CCP Complex BUK Brgy 179, Manila</t>
  </si>
  <si>
    <t>Max's Kitchen Inc</t>
  </si>
  <si>
    <t>L1 Unit 1 Blk 3A Harbour Square CCP Complex</t>
  </si>
  <si>
    <t xml:space="preserve">JPL Service Station &amp; Gen. Merchandise </t>
  </si>
  <si>
    <t>Lot 16 Blk 176 Commonwealth Ave., North Fairview QC</t>
  </si>
  <si>
    <t>223-100-496-0000</t>
  </si>
  <si>
    <t>Marine Aquatic Supplies</t>
  </si>
  <si>
    <t>9 Orestes Lane, Bagong Lipunan ng Crame Cubao, QC</t>
  </si>
  <si>
    <t>225-110-309-000</t>
  </si>
  <si>
    <t>CW Home Depot- Balintawak</t>
  </si>
  <si>
    <t>1240 EDSA Brgy. A. Samson QC</t>
  </si>
  <si>
    <t>225-311-296-001</t>
  </si>
  <si>
    <t>CW Marketing and Development Corp.</t>
  </si>
  <si>
    <t xml:space="preserve">CW Home Depot </t>
  </si>
  <si>
    <t>Sta Rosa  Laguna</t>
  </si>
  <si>
    <t>225-311-296-009</t>
  </si>
  <si>
    <t>Richland Auto Supply</t>
  </si>
  <si>
    <t>231-090-763-000</t>
  </si>
  <si>
    <t>Japan Home Inc.</t>
  </si>
  <si>
    <t>Space 1070 &amp; 1071 EDSA N. Ave, Bagong Pag-Asa QC</t>
  </si>
  <si>
    <t>234-634-259-023</t>
  </si>
  <si>
    <t xml:space="preserve">Easytrip Services </t>
  </si>
  <si>
    <t>Oranbo Pasig City</t>
  </si>
  <si>
    <t>238-685-616-000</t>
  </si>
  <si>
    <t>Travelling expense</t>
  </si>
  <si>
    <t>Easytrip Services Corporation</t>
  </si>
  <si>
    <t>Unit 701 Citystate Centre</t>
  </si>
  <si>
    <t>Trade One Incorporated</t>
  </si>
  <si>
    <t>56 Aragon St. Cor J.J Luna St</t>
  </si>
  <si>
    <t>239-621-514-000</t>
  </si>
  <si>
    <t>Avent Holdings Corp</t>
  </si>
  <si>
    <t>Roxas Blvd Manila</t>
  </si>
  <si>
    <t>241-685-314-001</t>
  </si>
  <si>
    <t>Tea Tree Beverage Store</t>
  </si>
  <si>
    <t>Gat Tayaw St Pag Asa Liliw Laguna</t>
  </si>
  <si>
    <t>243-477-212-022</t>
  </si>
  <si>
    <t>Zefina Mega Sales Corporation</t>
  </si>
  <si>
    <t>JB Vargas St., Mandaluyong City</t>
  </si>
  <si>
    <t>245-463-837-000</t>
  </si>
  <si>
    <t>Perry's Fuel Distribution, Inc.</t>
  </si>
  <si>
    <t xml:space="preserve">Pulo-Diezmo Road Cabuyao City Laguna </t>
  </si>
  <si>
    <t>246-390-220-0024</t>
  </si>
  <si>
    <t>Watervent Marketing</t>
  </si>
  <si>
    <t>828 Espeleta St. Brgy. 297 Zone 029 Sta. Cruz Manila</t>
  </si>
  <si>
    <t>247-500-554-000</t>
  </si>
  <si>
    <t>Kotinson Industrial Chemical Sales</t>
  </si>
  <si>
    <t>7 Unit F ULMCO Bldg Brgy Masambong Corumi St SFDM QC</t>
  </si>
  <si>
    <t>248-725-625-000</t>
  </si>
  <si>
    <t>Septfour Industrial Supply</t>
  </si>
  <si>
    <t>Sta Cruz Manila</t>
  </si>
  <si>
    <t>256-125-447-000</t>
  </si>
  <si>
    <t>Warcon Industrial Supply</t>
  </si>
  <si>
    <t>259-008-046-000</t>
  </si>
  <si>
    <t>Adjj Restaurant</t>
  </si>
  <si>
    <t>278-245-208-000</t>
  </si>
  <si>
    <t>Bouchyman Trading</t>
  </si>
  <si>
    <t>5 Angelo St. Brgy Paang Bundok La Loma QC</t>
  </si>
  <si>
    <t>401-075-720-000</t>
  </si>
  <si>
    <t>5 Angelo St., Brgy. Paang Bundok, La Loma QC</t>
  </si>
  <si>
    <t>ASQSR Food Management Corporation</t>
  </si>
  <si>
    <t>Total Slt. Km24 SLEX Sta. Rosa City Laguna</t>
  </si>
  <si>
    <t>412-772-480-001</t>
  </si>
  <si>
    <t>Century SUN Trading</t>
  </si>
  <si>
    <t>592 National Hi Way Banay Banay Cabuyao Laguna</t>
  </si>
  <si>
    <t>418-762-896-000</t>
  </si>
  <si>
    <t>Balbon Coco Lumber</t>
  </si>
  <si>
    <t>419-324-361-000</t>
  </si>
  <si>
    <t>RMV Hardware</t>
  </si>
  <si>
    <t>Bagumbong Dist I, Caloocan City</t>
  </si>
  <si>
    <t>425-259-111-000</t>
  </si>
  <si>
    <t>Flimco Enterprises</t>
  </si>
  <si>
    <t>Li Seng Giap Bldg. 339 Muelle de Binondo St. Brgy. 282 Zone 025 San Nicolas Manila</t>
  </si>
  <si>
    <t>440-212-341-000</t>
  </si>
  <si>
    <t>Infinity Hardware</t>
  </si>
  <si>
    <t>472-360-511-000</t>
  </si>
  <si>
    <t>Giligans SM Hypermarket Cubao</t>
  </si>
  <si>
    <t>488-179-314-001</t>
  </si>
  <si>
    <t>Exly Enterprises</t>
  </si>
  <si>
    <t>489-890-565-000</t>
  </si>
  <si>
    <t>7-Eleven</t>
  </si>
  <si>
    <t>Congressional Rd Ext Vicas North Caloocan City</t>
  </si>
  <si>
    <t>730-275-248-000</t>
  </si>
  <si>
    <t>7- Eleven</t>
  </si>
  <si>
    <t>Vicas</t>
  </si>
  <si>
    <t>HD Carbonell Enterprise</t>
  </si>
  <si>
    <t>Congressional Rd. Ext Vicas North Caloocan City</t>
  </si>
  <si>
    <t>Steelers Iron Supply</t>
  </si>
  <si>
    <t>906-051-557-000</t>
  </si>
  <si>
    <t>JS Petron Service Station</t>
  </si>
  <si>
    <t>Gen Luis St Brgy 166 Caybiga Calooccan</t>
  </si>
  <si>
    <t>910-938-365-000</t>
  </si>
  <si>
    <t>Roosevelt Ave., San Jose, QC</t>
  </si>
  <si>
    <t>925-649-214-003</t>
  </si>
  <si>
    <t>Freenor Auto Supply</t>
  </si>
  <si>
    <t>72-D Kitanlad St Brgy Tatalon QC</t>
  </si>
  <si>
    <t>928-915-974-000</t>
  </si>
  <si>
    <t>Urban Café</t>
  </si>
  <si>
    <t>Ugong Norte QC</t>
  </si>
  <si>
    <t>Streamline Blinds Corp</t>
  </si>
  <si>
    <t xml:space="preserve"> VAT Hardware Expenses for the Month of May 2019</t>
  </si>
  <si>
    <t>South Supermarket Sta. Rosa</t>
  </si>
  <si>
    <t>B10 L1 Sta. Rosa Don Jose Sta. Rosa Laguna</t>
  </si>
  <si>
    <t>000-123-826-002</t>
  </si>
  <si>
    <t>Society of St. Paul Incorporated</t>
  </si>
  <si>
    <t>SM City Main Branch UGF SM City North Edsa, QC</t>
  </si>
  <si>
    <t>000-143-959-004</t>
  </si>
  <si>
    <t>Welding Industries of the Philippines, Inc.</t>
  </si>
  <si>
    <t>111 Baesa Rd. Brgy. 158 Zone 14 District 1, Caloocan city</t>
  </si>
  <si>
    <t>000-198-920-000</t>
  </si>
  <si>
    <t>Inventory supplies</t>
  </si>
  <si>
    <t>Trinity Marketing Inc.</t>
  </si>
  <si>
    <t>496 E.T Yuchengco St. (formerly Nueva) Brgy. 289 Zone 27 Binondo Manila</t>
  </si>
  <si>
    <t>000-327-489-000</t>
  </si>
  <si>
    <t>Fresh N Famous Foods, Inc.</t>
  </si>
  <si>
    <t>Fresh N' Famous Foods Inc</t>
  </si>
  <si>
    <t xml:space="preserve">Sta. Rosa Estate </t>
  </si>
  <si>
    <t>Twin Aces Industries</t>
  </si>
  <si>
    <t>107 Judge Juan Luna St. Bungad SFDM Quezon city</t>
  </si>
  <si>
    <t>Km 40 Total Stn Malitlit Sta. Rosa Laguna</t>
  </si>
  <si>
    <t>HMR Philippines Inc</t>
  </si>
  <si>
    <t>Main Ave. Brgy. Soccoro 3, QC</t>
  </si>
  <si>
    <t>001-966-859-038</t>
  </si>
  <si>
    <t>Enchanted Kingdom, Inc</t>
  </si>
  <si>
    <t>004-149-597-000</t>
  </si>
  <si>
    <t>SM Store</t>
  </si>
  <si>
    <t>Fairview Quirino Hi Way Pasong Putik Fairview</t>
  </si>
  <si>
    <t>004-563-344-000</t>
  </si>
  <si>
    <t>Citra Metro Manila Tollways</t>
  </si>
  <si>
    <t>3/F Dona Soledad Avenue Brgy. Don Bosco Paranaque City</t>
  </si>
  <si>
    <t>3F Dona Soledad Ave Brgy. Don Bosco Paranaque</t>
  </si>
  <si>
    <t>004-984-946-0000</t>
  </si>
  <si>
    <t>Perf Restaurants Inc.</t>
  </si>
  <si>
    <t>Quezon Ave Cor. Kanlaon St. Sta. Teresita 1 QC</t>
  </si>
  <si>
    <t>005-009-744-013</t>
  </si>
  <si>
    <t>Star Infrastructure Development Corporation</t>
  </si>
  <si>
    <t>Brgy. Tambo Lipa City</t>
  </si>
  <si>
    <t>005-580-396-000</t>
  </si>
  <si>
    <t>Delicioso Fine Foods Inc</t>
  </si>
  <si>
    <t>220B -221 SM City North Edsa Brgy. Sto. Cristo North Edsa</t>
  </si>
  <si>
    <t>007-492-687-000</t>
  </si>
  <si>
    <t>Karated Kid Roving Van</t>
  </si>
  <si>
    <t>007-855-866-000</t>
  </si>
  <si>
    <t>KFC</t>
  </si>
  <si>
    <t>Shell Station South Luzon Tollway Sto. Tomas, Binan Laguna</t>
  </si>
  <si>
    <t>008-184-666-024</t>
  </si>
  <si>
    <t>Megapower Industrial Mill Supply Corp</t>
  </si>
  <si>
    <t>800 G A. Bonifacio Drive Balintawak QC</t>
  </si>
  <si>
    <t>008-321-356-000</t>
  </si>
  <si>
    <t>RS Components Corporation</t>
  </si>
  <si>
    <t>Floor 21 Multinational Bancorporation Centre 6805 Ayala Ave. Makati</t>
  </si>
  <si>
    <t>008-449-129-000</t>
  </si>
  <si>
    <t>Hydron Corporation</t>
  </si>
  <si>
    <t>3C Buenviaje St. Cor. Northsikap Brgy. Plainview Mandaluyong City</t>
  </si>
  <si>
    <t>008-518-477-000</t>
  </si>
  <si>
    <t>Circulus 46:10 Corp</t>
  </si>
  <si>
    <t>SM Hypermarket Cubao</t>
  </si>
  <si>
    <t>008-545-037-022</t>
  </si>
  <si>
    <t>008-577-571-0001</t>
  </si>
  <si>
    <t>Buddys</t>
  </si>
  <si>
    <t>Unit A 2-3 Ground Floor 2nd Flr Eastwood Citywalk 1 Brgy. Bagumbayan QC</t>
  </si>
  <si>
    <t>008-631-922-007</t>
  </si>
  <si>
    <t>Genemeds, Inc.</t>
  </si>
  <si>
    <t>Phs 10 Pck 6 Blck 4 Lot 1 Along Yaman Market B.S Caloocan City</t>
  </si>
  <si>
    <t>008-669-828-008</t>
  </si>
  <si>
    <t>Super Good Choice Convenience Store, Inc.</t>
  </si>
  <si>
    <t>2071 Espana Blvd Cor Ibarra St. Zone 051, Brgy. 513 Sampaloc Manila</t>
  </si>
  <si>
    <t>008-702-637-002</t>
  </si>
  <si>
    <t>Krispy Kreme Doughnuts</t>
  </si>
  <si>
    <t>009-011-141-003</t>
  </si>
  <si>
    <t>Siena Fast Food Service</t>
  </si>
  <si>
    <t>Along Del Monte Ave. cor Sto. Domingo</t>
  </si>
  <si>
    <t>009-017-556-000</t>
  </si>
  <si>
    <t>Mc Seina Restaurant Corporation</t>
  </si>
  <si>
    <t>Zabarte Ave. Cor Camarin Ave Kaligayahan Novaliches</t>
  </si>
  <si>
    <t>Zabarte Ave Cor Camarin Ave Kaligayahan 2 Novaliches QC</t>
  </si>
  <si>
    <t>Wilcon Depot Inc- Sta. Rosa</t>
  </si>
  <si>
    <t>Tagaytay Rd. Pulong Sta. Cruz City of Sta. Rosa Laguna</t>
  </si>
  <si>
    <t>Toolsco Industrial Corp.</t>
  </si>
  <si>
    <t>Pulo- Diezmo Rd. Brgy. Pulo, Cabuyao Laguna</t>
  </si>
  <si>
    <t>009-547-413-000</t>
  </si>
  <si>
    <t>Cyber Tower One, Gen. Aguinaldo St. Cubao QC</t>
  </si>
  <si>
    <t>009-557-394-000</t>
  </si>
  <si>
    <t>YOYOGO Trading LTD. Corp.</t>
  </si>
  <si>
    <t>Unit 592, 594, 595 Level 5 Main Wing Shangri La Plaza Edsa Cor. Shaw Blvd</t>
  </si>
  <si>
    <t>009-594-857-009</t>
  </si>
  <si>
    <t>Newatori Desu Co</t>
  </si>
  <si>
    <t>SMF Quirino Highway QC</t>
  </si>
  <si>
    <t>009-854-994-001</t>
  </si>
  <si>
    <t>Km 29 South Luzon Expressway, Brgy. San Antonio San Pedro Laguna</t>
  </si>
  <si>
    <t>McDelight South</t>
  </si>
  <si>
    <t>Km 29 SLEX Brgy. San Antonio San Pedro Laguna</t>
  </si>
  <si>
    <t>22 MSTAR Ventures</t>
  </si>
  <si>
    <t>Cecelia Yulo Ave., Brgy. Canlubang</t>
  </si>
  <si>
    <t>010-271-461-000</t>
  </si>
  <si>
    <t>A. Chua Enterprises</t>
  </si>
  <si>
    <t>47 Susano Rd Deparo Caloocan City</t>
  </si>
  <si>
    <t>69 Old Zabarte Rd. Brgy. Kaligayahan, Novaliches, QC</t>
  </si>
  <si>
    <t>69 Old Zabarte Rd Brgy. Kaligayahan Novaliches QC</t>
  </si>
  <si>
    <t>CQA Fuel Store</t>
  </si>
  <si>
    <t>Railroad St. Cor 25th St. Brgy. 653 Zone 068 Port Area Manila</t>
  </si>
  <si>
    <t>110-865-687-0000</t>
  </si>
  <si>
    <t>193 Maysan Rd. Maysan Valenzuela City</t>
  </si>
  <si>
    <t>Kimten Auto Supply</t>
  </si>
  <si>
    <t>18 Susano Rd Brgy Deparo Caloocan Citty</t>
  </si>
  <si>
    <t>129-467-111-000</t>
  </si>
  <si>
    <t>18 Susano Rd Brgy Deparo Caloocan City</t>
  </si>
  <si>
    <t xml:space="preserve">N. Clamor Petron Service </t>
  </si>
  <si>
    <t>245 Susano Rd. Deparo</t>
  </si>
  <si>
    <t>158-844-204-000</t>
  </si>
  <si>
    <t>MSY Auto Supply</t>
  </si>
  <si>
    <t>B1 L34 SM Homes Bldg Susano Rd Brgy Deparo 2 QC</t>
  </si>
  <si>
    <t>177-148-257-000</t>
  </si>
  <si>
    <t>SM Homes Bldg. Susana Rd/ Brgy. Deparo 2, Caloocan City</t>
  </si>
  <si>
    <t>GF SMF Annex Quirino Highway</t>
  </si>
  <si>
    <t>SM City North EDSA Cor. North Ave. QC</t>
  </si>
  <si>
    <t>200-035-311-034</t>
  </si>
  <si>
    <t>Tagaytay- Balibago Rd. Sta. Rosa City</t>
  </si>
  <si>
    <t>200-035-311-084</t>
  </si>
  <si>
    <t>200-036-311-084</t>
  </si>
  <si>
    <t xml:space="preserve">Ace Hardware </t>
  </si>
  <si>
    <t>Tagaytay- Balibago Sta. Rosa Laguna</t>
  </si>
  <si>
    <t>Km 44 South Luzon Brgy. Mapagong Sitio Latian Calamba Laguna</t>
  </si>
  <si>
    <t xml:space="preserve">Watsons </t>
  </si>
  <si>
    <t>Outlet 2 SM City Fairview Quirino Highway Cor Regalado Ave. Brgy. Greater Lagro</t>
  </si>
  <si>
    <t>214-706-591-015</t>
  </si>
  <si>
    <t>JPL Service Station &amp; Gen Merchandise</t>
  </si>
  <si>
    <t>Cobankiat Marketing Corporation</t>
  </si>
  <si>
    <t>231 Juan Luna St. Binondo Manila</t>
  </si>
  <si>
    <t>223-905-562-000</t>
  </si>
  <si>
    <t xml:space="preserve">SLT Gasmart Corporation </t>
  </si>
  <si>
    <t>South Luzon Tollway Putatan Tunasan Muntinlupa City</t>
  </si>
  <si>
    <t>224-548-042-000</t>
  </si>
  <si>
    <t>CW Home Depot</t>
  </si>
  <si>
    <t>EDSA Balintawak QC</t>
  </si>
  <si>
    <t>Avent Holdings Corp.</t>
  </si>
  <si>
    <t>Harbour Square Pedro Bucaneg St.,, CCP Complex Roxas Blvd Manila</t>
  </si>
  <si>
    <t>Unit 227 2/F Annex Bldg. SM City North Edsa, Brgy. Sto. Cristo North Edsa</t>
  </si>
  <si>
    <t>245-603-492-013</t>
  </si>
  <si>
    <t>Goldpeak Tools and Hardware</t>
  </si>
  <si>
    <t>938 Blumentritt St. Brgy. 513 Zone 51, Sampaloc Manila</t>
  </si>
  <si>
    <t>275-197-005-000</t>
  </si>
  <si>
    <t>Exly EnterpriseS</t>
  </si>
  <si>
    <t>Diezmo Rd. Pulo, Cabuyao, Laguna</t>
  </si>
  <si>
    <t>Colormaster Paint Center</t>
  </si>
  <si>
    <t>Unit 3 National Rd Brgy. Pulong Sta. Cruz Sta Rosa Laguna</t>
  </si>
  <si>
    <t>725-816-745-000</t>
  </si>
  <si>
    <t xml:space="preserve">JS Petron Service Station </t>
  </si>
  <si>
    <t>Gen. Luis St., Brgy. 166 Caybiga Caloocan City</t>
  </si>
  <si>
    <t>Gen. Luis St. Brgy 166 Caybiga Caloocan City</t>
  </si>
  <si>
    <t>NON- VAT Hardware Expenses for the Month of April 2019</t>
  </si>
  <si>
    <t>Manila Traffic and Parking Bureau</t>
  </si>
  <si>
    <t>Manila</t>
  </si>
  <si>
    <t>Magnificent Marketing</t>
  </si>
  <si>
    <t>531 T. Alonzo St., Sta. Cruz, Manila</t>
  </si>
  <si>
    <t>Food</t>
  </si>
  <si>
    <t>Barrio Fiesta</t>
  </si>
  <si>
    <t xml:space="preserve">LCTM 2-27B 2/F Lucky Chinatown Mall Reina Regente St. Brgy. 293 </t>
  </si>
  <si>
    <t>001-925-843-010</t>
  </si>
  <si>
    <t>Metal Ruler</t>
  </si>
  <si>
    <t>Raf-Kiel Petshop</t>
  </si>
  <si>
    <t>8 Aqualand Alley Cartimar Pasay City</t>
  </si>
  <si>
    <t>272-121-733-0010</t>
  </si>
  <si>
    <t>Payroll- Romeo Atuan (12 days)</t>
  </si>
  <si>
    <t>Cash- Chinabank</t>
  </si>
  <si>
    <t>Philippine Timepiece Mfng. Inc</t>
  </si>
  <si>
    <t>56 Aragon Street Cor. J.J Luna St. SFDM, QC</t>
  </si>
  <si>
    <t>Metrobank- Trade One</t>
  </si>
  <si>
    <t>Metrobank- World Class Laminate</t>
  </si>
  <si>
    <t>BDO- Citibank Cashbank Mastercard</t>
  </si>
  <si>
    <t>PSBank - Rosie Casado</t>
  </si>
  <si>
    <t>Cebuana- Mervin Hibe</t>
  </si>
  <si>
    <t>North Olympus</t>
  </si>
  <si>
    <t>Poweree Commercial Corp.</t>
  </si>
  <si>
    <t>2186 F.B Harrison St. Pasay City</t>
  </si>
  <si>
    <t>Metrobank- Jefferson Tan</t>
  </si>
  <si>
    <t>BDO- Hydron Corporation</t>
  </si>
  <si>
    <t>Dan &amp; Liz</t>
  </si>
  <si>
    <t>Phinma Properties- Condo Dues (102E)</t>
  </si>
  <si>
    <t>154 Susano Rd San Agustin 2 QC</t>
  </si>
  <si>
    <t>Alatone Vault</t>
  </si>
  <si>
    <t>Cebuana- Peter Nietes</t>
  </si>
  <si>
    <t>CLH Shaw Blvd</t>
  </si>
  <si>
    <t xml:space="preserve">Payroll- Romeo Atuan </t>
  </si>
  <si>
    <t>BPI- Leoniel Racela</t>
  </si>
  <si>
    <t>Transpo- Ram John Gumbi</t>
  </si>
  <si>
    <t>Sodium Hypochlorite 24k</t>
  </si>
  <si>
    <t>MPG Car Aircon &amp; Electrical Specialist</t>
  </si>
  <si>
    <t>21 Bonny Serrano Ave., QC</t>
  </si>
  <si>
    <t>G.P. Habana Trading &amp; Vulcanizing Service</t>
  </si>
  <si>
    <t>Villa Adelina II Pulo, Cabuyao Laguna</t>
  </si>
  <si>
    <t>208-946-889-000</t>
  </si>
  <si>
    <t>Photocopy</t>
  </si>
  <si>
    <t>ARNEL P. TOLENTINO, M.D.</t>
  </si>
  <si>
    <t>SM City Medical Clinic SMF Regalado Avenue cor. Quirino Highway</t>
  </si>
  <si>
    <t>208-921-521-002</t>
  </si>
  <si>
    <t>TBS Blue Corner Sizzling Express</t>
  </si>
  <si>
    <t>F1F2 New Market Station Paseo de Sta. Rosa Don Jose Sta. Rosa City Laguna</t>
  </si>
  <si>
    <t>249-628-885-000</t>
  </si>
  <si>
    <t>BDO- Herminigildo Yalung</t>
  </si>
  <si>
    <t>BDO- Unionpay</t>
  </si>
  <si>
    <t>Metrobank-Rosie Credit Card</t>
  </si>
  <si>
    <t>BDO- Mastercard (Rosie Casado)</t>
  </si>
  <si>
    <t xml:space="preserve">BDO- JCB </t>
  </si>
  <si>
    <t xml:space="preserve"> VAT Hardware Expenses for the Month of June 2019</t>
  </si>
  <si>
    <t>CW Marketing and Development Corporation</t>
  </si>
  <si>
    <t>Jozel Foods &amp; Ent. Corp</t>
  </si>
  <si>
    <t>Kalentong St. Cor Shaw Blvd Manda. City</t>
  </si>
  <si>
    <t>000-056-903-000</t>
  </si>
  <si>
    <t xml:space="preserve">Golden ABC, Inc. </t>
  </si>
  <si>
    <t xml:space="preserve">L2 Unit A318 Eastwood Mall Bagumbayan </t>
  </si>
  <si>
    <t>000-068-427-284</t>
  </si>
  <si>
    <t>Kamuning Bus Center</t>
  </si>
  <si>
    <t xml:space="preserve">Epifanio Delos Santos  Q.C- Kamuning </t>
  </si>
  <si>
    <t>Booksale</t>
  </si>
  <si>
    <t>2F SM City Main North Edsa Q.C</t>
  </si>
  <si>
    <t>000-109-279-0004</t>
  </si>
  <si>
    <t>Zabarte Ave Cor Camarin Ave Kaligayahan 2Novaliches Qc</t>
  </si>
  <si>
    <t>000-121-242-000</t>
  </si>
  <si>
    <t>Golden Arches Development Corp</t>
  </si>
  <si>
    <t>Starmall Sta Rosa Vista Land Sta Rosa Tagaytay Road Sta Rosa City Laguna</t>
  </si>
  <si>
    <t>000-121-242-530</t>
  </si>
  <si>
    <t>552 UN Avenue Ermita Manila</t>
  </si>
  <si>
    <t>000-163-396-083</t>
  </si>
  <si>
    <t>Shakeys Pizza Asia Ventures Inc</t>
  </si>
  <si>
    <t>Shakeys Lagro</t>
  </si>
  <si>
    <t>Welding Industries Of the Philippines, Inc.</t>
  </si>
  <si>
    <t>111Baesa Road, Brgy. 158 Zone 14 District 1, Caloocan City</t>
  </si>
  <si>
    <t>Interpolymer Corporation</t>
  </si>
  <si>
    <t xml:space="preserve">016E Cantillon St., Sitio Santo Rosario, Maysan Valenzuela City Philippines </t>
  </si>
  <si>
    <t>000-232-723-000</t>
  </si>
  <si>
    <t>Abacus Book and Card Corp.</t>
  </si>
  <si>
    <t xml:space="preserve">#11 Eastwood Ave. Eastwood City Cyberpark Bagumbayan Q.C </t>
  </si>
  <si>
    <t>000-299-299-046</t>
  </si>
  <si>
    <t>Abacus Book and Card</t>
  </si>
  <si>
    <t>Eastwood</t>
  </si>
  <si>
    <t>National BookStore Inc.</t>
  </si>
  <si>
    <t>Shangrila Plaza Edsa Corner Shaw Blvd Mandaluyong City</t>
  </si>
  <si>
    <t>000-325-972-007</t>
  </si>
  <si>
    <t>Panda Construction Supply, Inc.</t>
  </si>
  <si>
    <t>340-B Araneta Ave., Dona Imelda, Qc</t>
  </si>
  <si>
    <t>000-326-384-001</t>
  </si>
  <si>
    <t>496 E.T Yuchengco St. Brgy. 289 Zone 27, Binondo Manila</t>
  </si>
  <si>
    <t>469 E.T Yuchengco St. Brgy 289 Zone 27, Binondo Manila</t>
  </si>
  <si>
    <t xml:space="preserve">Philippine Ports Authority </t>
  </si>
  <si>
    <t xml:space="preserve">New Administration Bldg., Marcos Road, North Harbor,. Tondo Manila, </t>
  </si>
  <si>
    <t>000-352-232-0003</t>
  </si>
  <si>
    <t>PMO NCR- North New Administration Blgd. Marcos Road, North Harbor, Tondo Manila</t>
  </si>
  <si>
    <t>Mand. Kalentong Pershing Gen Kalentong St. Daang Bakal, City of Manduluyong NCR</t>
  </si>
  <si>
    <t>000-388-474-00041</t>
  </si>
  <si>
    <t>Unit G16 MDC 100 Bldg. C.P Garcia Ave., C-5 Cor. Eastwood Ave, Bagumbayan, QC</t>
  </si>
  <si>
    <t>000-388-474-00651</t>
  </si>
  <si>
    <t>North Olympus Arcade 95-A Old Camarin Rd. Zabarte Kaligayahan Novaliches Q.C</t>
  </si>
  <si>
    <t>Sta Cecilia QC</t>
  </si>
  <si>
    <t>000-388-771-180</t>
  </si>
  <si>
    <t>L1A, B4, Ph4 North Olympus Subd.,, Novaliches Proper, Qc</t>
  </si>
  <si>
    <t>000-390-189-000</t>
  </si>
  <si>
    <t>Araneta Center, Inc.</t>
  </si>
  <si>
    <t>25th-26th Flrs, Gateway Tower, Araneta Center</t>
  </si>
  <si>
    <t>000-396-225-000</t>
  </si>
  <si>
    <t>Robinsons Supermarket</t>
  </si>
  <si>
    <t>San Miguel Tarlac City</t>
  </si>
  <si>
    <t>000-405-340-049</t>
  </si>
  <si>
    <t>Eastwood City Techno Plaza 2 Eastwood Ave., Bagumbayan</t>
  </si>
  <si>
    <t>000-405-340-087</t>
  </si>
  <si>
    <t>Selegna Holdings Corporation</t>
  </si>
  <si>
    <t xml:space="preserve">University of Sto Tomas Campus Espana St Sampaloc Manila </t>
  </si>
  <si>
    <t>000-601-078-001</t>
  </si>
  <si>
    <t>Tapsi ni vivian Inc.</t>
  </si>
  <si>
    <t>United Glorietta St. C. Raymundo Avenue Caniogan, Pasig City</t>
  </si>
  <si>
    <t>001-213-258-006</t>
  </si>
  <si>
    <t>2nd Level SM Fairview Mall, Quezon City</t>
  </si>
  <si>
    <t>001-901-673-092</t>
  </si>
  <si>
    <t>Unit 1A-BB 2F Eastwood City, Cyber Park</t>
  </si>
  <si>
    <t>001-901-673-1007</t>
  </si>
  <si>
    <t xml:space="preserve">Cebuana Lhuillier Pawnshop </t>
  </si>
  <si>
    <t>Cl bldg. A Camarin Rd. cor Congressional R Barangay 168 NCR, third district Caloocan city</t>
  </si>
  <si>
    <t>001-97-011-402</t>
  </si>
  <si>
    <t>Lawang Bato Valenzuela City</t>
  </si>
  <si>
    <t>SM Prime Holdings Inc.</t>
  </si>
  <si>
    <t>SMCity Fairview Quirino Highway Cor. Regalado Ave. Novaliches Greater Lagro Q.c</t>
  </si>
  <si>
    <t>SM City Complex North Edsa</t>
  </si>
  <si>
    <t>003-058-789-007</t>
  </si>
  <si>
    <t>JW Diokno Pasay</t>
  </si>
  <si>
    <t>003-058-789-011</t>
  </si>
  <si>
    <t>La Consolacion College</t>
  </si>
  <si>
    <t>Deparo, Novaliches, Caloocan II</t>
  </si>
  <si>
    <t>004-525-876</t>
  </si>
  <si>
    <t>The SM Store</t>
  </si>
  <si>
    <t>SMF Quirino HiWay Pasong Putik Fairview QC</t>
  </si>
  <si>
    <t>004-563-344-0000</t>
  </si>
  <si>
    <t>SM City Fairview Quirino H-way Cor. Regalado Ave. Brgy, Greataer Lagro Novaliches Quezon City</t>
  </si>
  <si>
    <t>004-563-344-00000</t>
  </si>
  <si>
    <t>TKL Steel Corp</t>
  </si>
  <si>
    <t>2206-2208 Oroquieta Brgy. 347 Zone 35 District III Sta. Cruz Manila</t>
  </si>
  <si>
    <t>004-576-501-000</t>
  </si>
  <si>
    <t>3/F Toll Operations Building Dona Soledad Avenue Brgy. Don Bosco Paranaque City1700</t>
  </si>
  <si>
    <t>3/F Toll Operations Building Dona Soledad Avenue Brgy. Don Bosco Paranaque City</t>
  </si>
  <si>
    <t>004--625-830-000</t>
  </si>
  <si>
    <t>Pretiolas Philippines, Inc.</t>
  </si>
  <si>
    <t>Unit 244 2F Sm City Annex Bldg. Edsa Qc</t>
  </si>
  <si>
    <t>004-737-005-024</t>
  </si>
  <si>
    <t>NLEX</t>
  </si>
  <si>
    <t>004-984-94600</t>
  </si>
  <si>
    <t>004-984-946000</t>
  </si>
  <si>
    <t>Lot 6&amp;8 Blk 66 Commonwealth Ave Fairview Q.C</t>
  </si>
  <si>
    <t>Lot 6  Block 66 Commonwealth Avenue, Fairview, QC</t>
  </si>
  <si>
    <t>005-009-744-000</t>
  </si>
  <si>
    <t>VER&amp; Upper G/F Unit 1 Paseo De Santa Rosa Don Jose Sta. Rosa Laguna City</t>
  </si>
  <si>
    <t>005-009-744-071</t>
  </si>
  <si>
    <t>Starbucks Coffee</t>
  </si>
  <si>
    <t>A41 Lvl. 4 Eastwood Mall Eastwood City Cyberpark E. Rodriguez Jr. Ave Bagumabayan Q.c</t>
  </si>
  <si>
    <t>005-215-077-166</t>
  </si>
  <si>
    <t>Figaro Coffee Systems. Inc.</t>
  </si>
  <si>
    <t>G/F The Vestibule Bldg UST Campus Brgy 670 Zone 46 Sampaloc Manila</t>
  </si>
  <si>
    <t>005-341-312-039</t>
  </si>
  <si>
    <t>Grand Carmona Corp.</t>
  </si>
  <si>
    <t>Lot 1947-B Brgy. Maduya, Carmona Cavite</t>
  </si>
  <si>
    <t>006-744-116-000</t>
  </si>
  <si>
    <t>PETRON</t>
  </si>
  <si>
    <t>48 Northern Hills Malhacan</t>
  </si>
  <si>
    <t>007-068-922-0000</t>
  </si>
  <si>
    <t>UG/F SM City Fairview Qc</t>
  </si>
  <si>
    <t>Cafefrance Ongpin</t>
  </si>
  <si>
    <t xml:space="preserve">Ongpin St., Binondo, Manila </t>
  </si>
  <si>
    <t>007-855-866-106</t>
  </si>
  <si>
    <t>TouchPay</t>
  </si>
  <si>
    <t>008-043-924-000</t>
  </si>
  <si>
    <t xml:space="preserve">Wendy's Hamburger Restaurant </t>
  </si>
  <si>
    <t>7894 Eastwood Libis, Q.C</t>
  </si>
  <si>
    <t>008-048-476-004</t>
  </si>
  <si>
    <t>Saucelito Foods Inc</t>
  </si>
  <si>
    <t>Commonwealth Ave Cor. Regalado Ave, QC</t>
  </si>
  <si>
    <t>008-123-843-000</t>
  </si>
  <si>
    <t xml:space="preserve">Gong Cha </t>
  </si>
  <si>
    <t>008-134-870-0007</t>
  </si>
  <si>
    <t>New So's Enterprises, Inc.</t>
  </si>
  <si>
    <t>522 E.T Yuchengco St. Brgy. 289 Zone 27,  Dist III, Binondo Manila</t>
  </si>
  <si>
    <t>008-240-686-000</t>
  </si>
  <si>
    <t>Family Mart Global One</t>
  </si>
  <si>
    <t>GF Global One Bldg. Eastwood</t>
  </si>
  <si>
    <t>008-422-714-010</t>
  </si>
  <si>
    <t>Floor21 Multinational BancorporationCentre 6805 Ayala Avenue,Makati City 1226 Phils.</t>
  </si>
  <si>
    <t>JAO Restaurante Inc</t>
  </si>
  <si>
    <t>Brgy Pinyahan QC</t>
  </si>
  <si>
    <t xml:space="preserve">BUDDY'S </t>
  </si>
  <si>
    <t>Unit A2-3 Ground Flr. 2nd Flr. Eastwood Citywalk 1 Brgy. Bagumbayan Q.C</t>
  </si>
  <si>
    <t>DDC Coolmakers &amp; Power Builders Corp.</t>
  </si>
  <si>
    <t>2F Unit- E 479, E. Rodriguez  Sr. Ave., Corner Aurora Blvd. Brgy. Immaculate Concepcion, Cubao Q.C</t>
  </si>
  <si>
    <t>008-641-213-000</t>
  </si>
  <si>
    <t>Team Crafty Cows Services Inc.</t>
  </si>
  <si>
    <t>G/F Petron Katipunan RD Cor Mangyan ST LA VISTA Qc</t>
  </si>
  <si>
    <t>008-921-095-000</t>
  </si>
  <si>
    <t>Castello Foods Inc.</t>
  </si>
  <si>
    <t>Olympus Arcade 85-A Zabarte Ave. QC</t>
  </si>
  <si>
    <t>008-957-803-001</t>
  </si>
  <si>
    <t xml:space="preserve"> Zabarte Ave. Cor. Camarin Ave Kaligayahan  2 Novaliches QC </t>
  </si>
  <si>
    <t>New Triple S Medical&amp;Dental Trading Corporation</t>
  </si>
  <si>
    <t xml:space="preserve">1629 Bambang St. Brgy 320, Zone 032, Sta Cruz, Manila </t>
  </si>
  <si>
    <t>7Eleven</t>
  </si>
  <si>
    <t>LIA, B4, PH 4 North Olympus Subd. Novaliches Proper Q.C</t>
  </si>
  <si>
    <t>009-400-120-000</t>
  </si>
  <si>
    <t>Bardine Enterprise, Inc.</t>
  </si>
  <si>
    <t>GF Cyber Tower One, Gen. Aguinaldo St., Cubao, Quezon City</t>
  </si>
  <si>
    <t>NL Baked Products Inc</t>
  </si>
  <si>
    <t>GF Intrepid Plaza E Rod QC</t>
  </si>
  <si>
    <t>009-566-666-008</t>
  </si>
  <si>
    <t>Novaliches Gas Refillers Inc.</t>
  </si>
  <si>
    <t>73 Susano Road, San Agustin, Novaliches, Q.c</t>
  </si>
  <si>
    <t>009642778-000</t>
  </si>
  <si>
    <t>Multiple M Fuel Services</t>
  </si>
  <si>
    <t>Bagumbong</t>
  </si>
  <si>
    <t>Miniso Depato Corp</t>
  </si>
  <si>
    <t>SM City Sucat Dr A Santos Ave. San Dionisio City of Paranaque NCR Fourth District Phil.1700</t>
  </si>
  <si>
    <t>009-767-383-00011</t>
  </si>
  <si>
    <t>Cinco Tesoros Corporation</t>
  </si>
  <si>
    <t xml:space="preserve">Shell Southbound Gil Puyat Ave. Makati City </t>
  </si>
  <si>
    <t>010-076-555-000</t>
  </si>
  <si>
    <t>Tasteblaze Food Services, Inc</t>
  </si>
  <si>
    <t>Unit B4 Eastwood Citywalk Bagumbayan Libis QC</t>
  </si>
  <si>
    <t>010-124-817-000</t>
  </si>
  <si>
    <t>02-511-6444</t>
  </si>
  <si>
    <t>Excali Enterprise</t>
  </si>
  <si>
    <t>G/F Eastwood Cybermall Eastwood Ave. Brgy. Bagumbayan, Quezon City</t>
  </si>
  <si>
    <t>035-397-069-000</t>
  </si>
  <si>
    <t xml:space="preserve">Ramos Hardware </t>
  </si>
  <si>
    <t xml:space="preserve">B2 l18 Zabarte Ave. Tala Estate Kaligayahan Novaliches Qc </t>
  </si>
  <si>
    <t>100-233-624-000</t>
  </si>
  <si>
    <t>Ramos Hardware &amp; Const. Suuply</t>
  </si>
  <si>
    <t>B2 L 18 Zabarte., Tala Estate Kaligayahan Novaliches, Q.C Susana I. Ramos- Prop.</t>
  </si>
  <si>
    <t>Highchem Trading</t>
  </si>
  <si>
    <t xml:space="preserve">105 Mt. Natib St, Brgy. SanJose, Caloocan City </t>
  </si>
  <si>
    <t>100-557-198-000</t>
  </si>
  <si>
    <t>102-251-193-0000</t>
  </si>
  <si>
    <t>CG&amp; Shell Service Station</t>
  </si>
  <si>
    <t>Diversion Road Burol II Balagtas Bulacan</t>
  </si>
  <si>
    <t>106-144-102-001</t>
  </si>
  <si>
    <t>N. Clamor Petroleum Service Center</t>
  </si>
  <si>
    <t>245 Susano Rd. Deparo Caloocan City</t>
  </si>
  <si>
    <t>861  Dragonfish Restaurant</t>
  </si>
  <si>
    <t>Cayetano Blvd. Ususan Taguig City</t>
  </si>
  <si>
    <t>17778961-009</t>
  </si>
  <si>
    <t>160 M.H Del Pilar St., Brgy. 106, Caloocan City</t>
  </si>
  <si>
    <t>200-035-311-00117</t>
  </si>
  <si>
    <t>GF Sm City Fairview Annex Quirino Highway Cor Regalado Novaliches Qc</t>
  </si>
  <si>
    <t>200-036-311-002</t>
  </si>
  <si>
    <t>SM City North Edsa Cor. North Ave. Qc</t>
  </si>
  <si>
    <t>200-036-311-034</t>
  </si>
  <si>
    <t>Urban General Merchandise</t>
  </si>
  <si>
    <t>GF Arevalo- Gomez Bldg 809 Salazar Street Brgy. 296 Zone 28 Binondo Manila</t>
  </si>
  <si>
    <t>202-723-185-000</t>
  </si>
  <si>
    <t>CINNABON</t>
  </si>
  <si>
    <t>AX3 2145 SM City Fairview Greater Lagro 5 Q.C</t>
  </si>
  <si>
    <t>203-301-457-0039</t>
  </si>
  <si>
    <t>Lot 3 Blk 2 Zabarte, Rd. Kaligayahan, Novaliches Q.c</t>
  </si>
  <si>
    <t>Km 44 South Luzon Brgy. Pagong Sitio Latiang Calamba Laguna</t>
  </si>
  <si>
    <t>Letech Manufacturing Corporation</t>
  </si>
  <si>
    <t>6-A Mariano Ponce St. Caloocan City</t>
  </si>
  <si>
    <t>207-445-026-000</t>
  </si>
  <si>
    <t>Agubella Fuel Stations</t>
  </si>
  <si>
    <t xml:space="preserve">153 J Ruiz st. cor. Aurora Blvd. Balong Bato SanJuan City </t>
  </si>
  <si>
    <t>209-502-393-003</t>
  </si>
  <si>
    <t>Agubela Fuel Station</t>
  </si>
  <si>
    <t>153 J Ruiz St., Cor Aurora Blvd Balong Bato San Juan City</t>
  </si>
  <si>
    <t>SPI  Parking Service Inc</t>
  </si>
  <si>
    <t>5/ F Shangri La Plaza Cor Shaw Blvd Brgy Wack Wack Mandaluyong City</t>
  </si>
  <si>
    <t>214-617-904-000</t>
  </si>
  <si>
    <t>S/F Shangrila Plaza Cor Show BLVD. Brgy. Wack Wack Mandaluyong City</t>
  </si>
  <si>
    <t xml:space="preserve">Gemstar Cleaning Supplies International </t>
  </si>
  <si>
    <t>47-C Lincoln St. Brgy. San Antonio, QC</t>
  </si>
  <si>
    <t>217-310-582-000</t>
  </si>
  <si>
    <t>Cleaning supplies</t>
  </si>
  <si>
    <t>J&amp;F Food Corporation</t>
  </si>
  <si>
    <t>3058 Jose Abad Santos St Brgy 206 Zone 19 Tondo Manila</t>
  </si>
  <si>
    <t>217-925-532-012</t>
  </si>
  <si>
    <t>Seaoil Gas Station SCTEX</t>
  </si>
  <si>
    <t>Santiago Concepcion Tarlac, 2316</t>
  </si>
  <si>
    <t>181 A. Bonifacio Cor. Del Monte Ave</t>
  </si>
  <si>
    <t>701 A.H Lacson Ave., Cor. Fajardo St. Sampaloc Manila</t>
  </si>
  <si>
    <t>221-103-789-006</t>
  </si>
  <si>
    <t>Mid-Fil Foods Inc.</t>
  </si>
  <si>
    <t>SM City North Edsa Cor. North Ave. Brgy. Bagong Pag-asa Qc</t>
  </si>
  <si>
    <t>221-445-525-014</t>
  </si>
  <si>
    <t>JPL Service Station &amp; Gen. Merchandise</t>
  </si>
  <si>
    <t>Lot 16  Blk 176 Commonwealth Ave. North Fairview</t>
  </si>
  <si>
    <t>Lot 16 Blik 176 Commonwealth Ave. North Fairview Q.C</t>
  </si>
  <si>
    <t>Select Convenient Store</t>
  </si>
  <si>
    <t xml:space="preserve">South Luzon Tollway, Putatn, Tunasan Muntinlupa City </t>
  </si>
  <si>
    <t>EDSA Balintawak, Quezon City</t>
  </si>
  <si>
    <t xml:space="preserve">Kabayan Zabarte Hardware &amp; Construction Supply </t>
  </si>
  <si>
    <t xml:space="preserve">B2 L19 Zabarte Road Brgy. Kaligayahan, Novaliches, Qc </t>
  </si>
  <si>
    <t>226-898-289-000</t>
  </si>
  <si>
    <t>South Star Drug</t>
  </si>
  <si>
    <t>Robinson Supermarket Eastwood E. Rodriguez Jr. Ave., Bagumbayan Q.C</t>
  </si>
  <si>
    <t>228-037-432-244</t>
  </si>
  <si>
    <t>Razons Of Guagua</t>
  </si>
  <si>
    <t xml:space="preserve">Unit  557 558 Shangrila plaza rosa corner shaw. Blvd brgy. Wack wack Mandaluyong </t>
  </si>
  <si>
    <t>230-180-390-00045</t>
  </si>
  <si>
    <t>GF Eastwood Cybermall Ave., Brgy. Bagumbayan 3 QC</t>
  </si>
  <si>
    <t>235-397-069-000</t>
  </si>
  <si>
    <t>G/F Eastwood Cybermall Eastwood Ave. Brgy. Bagumbayan 3, Quezon City</t>
  </si>
  <si>
    <t>G/F Eastwood Cybermall Eastwood Ave.Brgy. Bagumbayan 3 Q.C</t>
  </si>
  <si>
    <t>Pan De Amerikana</t>
  </si>
  <si>
    <t>131 Katipunan Ave. St. Ignacios Village Qc</t>
  </si>
  <si>
    <t>243-516-867-001</t>
  </si>
  <si>
    <t>G/F Unit G18 G19 Eastwood City Cyber Park 188 E Rodriguez Jr. Ave Bagumbayan QC</t>
  </si>
  <si>
    <t>245-603-492-015</t>
  </si>
  <si>
    <t>Eurofuel Inc</t>
  </si>
  <si>
    <t xml:space="preserve">Total SLEX Malitlit Sta Rosa City </t>
  </si>
  <si>
    <t>252-126-611-004</t>
  </si>
  <si>
    <t>Adacon Marketing</t>
  </si>
  <si>
    <t>17-A Unit 1 Examiner RD West Triangle, Quezon City</t>
  </si>
  <si>
    <t>253-576-590-000</t>
  </si>
  <si>
    <t>Nancy's Pares Pares</t>
  </si>
  <si>
    <t>Zabarte Ave. Q.c</t>
  </si>
  <si>
    <t>266-718-974-000</t>
  </si>
  <si>
    <t>266-898-289-000</t>
  </si>
  <si>
    <t>Mang Inasal Rob Luisita</t>
  </si>
  <si>
    <t>Robinsons Luisita</t>
  </si>
  <si>
    <t>270-675-296-000</t>
  </si>
  <si>
    <t>Primiera</t>
  </si>
  <si>
    <t xml:space="preserve">216 Building A SM City Sucat </t>
  </si>
  <si>
    <t>274-438-372-001</t>
  </si>
  <si>
    <t xml:space="preserve">Goldpeak Tools And Hardware </t>
  </si>
  <si>
    <t>938 Blumentrit Street, Brgy. 153 Zone 51, Sampaloc, Manila</t>
  </si>
  <si>
    <t>G/F Eastwood Cybermall Eastwood Ave. Brgy Bagumbayan 3 Q.c</t>
  </si>
  <si>
    <t>35-397-069-000</t>
  </si>
  <si>
    <t>5 Angelo St., Brgy. Paang Bundok, La Loma, QC</t>
  </si>
  <si>
    <t xml:space="preserve">Total Slt.KM24 SLEX Sta.Rosa City Laguna </t>
  </si>
  <si>
    <t>SLT. KM24 SLEX STA ROSA CITY LAGUNA</t>
  </si>
  <si>
    <t>Gasgawa Fuel Station</t>
  </si>
  <si>
    <t>Eton City Southlake Village Brgy. Malitlit City of Sta. Rosa Laguna</t>
  </si>
  <si>
    <t>433-784-829-0000</t>
  </si>
  <si>
    <t>Dunsmuir Food Corp.</t>
  </si>
  <si>
    <t>Quirino Highway Cor. Regalado Ave. Brgyu. Greater Lagro Qc</t>
  </si>
  <si>
    <t>490-135-384-002</t>
  </si>
  <si>
    <t>AX2 203-204-SM City Fairview</t>
  </si>
  <si>
    <t>490-135-384-003</t>
  </si>
  <si>
    <t>Four E Convenience Store</t>
  </si>
  <si>
    <t>262 Santolan Rd Greenhills San Juan</t>
  </si>
  <si>
    <t>912-168-884-001</t>
  </si>
  <si>
    <t>Hopps Marketing Inc ( Petty Cash)</t>
  </si>
  <si>
    <t>Office</t>
  </si>
  <si>
    <t xml:space="preserve">Hopps Marketing Inc </t>
  </si>
  <si>
    <t xml:space="preserve">Office </t>
  </si>
  <si>
    <t>Total</t>
  </si>
  <si>
    <t>TOTAL 2ND QUARTER 2019</t>
  </si>
  <si>
    <t>Rental</t>
  </si>
  <si>
    <t>Direct Charges - Communcations, Water</t>
  </si>
  <si>
    <t>Direct Charges - Employee Benefits</t>
  </si>
  <si>
    <t>employee meals and benefit</t>
  </si>
  <si>
    <t>Taxes and Licenses</t>
  </si>
  <si>
    <t>Repairs and maintenance - Materials; Utilities</t>
  </si>
  <si>
    <t>Marketing expense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</si>
</sst>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#,##0.00;[Red]#,##0.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323232"/>
      <name val="Book Antiqua"/>
      <family val="1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8"/>
      <name val="Arial"/>
      <family val="2"/>
    </font>
    <font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0"/>
      <color theme="1"/>
      <name val="Calibri"/>
      <family val="2"/>
      <scheme val="minor"/>
    </font>
    <font>
      <b/>
      <sz val="10"/>
      <color rgb="FFFF0000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 diagonalUp="1" diagonalDown="1"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6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3" fillId="0" borderId="0" xfId="2" applyNumberFormat="1" applyFont="1"/>
    <xf numFmtId="0" fontId="4" fillId="0" borderId="0" xfId="2" applyFont="1" applyBorder="1"/>
    <xf numFmtId="43" fontId="4" fillId="0" borderId="0" xfId="3" applyFont="1"/>
    <xf numFmtId="43" fontId="4" fillId="0" borderId="0" xfId="3" applyFont="1" applyBorder="1"/>
    <xf numFmtId="43" fontId="4" fillId="0" borderId="0" xfId="3" applyFont="1" applyBorder="1" applyAlignment="1">
      <alignment horizontal="center"/>
    </xf>
    <xf numFmtId="0" fontId="4" fillId="0" borderId="0" xfId="2" applyFont="1"/>
    <xf numFmtId="43" fontId="4" fillId="0" borderId="0" xfId="4" applyNumberFormat="1" applyFont="1" applyAlignment="1"/>
    <xf numFmtId="43" fontId="5" fillId="0" borderId="0" xfId="4" applyNumberFormat="1" applyFont="1" applyAlignment="1"/>
    <xf numFmtId="49" fontId="3" fillId="0" borderId="0" xfId="2" applyNumberFormat="1" applyFont="1" applyAlignment="1">
      <alignment horizontal="center"/>
    </xf>
    <xf numFmtId="0" fontId="4" fillId="0" borderId="0" xfId="2" applyFont="1" applyBorder="1" applyAlignment="1">
      <alignment horizontal="center"/>
    </xf>
    <xf numFmtId="43" fontId="4" fillId="0" borderId="0" xfId="3" applyFont="1" applyAlignment="1">
      <alignment horizontal="center"/>
    </xf>
    <xf numFmtId="43" fontId="4" fillId="0" borderId="0" xfId="3" applyFont="1" applyBorder="1" applyAlignment="1">
      <alignment horizontal="center" wrapText="1"/>
    </xf>
    <xf numFmtId="0" fontId="6" fillId="0" borderId="0" xfId="2" applyFont="1" applyBorder="1" applyAlignment="1">
      <alignment horizontal="center"/>
    </xf>
    <xf numFmtId="43" fontId="4" fillId="0" borderId="0" xfId="3" applyFont="1" applyAlignment="1">
      <alignment horizontal="center" wrapText="1"/>
    </xf>
    <xf numFmtId="0" fontId="7" fillId="0" borderId="0" xfId="2" applyFont="1" applyAlignment="1">
      <alignment horizontal="center"/>
    </xf>
    <xf numFmtId="43" fontId="7" fillId="0" borderId="0" xfId="3" applyFont="1" applyAlignment="1">
      <alignment horizontal="center"/>
    </xf>
    <xf numFmtId="49" fontId="3" fillId="0" borderId="0" xfId="5" applyNumberFormat="1" applyFont="1"/>
    <xf numFmtId="0" fontId="5" fillId="0" borderId="0" xfId="2" applyFont="1" applyBorder="1"/>
    <xf numFmtId="43" fontId="5" fillId="0" borderId="0" xfId="3" applyFont="1"/>
    <xf numFmtId="43" fontId="5" fillId="0" borderId="0" xfId="3" applyFont="1" applyBorder="1"/>
    <xf numFmtId="0" fontId="7" fillId="0" borderId="0" xfId="2" applyFont="1"/>
    <xf numFmtId="43" fontId="7" fillId="0" borderId="0" xfId="3" applyFont="1"/>
    <xf numFmtId="43" fontId="4" fillId="0" borderId="0" xfId="4" applyNumberFormat="1" applyFont="1" applyBorder="1" applyAlignment="1">
      <alignment horizontal="left"/>
    </xf>
    <xf numFmtId="0" fontId="5" fillId="0" borderId="0" xfId="2" applyFont="1" applyBorder="1" applyAlignment="1">
      <alignment horizontal="center"/>
    </xf>
    <xf numFmtId="43" fontId="4" fillId="2" borderId="1" xfId="4" applyNumberFormat="1" applyFont="1" applyFill="1" applyBorder="1"/>
    <xf numFmtId="0" fontId="4" fillId="2" borderId="1" xfId="2" applyFont="1" applyFill="1" applyBorder="1" applyAlignment="1">
      <alignment horizontal="center"/>
    </xf>
    <xf numFmtId="43" fontId="4" fillId="2" borderId="1" xfId="3" applyFont="1" applyFill="1" applyBorder="1"/>
    <xf numFmtId="43" fontId="5" fillId="0" borderId="2" xfId="3" applyFont="1" applyBorder="1"/>
    <xf numFmtId="0" fontId="8" fillId="0" borderId="0" xfId="2" applyFont="1"/>
    <xf numFmtId="49" fontId="3" fillId="0" borderId="0" xfId="5" applyNumberFormat="1" applyFont="1" applyAlignment="1">
      <alignment horizontal="left"/>
    </xf>
    <xf numFmtId="43" fontId="4" fillId="0" borderId="0" xfId="3" applyFont="1" applyFill="1" applyBorder="1"/>
    <xf numFmtId="43" fontId="4" fillId="0" borderId="2" xfId="3" applyFont="1" applyBorder="1" applyAlignment="1">
      <alignment horizontal="center" vertical="center"/>
    </xf>
    <xf numFmtId="43" fontId="4" fillId="0" borderId="0" xfId="3" applyFont="1" applyBorder="1" applyAlignment="1">
      <alignment wrapText="1"/>
    </xf>
    <xf numFmtId="43" fontId="6" fillId="0" borderId="2" xfId="3" applyFont="1" applyBorder="1"/>
    <xf numFmtId="43" fontId="4" fillId="0" borderId="2" xfId="2" applyNumberFormat="1" applyFont="1" applyBorder="1"/>
    <xf numFmtId="0" fontId="7" fillId="0" borderId="0" xfId="2" applyFont="1" applyBorder="1"/>
    <xf numFmtId="43" fontId="7" fillId="0" borderId="0" xfId="2" applyNumberFormat="1" applyFont="1"/>
    <xf numFmtId="43" fontId="4" fillId="0" borderId="0" xfId="2" applyNumberFormat="1" applyFont="1" applyBorder="1"/>
    <xf numFmtId="43" fontId="4" fillId="0" borderId="0" xfId="2" applyNumberFormat="1" applyFont="1" applyBorder="1" applyAlignment="1">
      <alignment horizontal="center"/>
    </xf>
    <xf numFmtId="49" fontId="3" fillId="2" borderId="0" xfId="5" applyNumberFormat="1" applyFont="1" applyFill="1"/>
    <xf numFmtId="0" fontId="5" fillId="2" borderId="0" xfId="2" applyFont="1" applyFill="1" applyBorder="1"/>
    <xf numFmtId="43" fontId="4" fillId="2" borderId="3" xfId="3" applyFont="1" applyFill="1" applyBorder="1"/>
    <xf numFmtId="43" fontId="3" fillId="0" borderId="0" xfId="2" applyNumberFormat="1" applyFont="1"/>
    <xf numFmtId="0" fontId="3" fillId="0" borderId="0" xfId="5" applyFont="1"/>
    <xf numFmtId="43" fontId="3" fillId="0" borderId="0" xfId="3" applyFont="1" applyBorder="1"/>
    <xf numFmtId="43" fontId="6" fillId="0" borderId="0" xfId="3" applyFont="1"/>
    <xf numFmtId="0" fontId="3" fillId="0" borderId="0" xfId="2" applyFont="1" applyBorder="1"/>
    <xf numFmtId="43" fontId="3" fillId="0" borderId="0" xfId="3" applyFont="1"/>
    <xf numFmtId="43" fontId="4" fillId="2" borderId="4" xfId="3" applyFont="1" applyFill="1" applyBorder="1"/>
    <xf numFmtId="43" fontId="3" fillId="0" borderId="0" xfId="5" applyNumberFormat="1" applyFont="1"/>
    <xf numFmtId="0" fontId="5" fillId="0" borderId="0" xfId="2" applyFont="1"/>
    <xf numFmtId="43" fontId="7" fillId="0" borderId="0" xfId="2" applyNumberFormat="1" applyFont="1" applyBorder="1"/>
    <xf numFmtId="43" fontId="4" fillId="0" borderId="5" xfId="3" applyFont="1" applyBorder="1"/>
    <xf numFmtId="43" fontId="6" fillId="2" borderId="0" xfId="2" applyNumberFormat="1" applyFont="1" applyFill="1"/>
    <xf numFmtId="0" fontId="7" fillId="2" borderId="0" xfId="2" applyFont="1" applyFill="1"/>
    <xf numFmtId="43" fontId="6" fillId="2" borderId="4" xfId="2" applyNumberFormat="1" applyFont="1" applyFill="1" applyBorder="1"/>
    <xf numFmtId="43" fontId="6" fillId="0" borderId="0" xfId="2" applyNumberFormat="1" applyFont="1"/>
    <xf numFmtId="43" fontId="6" fillId="0" borderId="0" xfId="2" applyNumberFormat="1" applyFont="1" applyBorder="1"/>
    <xf numFmtId="43" fontId="4" fillId="2" borderId="0" xfId="3" applyFont="1" applyFill="1"/>
    <xf numFmtId="43" fontId="5" fillId="2" borderId="0" xfId="3" applyFont="1" applyFill="1"/>
    <xf numFmtId="43" fontId="4" fillId="0" borderId="0" xfId="3" applyFont="1" applyFill="1" applyBorder="1" applyAlignment="1">
      <alignment horizontal="center"/>
    </xf>
    <xf numFmtId="43" fontId="5" fillId="0" borderId="0" xfId="2" applyNumberFormat="1" applyFont="1" applyBorder="1"/>
    <xf numFmtId="43" fontId="4" fillId="0" borderId="5" xfId="2" applyNumberFormat="1" applyFont="1" applyBorder="1"/>
    <xf numFmtId="43" fontId="4" fillId="0" borderId="0" xfId="1" applyFont="1" applyBorder="1" applyAlignment="1">
      <alignment horizontal="center"/>
    </xf>
    <xf numFmtId="43" fontId="6" fillId="0" borderId="0" xfId="1" applyFont="1"/>
    <xf numFmtId="43" fontId="5" fillId="0" borderId="0" xfId="1" applyFont="1" applyBorder="1"/>
    <xf numFmtId="43" fontId="4" fillId="0" borderId="5" xfId="1" applyFont="1" applyBorder="1"/>
    <xf numFmtId="43" fontId="5" fillId="3" borderId="0" xfId="3" applyFont="1" applyFill="1"/>
    <xf numFmtId="43" fontId="4" fillId="0" borderId="4" xfId="2" applyNumberFormat="1" applyFont="1" applyBorder="1"/>
    <xf numFmtId="43" fontId="5" fillId="0" borderId="2" xfId="3" applyFont="1" applyFill="1" applyBorder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43" fontId="0" fillId="0" borderId="0" xfId="1" applyFont="1" applyAlignment="1">
      <alignment horizontal="right"/>
    </xf>
    <xf numFmtId="0" fontId="12" fillId="0" borderId="7" xfId="0" applyFont="1" applyBorder="1" applyAlignment="1">
      <alignment horizontal="center"/>
    </xf>
    <xf numFmtId="43" fontId="12" fillId="0" borderId="7" xfId="1" applyFont="1" applyBorder="1" applyAlignment="1">
      <alignment horizontal="right"/>
    </xf>
    <xf numFmtId="14" fontId="0" fillId="0" borderId="0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43" fontId="11" fillId="5" borderId="7" xfId="1" applyFont="1" applyFill="1" applyBorder="1" applyAlignment="1"/>
    <xf numFmtId="43" fontId="0" fillId="0" borderId="7" xfId="1" applyFont="1" applyBorder="1" applyAlignment="1"/>
    <xf numFmtId="0" fontId="0" fillId="0" borderId="7" xfId="0" applyBorder="1"/>
    <xf numFmtId="43" fontId="11" fillId="5" borderId="7" xfId="1" applyFont="1" applyFill="1" applyBorder="1" applyAlignment="1">
      <alignment horizontal="right"/>
    </xf>
    <xf numFmtId="43" fontId="0" fillId="0" borderId="7" xfId="1" applyFont="1" applyBorder="1" applyAlignment="1">
      <alignment horizontal="right"/>
    </xf>
    <xf numFmtId="0" fontId="13" fillId="0" borderId="7" xfId="0" applyFont="1" applyBorder="1" applyAlignment="1">
      <alignment horizontal="center"/>
    </xf>
    <xf numFmtId="16" fontId="0" fillId="0" borderId="0" xfId="0" applyNumberFormat="1"/>
    <xf numFmtId="0" fontId="0" fillId="0" borderId="0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43" fontId="11" fillId="5" borderId="0" xfId="1" applyFont="1" applyFill="1" applyBorder="1" applyAlignment="1"/>
    <xf numFmtId="43" fontId="0" fillId="0" borderId="0" xfId="1" applyFont="1" applyBorder="1" applyAlignment="1"/>
    <xf numFmtId="43" fontId="11" fillId="0" borderId="0" xfId="1" applyFont="1" applyAlignment="1">
      <alignment horizontal="right"/>
    </xf>
    <xf numFmtId="43" fontId="0" fillId="0" borderId="0" xfId="1" applyFont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2" fillId="0" borderId="7" xfId="0" applyFon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43" fontId="11" fillId="0" borderId="7" xfId="1" applyFont="1" applyBorder="1" applyAlignment="1"/>
    <xf numFmtId="16" fontId="0" fillId="0" borderId="7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164" fontId="11" fillId="0" borderId="9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4" fontId="11" fillId="0" borderId="0" xfId="0" applyNumberFormat="1" applyFont="1" applyAlignment="1">
      <alignment horizontal="right"/>
    </xf>
    <xf numFmtId="4" fontId="0" fillId="0" borderId="7" xfId="0" applyNumberFormat="1" applyBorder="1" applyAlignment="1">
      <alignment horizontal="right"/>
    </xf>
    <xf numFmtId="14" fontId="0" fillId="0" borderId="10" xfId="0" applyNumberFormat="1" applyBorder="1" applyAlignment="1">
      <alignment horizontal="center"/>
    </xf>
    <xf numFmtId="0" fontId="10" fillId="0" borderId="7" xfId="0" applyFon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14" fontId="0" fillId="0" borderId="0" xfId="0" applyNumberFormat="1"/>
    <xf numFmtId="43" fontId="11" fillId="0" borderId="0" xfId="0" applyNumberFormat="1" applyFont="1" applyAlignment="1">
      <alignment horizontal="right"/>
    </xf>
    <xf numFmtId="164" fontId="11" fillId="0" borderId="7" xfId="0" applyNumberFormat="1" applyFont="1" applyBorder="1" applyAlignment="1">
      <alignment horizontal="right"/>
    </xf>
    <xf numFmtId="43" fontId="0" fillId="0" borderId="0" xfId="0" applyNumberFormat="1" applyAlignment="1">
      <alignment horizontal="right"/>
    </xf>
    <xf numFmtId="0" fontId="11" fillId="0" borderId="0" xfId="0" applyFont="1" applyAlignment="1">
      <alignment horizontal="center"/>
    </xf>
    <xf numFmtId="0" fontId="3" fillId="0" borderId="0" xfId="4" applyNumberFormat="1" applyFont="1" applyBorder="1" applyAlignment="1">
      <alignment horizontal="left"/>
    </xf>
    <xf numFmtId="43" fontId="3" fillId="0" borderId="0" xfId="4" applyNumberFormat="1" applyFont="1" applyAlignment="1">
      <alignment horizontal="left"/>
    </xf>
    <xf numFmtId="43" fontId="11" fillId="0" borderId="0" xfId="1" applyFont="1" applyBorder="1"/>
    <xf numFmtId="43" fontId="14" fillId="0" borderId="2" xfId="3" applyFont="1" applyBorder="1"/>
    <xf numFmtId="0" fontId="12" fillId="4" borderId="0" xfId="0" applyFont="1" applyFill="1" applyAlignment="1">
      <alignment horizontal="center"/>
    </xf>
  </cellXfs>
  <cellStyles count="22">
    <cellStyle name="Comma" xfId="1" builtinId="3"/>
    <cellStyle name="Comma 2" xfId="3"/>
    <cellStyle name="Comma 3" xfId="6"/>
    <cellStyle name="Comma 3 2" xfId="7"/>
    <cellStyle name="Comma 4" xfId="8"/>
    <cellStyle name="Comma 5" xfId="9"/>
    <cellStyle name="Comma 6" xfId="10"/>
    <cellStyle name="Normal" xfId="0" builtinId="0"/>
    <cellStyle name="Normal 2" xfId="2"/>
    <cellStyle name="Normal 2 2" xfId="4"/>
    <cellStyle name="Normal 2 3" xfId="11"/>
    <cellStyle name="Normal 2 4" xfId="12"/>
    <cellStyle name="Normal 2 5" xfId="13"/>
    <cellStyle name="Normal 2 6" xfId="14"/>
    <cellStyle name="Normal 3" xfId="15"/>
    <cellStyle name="Normal 3 2" xfId="16"/>
    <cellStyle name="Normal 4" xfId="17"/>
    <cellStyle name="Normal 5" xfId="5"/>
    <cellStyle name="Normal 6" xfId="18"/>
    <cellStyle name="Normal 7" xfId="19"/>
    <cellStyle name="Percent 2" xfId="20"/>
    <cellStyle name="Percent 3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ne/Desktop/GA%20FILES/2016/ITR%202016/Schedule%20of%20Annual%20ITR%202016(revised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HOPPS%20MKTG%20AND%20ENG%20FILES/VAT%20RELIEF%20HOPPS%20MARKET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usb%20files/ITR%202018%20-%20HOPPS%20MARKETING/Schedule%20of%20Annual%20ITR%202018%20(HOPPS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usb%20files/Accounting%20Files/SUMMARY%20OF%20ALPHALIST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TR 2016"/>
      <sheetName val="Cash Flow 2016"/>
      <sheetName val="BS(manual)"/>
      <sheetName val="ITR 2016 Returns  (2)"/>
      <sheetName val="ITR 2016 Returns  (final)"/>
      <sheetName val="Sched IS"/>
      <sheetName val="Sheet1"/>
      <sheetName val="Sched BS"/>
      <sheetName val="VAT Qtrly 2016"/>
      <sheetName val="ITR 2016 Returns "/>
      <sheetName val="ITR 2016 Returns  (R)"/>
      <sheetName val="1stQ"/>
      <sheetName val="2ndQ"/>
      <sheetName val="3rdQ"/>
      <sheetName val="4th"/>
      <sheetName val="BS"/>
      <sheetName val="Withholding tax"/>
      <sheetName val="Jan"/>
      <sheetName val="Feb"/>
      <sheetName val="Mar"/>
      <sheetName val="Apr"/>
      <sheetName val="May "/>
      <sheetName val="June"/>
      <sheetName val="July"/>
      <sheetName val="Aug"/>
      <sheetName val="Sept"/>
      <sheetName val="Oct"/>
      <sheetName val="Nov"/>
      <sheetName val="Dec"/>
    </sheetNames>
    <sheetDataSet>
      <sheetData sheetId="0">
        <row r="16">
          <cell r="Y16">
            <v>-4859928.0199999996</v>
          </cell>
        </row>
      </sheetData>
      <sheetData sheetId="1"/>
      <sheetData sheetId="2">
        <row r="9">
          <cell r="O9">
            <v>2456032.2800000003</v>
          </cell>
        </row>
      </sheetData>
      <sheetData sheetId="3"/>
      <sheetData sheetId="4">
        <row r="10">
          <cell r="I10">
            <v>55678301.579999998</v>
          </cell>
        </row>
      </sheetData>
      <sheetData sheetId="5">
        <row r="22">
          <cell r="F22">
            <v>842.34</v>
          </cell>
        </row>
        <row r="141">
          <cell r="G141">
            <v>17289643.139312871</v>
          </cell>
          <cell r="N141">
            <v>44337.653700000003</v>
          </cell>
        </row>
      </sheetData>
      <sheetData sheetId="6"/>
      <sheetData sheetId="7">
        <row r="11">
          <cell r="C11">
            <v>2456032.2800000003</v>
          </cell>
        </row>
      </sheetData>
      <sheetData sheetId="8"/>
      <sheetData sheetId="9"/>
      <sheetData sheetId="10"/>
      <sheetData sheetId="11">
        <row r="15">
          <cell r="BO15">
            <v>15508105.890000002</v>
          </cell>
        </row>
        <row r="94">
          <cell r="BN94">
            <v>100395.69</v>
          </cell>
        </row>
        <row r="95">
          <cell r="BN95">
            <v>79.209999999999994</v>
          </cell>
        </row>
        <row r="96">
          <cell r="BN96">
            <v>253.57999999999998</v>
          </cell>
        </row>
        <row r="97">
          <cell r="BO97">
            <v>6375825.3600000003</v>
          </cell>
        </row>
      </sheetData>
      <sheetData sheetId="12">
        <row r="7">
          <cell r="O7">
            <v>14601645.509999998</v>
          </cell>
        </row>
        <row r="96">
          <cell r="O96">
            <v>117853.34</v>
          </cell>
        </row>
        <row r="97">
          <cell r="O97">
            <v>70213.89</v>
          </cell>
        </row>
        <row r="98">
          <cell r="O98">
            <v>957.2</v>
          </cell>
        </row>
        <row r="101">
          <cell r="O101">
            <v>6739411.8439000007</v>
          </cell>
        </row>
      </sheetData>
      <sheetData sheetId="13">
        <row r="7">
          <cell r="O7">
            <v>12825845.189999999</v>
          </cell>
        </row>
        <row r="99">
          <cell r="O99">
            <v>120079.27</v>
          </cell>
        </row>
        <row r="100">
          <cell r="O100">
            <v>103888.88</v>
          </cell>
        </row>
        <row r="101">
          <cell r="O101">
            <v>2823.51</v>
          </cell>
        </row>
        <row r="104">
          <cell r="O104">
            <v>6068392.6566666663</v>
          </cell>
        </row>
      </sheetData>
      <sheetData sheetId="14">
        <row r="7">
          <cell r="O7">
            <v>12742704.989999998</v>
          </cell>
        </row>
        <row r="102">
          <cell r="O102">
            <v>84877.3</v>
          </cell>
        </row>
        <row r="103">
          <cell r="O103">
            <v>102097.23</v>
          </cell>
        </row>
        <row r="104">
          <cell r="O104">
            <v>1891.25</v>
          </cell>
        </row>
        <row r="107">
          <cell r="O107">
            <v>6060915.9239585344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January"/>
      <sheetName val="February"/>
      <sheetName val="March"/>
      <sheetName val="April"/>
      <sheetName val="May"/>
      <sheetName val="June"/>
      <sheetName val="July"/>
      <sheetName val="August "/>
      <sheetName val="September"/>
      <sheetName val="Sheet1"/>
      <sheetName val="3rd Qtr ITR 2019"/>
    </sheetNames>
    <sheetDataSet>
      <sheetData sheetId="0"/>
      <sheetData sheetId="1"/>
      <sheetData sheetId="2"/>
      <sheetData sheetId="3">
        <row r="344">
          <cell r="F344">
            <v>1484009.13</v>
          </cell>
          <cell r="G344">
            <v>1325008.1517857143</v>
          </cell>
          <cell r="H344">
            <v>159000.97821428569</v>
          </cell>
        </row>
      </sheetData>
      <sheetData sheetId="4">
        <row r="127">
          <cell r="F127">
            <v>825951.96000000008</v>
          </cell>
          <cell r="G127">
            <v>737457.10714285739</v>
          </cell>
          <cell r="H127">
            <v>88494.852857142789</v>
          </cell>
        </row>
      </sheetData>
      <sheetData sheetId="5"/>
      <sheetData sheetId="6"/>
      <sheetData sheetId="7"/>
      <sheetData sheetId="8"/>
      <sheetData sheetId="9">
        <row r="9">
          <cell r="K9">
            <v>2757402.99</v>
          </cell>
        </row>
        <row r="13">
          <cell r="H13">
            <v>1484009.1279999998</v>
          </cell>
          <cell r="I13">
            <v>825951.9632</v>
          </cell>
          <cell r="J13">
            <v>768368.60800000047</v>
          </cell>
          <cell r="K13">
            <v>3078329.6992000001</v>
          </cell>
        </row>
        <row r="14">
          <cell r="H14">
            <v>1325008.1499999999</v>
          </cell>
          <cell r="K14">
            <v>2748508.66</v>
          </cell>
        </row>
        <row r="15">
          <cell r="H15">
            <v>159000.97799999997</v>
          </cell>
          <cell r="K15">
            <v>329821.0392</v>
          </cell>
        </row>
      </sheetData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TR 2018"/>
      <sheetName val="IS"/>
      <sheetName val="BS"/>
      <sheetName val="Cash Flow 2018"/>
      <sheetName val="Sched BS"/>
      <sheetName val="Schedule of Depreciation"/>
      <sheetName val="Sched IS HOPPS"/>
      <sheetName val="DEPN SCHED. EXT."/>
      <sheetName val="Sheet1"/>
      <sheetName val="2307"/>
    </sheetNames>
    <sheetDataSet>
      <sheetData sheetId="0">
        <row r="16">
          <cell r="Y16">
            <v>-1920747.8</v>
          </cell>
        </row>
      </sheetData>
      <sheetData sheetId="1">
        <row r="17">
          <cell r="E17">
            <v>1920747.8</v>
          </cell>
        </row>
        <row r="24">
          <cell r="E24">
            <v>18768</v>
          </cell>
        </row>
        <row r="41">
          <cell r="E41">
            <v>52854.7</v>
          </cell>
        </row>
        <row r="60">
          <cell r="E60">
            <v>136209.79999999999</v>
          </cell>
        </row>
      </sheetData>
      <sheetData sheetId="2"/>
      <sheetData sheetId="3"/>
      <sheetData sheetId="4"/>
      <sheetData sheetId="5"/>
      <sheetData sheetId="6">
        <row r="11">
          <cell r="E11">
            <v>7150</v>
          </cell>
        </row>
      </sheetData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32">
          <cell r="D32">
            <v>63184</v>
          </cell>
        </row>
        <row r="41">
          <cell r="D41">
            <v>14898</v>
          </cell>
          <cell r="F41">
            <v>506.5</v>
          </cell>
          <cell r="G41">
            <v>275</v>
          </cell>
          <cell r="H41">
            <v>200</v>
          </cell>
        </row>
        <row r="42">
          <cell r="D42">
            <v>15035</v>
          </cell>
          <cell r="F42">
            <v>581.4</v>
          </cell>
          <cell r="G42">
            <v>275</v>
          </cell>
          <cell r="H42">
            <v>200</v>
          </cell>
        </row>
        <row r="43">
          <cell r="D43">
            <v>16571</v>
          </cell>
          <cell r="F43">
            <v>345.2</v>
          </cell>
          <cell r="G43">
            <v>275</v>
          </cell>
          <cell r="H43">
            <v>200</v>
          </cell>
        </row>
        <row r="44">
          <cell r="D44">
            <v>10240</v>
          </cell>
          <cell r="F44">
            <v>0</v>
          </cell>
          <cell r="G44">
            <v>137.5</v>
          </cell>
          <cell r="H44">
            <v>100</v>
          </cell>
        </row>
        <row r="45">
          <cell r="D45">
            <v>13312</v>
          </cell>
          <cell r="F45">
            <v>290.7</v>
          </cell>
          <cell r="G45">
            <v>275</v>
          </cell>
          <cell r="H45">
            <v>200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132"/>
  <sheetViews>
    <sheetView tabSelected="1" topLeftCell="A11" workbookViewId="0">
      <selection activeCell="J25" sqref="J25"/>
    </sheetView>
  </sheetViews>
  <sheetFormatPr defaultRowHeight="15"/>
  <cols>
    <col min="1" max="2" width="0.7109375" style="1" customWidth="1"/>
    <col min="3" max="3" width="0.5703125" style="1" customWidth="1"/>
    <col min="4" max="4" width="0.85546875" style="1" customWidth="1"/>
    <col min="5" max="5" width="0.5703125" style="1" customWidth="1"/>
    <col min="6" max="6" width="34.28515625" style="1" customWidth="1"/>
    <col min="7" max="7" width="24.85546875" style="18" customWidth="1"/>
    <col min="8" max="8" width="19.5703125" style="19" hidden="1" customWidth="1"/>
    <col min="9" max="9" width="16.28515625" style="19" customWidth="1"/>
    <col min="10" max="10" width="17.7109375" style="20" customWidth="1"/>
    <col min="11" max="11" width="42.42578125" style="5" bestFit="1" customWidth="1"/>
    <col min="12" max="13" width="21.140625" style="19" customWidth="1"/>
    <col min="14" max="14" width="15.42578125" style="19" customWidth="1"/>
    <col min="15" max="20" width="21.140625" style="19" customWidth="1"/>
    <col min="21" max="21" width="23.42578125" style="21" customWidth="1"/>
    <col min="22" max="23" width="9.85546875" style="21" customWidth="1"/>
    <col min="24" max="24" width="12.140625" style="22" bestFit="1" customWidth="1"/>
    <col min="25" max="25" width="12" style="22" bestFit="1" customWidth="1"/>
    <col min="26" max="26" width="12.140625" style="22" bestFit="1" customWidth="1"/>
    <col min="27" max="29" width="12" style="21" bestFit="1" customWidth="1"/>
    <col min="30" max="256" width="9.140625" style="21"/>
    <col min="257" max="258" width="0.7109375" style="21" customWidth="1"/>
    <col min="259" max="259" width="0.5703125" style="21" customWidth="1"/>
    <col min="260" max="260" width="0.85546875" style="21" customWidth="1"/>
    <col min="261" max="261" width="0.5703125" style="21" customWidth="1"/>
    <col min="262" max="262" width="34.28515625" style="21" customWidth="1"/>
    <col min="263" max="263" width="24.85546875" style="21" customWidth="1"/>
    <col min="264" max="264" width="0" style="21" hidden="1" customWidth="1"/>
    <col min="265" max="265" width="16.28515625" style="21" customWidth="1"/>
    <col min="266" max="266" width="17.7109375" style="21" customWidth="1"/>
    <col min="267" max="267" width="42.42578125" style="21" bestFit="1" customWidth="1"/>
    <col min="268" max="269" width="21.140625" style="21" customWidth="1"/>
    <col min="270" max="270" width="15.42578125" style="21" customWidth="1"/>
    <col min="271" max="276" width="21.140625" style="21" customWidth="1"/>
    <col min="277" max="277" width="23.42578125" style="21" customWidth="1"/>
    <col min="278" max="279" width="9.85546875" style="21" customWidth="1"/>
    <col min="280" max="280" width="12.140625" style="21" bestFit="1" customWidth="1"/>
    <col min="281" max="281" width="12" style="21" bestFit="1" customWidth="1"/>
    <col min="282" max="282" width="12.140625" style="21" bestFit="1" customWidth="1"/>
    <col min="283" max="285" width="12" style="21" bestFit="1" customWidth="1"/>
    <col min="286" max="512" width="9.140625" style="21"/>
    <col min="513" max="514" width="0.7109375" style="21" customWidth="1"/>
    <col min="515" max="515" width="0.5703125" style="21" customWidth="1"/>
    <col min="516" max="516" width="0.85546875" style="21" customWidth="1"/>
    <col min="517" max="517" width="0.5703125" style="21" customWidth="1"/>
    <col min="518" max="518" width="34.28515625" style="21" customWidth="1"/>
    <col min="519" max="519" width="24.85546875" style="21" customWidth="1"/>
    <col min="520" max="520" width="0" style="21" hidden="1" customWidth="1"/>
    <col min="521" max="521" width="16.28515625" style="21" customWidth="1"/>
    <col min="522" max="522" width="17.7109375" style="21" customWidth="1"/>
    <col min="523" max="523" width="42.42578125" style="21" bestFit="1" customWidth="1"/>
    <col min="524" max="525" width="21.140625" style="21" customWidth="1"/>
    <col min="526" max="526" width="15.42578125" style="21" customWidth="1"/>
    <col min="527" max="532" width="21.140625" style="21" customWidth="1"/>
    <col min="533" max="533" width="23.42578125" style="21" customWidth="1"/>
    <col min="534" max="535" width="9.85546875" style="21" customWidth="1"/>
    <col min="536" max="536" width="12.140625" style="21" bestFit="1" customWidth="1"/>
    <col min="537" max="537" width="12" style="21" bestFit="1" customWidth="1"/>
    <col min="538" max="538" width="12.140625" style="21" bestFit="1" customWidth="1"/>
    <col min="539" max="541" width="12" style="21" bestFit="1" customWidth="1"/>
    <col min="542" max="768" width="9.140625" style="21"/>
    <col min="769" max="770" width="0.7109375" style="21" customWidth="1"/>
    <col min="771" max="771" width="0.5703125" style="21" customWidth="1"/>
    <col min="772" max="772" width="0.85546875" style="21" customWidth="1"/>
    <col min="773" max="773" width="0.5703125" style="21" customWidth="1"/>
    <col min="774" max="774" width="34.28515625" style="21" customWidth="1"/>
    <col min="775" max="775" width="24.85546875" style="21" customWidth="1"/>
    <col min="776" max="776" width="0" style="21" hidden="1" customWidth="1"/>
    <col min="777" max="777" width="16.28515625" style="21" customWidth="1"/>
    <col min="778" max="778" width="17.7109375" style="21" customWidth="1"/>
    <col min="779" max="779" width="42.42578125" style="21" bestFit="1" customWidth="1"/>
    <col min="780" max="781" width="21.140625" style="21" customWidth="1"/>
    <col min="782" max="782" width="15.42578125" style="21" customWidth="1"/>
    <col min="783" max="788" width="21.140625" style="21" customWidth="1"/>
    <col min="789" max="789" width="23.42578125" style="21" customWidth="1"/>
    <col min="790" max="791" width="9.85546875" style="21" customWidth="1"/>
    <col min="792" max="792" width="12.140625" style="21" bestFit="1" customWidth="1"/>
    <col min="793" max="793" width="12" style="21" bestFit="1" customWidth="1"/>
    <col min="794" max="794" width="12.140625" style="21" bestFit="1" customWidth="1"/>
    <col min="795" max="797" width="12" style="21" bestFit="1" customWidth="1"/>
    <col min="798" max="1024" width="9.140625" style="21"/>
    <col min="1025" max="1026" width="0.7109375" style="21" customWidth="1"/>
    <col min="1027" max="1027" width="0.5703125" style="21" customWidth="1"/>
    <col min="1028" max="1028" width="0.85546875" style="21" customWidth="1"/>
    <col min="1029" max="1029" width="0.5703125" style="21" customWidth="1"/>
    <col min="1030" max="1030" width="34.28515625" style="21" customWidth="1"/>
    <col min="1031" max="1031" width="24.85546875" style="21" customWidth="1"/>
    <col min="1032" max="1032" width="0" style="21" hidden="1" customWidth="1"/>
    <col min="1033" max="1033" width="16.28515625" style="21" customWidth="1"/>
    <col min="1034" max="1034" width="17.7109375" style="21" customWidth="1"/>
    <col min="1035" max="1035" width="42.42578125" style="21" bestFit="1" customWidth="1"/>
    <col min="1036" max="1037" width="21.140625" style="21" customWidth="1"/>
    <col min="1038" max="1038" width="15.42578125" style="21" customWidth="1"/>
    <col min="1039" max="1044" width="21.140625" style="21" customWidth="1"/>
    <col min="1045" max="1045" width="23.42578125" style="21" customWidth="1"/>
    <col min="1046" max="1047" width="9.85546875" style="21" customWidth="1"/>
    <col min="1048" max="1048" width="12.140625" style="21" bestFit="1" customWidth="1"/>
    <col min="1049" max="1049" width="12" style="21" bestFit="1" customWidth="1"/>
    <col min="1050" max="1050" width="12.140625" style="21" bestFit="1" customWidth="1"/>
    <col min="1051" max="1053" width="12" style="21" bestFit="1" customWidth="1"/>
    <col min="1054" max="1280" width="9.140625" style="21"/>
    <col min="1281" max="1282" width="0.7109375" style="21" customWidth="1"/>
    <col min="1283" max="1283" width="0.5703125" style="21" customWidth="1"/>
    <col min="1284" max="1284" width="0.85546875" style="21" customWidth="1"/>
    <col min="1285" max="1285" width="0.5703125" style="21" customWidth="1"/>
    <col min="1286" max="1286" width="34.28515625" style="21" customWidth="1"/>
    <col min="1287" max="1287" width="24.85546875" style="21" customWidth="1"/>
    <col min="1288" max="1288" width="0" style="21" hidden="1" customWidth="1"/>
    <col min="1289" max="1289" width="16.28515625" style="21" customWidth="1"/>
    <col min="1290" max="1290" width="17.7109375" style="21" customWidth="1"/>
    <col min="1291" max="1291" width="42.42578125" style="21" bestFit="1" customWidth="1"/>
    <col min="1292" max="1293" width="21.140625" style="21" customWidth="1"/>
    <col min="1294" max="1294" width="15.42578125" style="21" customWidth="1"/>
    <col min="1295" max="1300" width="21.140625" style="21" customWidth="1"/>
    <col min="1301" max="1301" width="23.42578125" style="21" customWidth="1"/>
    <col min="1302" max="1303" width="9.85546875" style="21" customWidth="1"/>
    <col min="1304" max="1304" width="12.140625" style="21" bestFit="1" customWidth="1"/>
    <col min="1305" max="1305" width="12" style="21" bestFit="1" customWidth="1"/>
    <col min="1306" max="1306" width="12.140625" style="21" bestFit="1" customWidth="1"/>
    <col min="1307" max="1309" width="12" style="21" bestFit="1" customWidth="1"/>
    <col min="1310" max="1536" width="9.140625" style="21"/>
    <col min="1537" max="1538" width="0.7109375" style="21" customWidth="1"/>
    <col min="1539" max="1539" width="0.5703125" style="21" customWidth="1"/>
    <col min="1540" max="1540" width="0.85546875" style="21" customWidth="1"/>
    <col min="1541" max="1541" width="0.5703125" style="21" customWidth="1"/>
    <col min="1542" max="1542" width="34.28515625" style="21" customWidth="1"/>
    <col min="1543" max="1543" width="24.85546875" style="21" customWidth="1"/>
    <col min="1544" max="1544" width="0" style="21" hidden="1" customWidth="1"/>
    <col min="1545" max="1545" width="16.28515625" style="21" customWidth="1"/>
    <col min="1546" max="1546" width="17.7109375" style="21" customWidth="1"/>
    <col min="1547" max="1547" width="42.42578125" style="21" bestFit="1" customWidth="1"/>
    <col min="1548" max="1549" width="21.140625" style="21" customWidth="1"/>
    <col min="1550" max="1550" width="15.42578125" style="21" customWidth="1"/>
    <col min="1551" max="1556" width="21.140625" style="21" customWidth="1"/>
    <col min="1557" max="1557" width="23.42578125" style="21" customWidth="1"/>
    <col min="1558" max="1559" width="9.85546875" style="21" customWidth="1"/>
    <col min="1560" max="1560" width="12.140625" style="21" bestFit="1" customWidth="1"/>
    <col min="1561" max="1561" width="12" style="21" bestFit="1" customWidth="1"/>
    <col min="1562" max="1562" width="12.140625" style="21" bestFit="1" customWidth="1"/>
    <col min="1563" max="1565" width="12" style="21" bestFit="1" customWidth="1"/>
    <col min="1566" max="1792" width="9.140625" style="21"/>
    <col min="1793" max="1794" width="0.7109375" style="21" customWidth="1"/>
    <col min="1795" max="1795" width="0.5703125" style="21" customWidth="1"/>
    <col min="1796" max="1796" width="0.85546875" style="21" customWidth="1"/>
    <col min="1797" max="1797" width="0.5703125" style="21" customWidth="1"/>
    <col min="1798" max="1798" width="34.28515625" style="21" customWidth="1"/>
    <col min="1799" max="1799" width="24.85546875" style="21" customWidth="1"/>
    <col min="1800" max="1800" width="0" style="21" hidden="1" customWidth="1"/>
    <col min="1801" max="1801" width="16.28515625" style="21" customWidth="1"/>
    <col min="1802" max="1802" width="17.7109375" style="21" customWidth="1"/>
    <col min="1803" max="1803" width="42.42578125" style="21" bestFit="1" customWidth="1"/>
    <col min="1804" max="1805" width="21.140625" style="21" customWidth="1"/>
    <col min="1806" max="1806" width="15.42578125" style="21" customWidth="1"/>
    <col min="1807" max="1812" width="21.140625" style="21" customWidth="1"/>
    <col min="1813" max="1813" width="23.42578125" style="21" customWidth="1"/>
    <col min="1814" max="1815" width="9.85546875" style="21" customWidth="1"/>
    <col min="1816" max="1816" width="12.140625" style="21" bestFit="1" customWidth="1"/>
    <col min="1817" max="1817" width="12" style="21" bestFit="1" customWidth="1"/>
    <col min="1818" max="1818" width="12.140625" style="21" bestFit="1" customWidth="1"/>
    <col min="1819" max="1821" width="12" style="21" bestFit="1" customWidth="1"/>
    <col min="1822" max="2048" width="9.140625" style="21"/>
    <col min="2049" max="2050" width="0.7109375" style="21" customWidth="1"/>
    <col min="2051" max="2051" width="0.5703125" style="21" customWidth="1"/>
    <col min="2052" max="2052" width="0.85546875" style="21" customWidth="1"/>
    <col min="2053" max="2053" width="0.5703125" style="21" customWidth="1"/>
    <col min="2054" max="2054" width="34.28515625" style="21" customWidth="1"/>
    <col min="2055" max="2055" width="24.85546875" style="21" customWidth="1"/>
    <col min="2056" max="2056" width="0" style="21" hidden="1" customWidth="1"/>
    <col min="2057" max="2057" width="16.28515625" style="21" customWidth="1"/>
    <col min="2058" max="2058" width="17.7109375" style="21" customWidth="1"/>
    <col min="2059" max="2059" width="42.42578125" style="21" bestFit="1" customWidth="1"/>
    <col min="2060" max="2061" width="21.140625" style="21" customWidth="1"/>
    <col min="2062" max="2062" width="15.42578125" style="21" customWidth="1"/>
    <col min="2063" max="2068" width="21.140625" style="21" customWidth="1"/>
    <col min="2069" max="2069" width="23.42578125" style="21" customWidth="1"/>
    <col min="2070" max="2071" width="9.85546875" style="21" customWidth="1"/>
    <col min="2072" max="2072" width="12.140625" style="21" bestFit="1" customWidth="1"/>
    <col min="2073" max="2073" width="12" style="21" bestFit="1" customWidth="1"/>
    <col min="2074" max="2074" width="12.140625" style="21" bestFit="1" customWidth="1"/>
    <col min="2075" max="2077" width="12" style="21" bestFit="1" customWidth="1"/>
    <col min="2078" max="2304" width="9.140625" style="21"/>
    <col min="2305" max="2306" width="0.7109375" style="21" customWidth="1"/>
    <col min="2307" max="2307" width="0.5703125" style="21" customWidth="1"/>
    <col min="2308" max="2308" width="0.85546875" style="21" customWidth="1"/>
    <col min="2309" max="2309" width="0.5703125" style="21" customWidth="1"/>
    <col min="2310" max="2310" width="34.28515625" style="21" customWidth="1"/>
    <col min="2311" max="2311" width="24.85546875" style="21" customWidth="1"/>
    <col min="2312" max="2312" width="0" style="21" hidden="1" customWidth="1"/>
    <col min="2313" max="2313" width="16.28515625" style="21" customWidth="1"/>
    <col min="2314" max="2314" width="17.7109375" style="21" customWidth="1"/>
    <col min="2315" max="2315" width="42.42578125" style="21" bestFit="1" customWidth="1"/>
    <col min="2316" max="2317" width="21.140625" style="21" customWidth="1"/>
    <col min="2318" max="2318" width="15.42578125" style="21" customWidth="1"/>
    <col min="2319" max="2324" width="21.140625" style="21" customWidth="1"/>
    <col min="2325" max="2325" width="23.42578125" style="21" customWidth="1"/>
    <col min="2326" max="2327" width="9.85546875" style="21" customWidth="1"/>
    <col min="2328" max="2328" width="12.140625" style="21" bestFit="1" customWidth="1"/>
    <col min="2329" max="2329" width="12" style="21" bestFit="1" customWidth="1"/>
    <col min="2330" max="2330" width="12.140625" style="21" bestFit="1" customWidth="1"/>
    <col min="2331" max="2333" width="12" style="21" bestFit="1" customWidth="1"/>
    <col min="2334" max="2560" width="9.140625" style="21"/>
    <col min="2561" max="2562" width="0.7109375" style="21" customWidth="1"/>
    <col min="2563" max="2563" width="0.5703125" style="21" customWidth="1"/>
    <col min="2564" max="2564" width="0.85546875" style="21" customWidth="1"/>
    <col min="2565" max="2565" width="0.5703125" style="21" customWidth="1"/>
    <col min="2566" max="2566" width="34.28515625" style="21" customWidth="1"/>
    <col min="2567" max="2567" width="24.85546875" style="21" customWidth="1"/>
    <col min="2568" max="2568" width="0" style="21" hidden="1" customWidth="1"/>
    <col min="2569" max="2569" width="16.28515625" style="21" customWidth="1"/>
    <col min="2570" max="2570" width="17.7109375" style="21" customWidth="1"/>
    <col min="2571" max="2571" width="42.42578125" style="21" bestFit="1" customWidth="1"/>
    <col min="2572" max="2573" width="21.140625" style="21" customWidth="1"/>
    <col min="2574" max="2574" width="15.42578125" style="21" customWidth="1"/>
    <col min="2575" max="2580" width="21.140625" style="21" customWidth="1"/>
    <col min="2581" max="2581" width="23.42578125" style="21" customWidth="1"/>
    <col min="2582" max="2583" width="9.85546875" style="21" customWidth="1"/>
    <col min="2584" max="2584" width="12.140625" style="21" bestFit="1" customWidth="1"/>
    <col min="2585" max="2585" width="12" style="21" bestFit="1" customWidth="1"/>
    <col min="2586" max="2586" width="12.140625" style="21" bestFit="1" customWidth="1"/>
    <col min="2587" max="2589" width="12" style="21" bestFit="1" customWidth="1"/>
    <col min="2590" max="2816" width="9.140625" style="21"/>
    <col min="2817" max="2818" width="0.7109375" style="21" customWidth="1"/>
    <col min="2819" max="2819" width="0.5703125" style="21" customWidth="1"/>
    <col min="2820" max="2820" width="0.85546875" style="21" customWidth="1"/>
    <col min="2821" max="2821" width="0.5703125" style="21" customWidth="1"/>
    <col min="2822" max="2822" width="34.28515625" style="21" customWidth="1"/>
    <col min="2823" max="2823" width="24.85546875" style="21" customWidth="1"/>
    <col min="2824" max="2824" width="0" style="21" hidden="1" customWidth="1"/>
    <col min="2825" max="2825" width="16.28515625" style="21" customWidth="1"/>
    <col min="2826" max="2826" width="17.7109375" style="21" customWidth="1"/>
    <col min="2827" max="2827" width="42.42578125" style="21" bestFit="1" customWidth="1"/>
    <col min="2828" max="2829" width="21.140625" style="21" customWidth="1"/>
    <col min="2830" max="2830" width="15.42578125" style="21" customWidth="1"/>
    <col min="2831" max="2836" width="21.140625" style="21" customWidth="1"/>
    <col min="2837" max="2837" width="23.42578125" style="21" customWidth="1"/>
    <col min="2838" max="2839" width="9.85546875" style="21" customWidth="1"/>
    <col min="2840" max="2840" width="12.140625" style="21" bestFit="1" customWidth="1"/>
    <col min="2841" max="2841" width="12" style="21" bestFit="1" customWidth="1"/>
    <col min="2842" max="2842" width="12.140625" style="21" bestFit="1" customWidth="1"/>
    <col min="2843" max="2845" width="12" style="21" bestFit="1" customWidth="1"/>
    <col min="2846" max="3072" width="9.140625" style="21"/>
    <col min="3073" max="3074" width="0.7109375" style="21" customWidth="1"/>
    <col min="3075" max="3075" width="0.5703125" style="21" customWidth="1"/>
    <col min="3076" max="3076" width="0.85546875" style="21" customWidth="1"/>
    <col min="3077" max="3077" width="0.5703125" style="21" customWidth="1"/>
    <col min="3078" max="3078" width="34.28515625" style="21" customWidth="1"/>
    <col min="3079" max="3079" width="24.85546875" style="21" customWidth="1"/>
    <col min="3080" max="3080" width="0" style="21" hidden="1" customWidth="1"/>
    <col min="3081" max="3081" width="16.28515625" style="21" customWidth="1"/>
    <col min="3082" max="3082" width="17.7109375" style="21" customWidth="1"/>
    <col min="3083" max="3083" width="42.42578125" style="21" bestFit="1" customWidth="1"/>
    <col min="3084" max="3085" width="21.140625" style="21" customWidth="1"/>
    <col min="3086" max="3086" width="15.42578125" style="21" customWidth="1"/>
    <col min="3087" max="3092" width="21.140625" style="21" customWidth="1"/>
    <col min="3093" max="3093" width="23.42578125" style="21" customWidth="1"/>
    <col min="3094" max="3095" width="9.85546875" style="21" customWidth="1"/>
    <col min="3096" max="3096" width="12.140625" style="21" bestFit="1" customWidth="1"/>
    <col min="3097" max="3097" width="12" style="21" bestFit="1" customWidth="1"/>
    <col min="3098" max="3098" width="12.140625" style="21" bestFit="1" customWidth="1"/>
    <col min="3099" max="3101" width="12" style="21" bestFit="1" customWidth="1"/>
    <col min="3102" max="3328" width="9.140625" style="21"/>
    <col min="3329" max="3330" width="0.7109375" style="21" customWidth="1"/>
    <col min="3331" max="3331" width="0.5703125" style="21" customWidth="1"/>
    <col min="3332" max="3332" width="0.85546875" style="21" customWidth="1"/>
    <col min="3333" max="3333" width="0.5703125" style="21" customWidth="1"/>
    <col min="3334" max="3334" width="34.28515625" style="21" customWidth="1"/>
    <col min="3335" max="3335" width="24.85546875" style="21" customWidth="1"/>
    <col min="3336" max="3336" width="0" style="21" hidden="1" customWidth="1"/>
    <col min="3337" max="3337" width="16.28515625" style="21" customWidth="1"/>
    <col min="3338" max="3338" width="17.7109375" style="21" customWidth="1"/>
    <col min="3339" max="3339" width="42.42578125" style="21" bestFit="1" customWidth="1"/>
    <col min="3340" max="3341" width="21.140625" style="21" customWidth="1"/>
    <col min="3342" max="3342" width="15.42578125" style="21" customWidth="1"/>
    <col min="3343" max="3348" width="21.140625" style="21" customWidth="1"/>
    <col min="3349" max="3349" width="23.42578125" style="21" customWidth="1"/>
    <col min="3350" max="3351" width="9.85546875" style="21" customWidth="1"/>
    <col min="3352" max="3352" width="12.140625" style="21" bestFit="1" customWidth="1"/>
    <col min="3353" max="3353" width="12" style="21" bestFit="1" customWidth="1"/>
    <col min="3354" max="3354" width="12.140625" style="21" bestFit="1" customWidth="1"/>
    <col min="3355" max="3357" width="12" style="21" bestFit="1" customWidth="1"/>
    <col min="3358" max="3584" width="9.140625" style="21"/>
    <col min="3585" max="3586" width="0.7109375" style="21" customWidth="1"/>
    <col min="3587" max="3587" width="0.5703125" style="21" customWidth="1"/>
    <col min="3588" max="3588" width="0.85546875" style="21" customWidth="1"/>
    <col min="3589" max="3589" width="0.5703125" style="21" customWidth="1"/>
    <col min="3590" max="3590" width="34.28515625" style="21" customWidth="1"/>
    <col min="3591" max="3591" width="24.85546875" style="21" customWidth="1"/>
    <col min="3592" max="3592" width="0" style="21" hidden="1" customWidth="1"/>
    <col min="3593" max="3593" width="16.28515625" style="21" customWidth="1"/>
    <col min="3594" max="3594" width="17.7109375" style="21" customWidth="1"/>
    <col min="3595" max="3595" width="42.42578125" style="21" bestFit="1" customWidth="1"/>
    <col min="3596" max="3597" width="21.140625" style="21" customWidth="1"/>
    <col min="3598" max="3598" width="15.42578125" style="21" customWidth="1"/>
    <col min="3599" max="3604" width="21.140625" style="21" customWidth="1"/>
    <col min="3605" max="3605" width="23.42578125" style="21" customWidth="1"/>
    <col min="3606" max="3607" width="9.85546875" style="21" customWidth="1"/>
    <col min="3608" max="3608" width="12.140625" style="21" bestFit="1" customWidth="1"/>
    <col min="3609" max="3609" width="12" style="21" bestFit="1" customWidth="1"/>
    <col min="3610" max="3610" width="12.140625" style="21" bestFit="1" customWidth="1"/>
    <col min="3611" max="3613" width="12" style="21" bestFit="1" customWidth="1"/>
    <col min="3614" max="3840" width="9.140625" style="21"/>
    <col min="3841" max="3842" width="0.7109375" style="21" customWidth="1"/>
    <col min="3843" max="3843" width="0.5703125" style="21" customWidth="1"/>
    <col min="3844" max="3844" width="0.85546875" style="21" customWidth="1"/>
    <col min="3845" max="3845" width="0.5703125" style="21" customWidth="1"/>
    <col min="3846" max="3846" width="34.28515625" style="21" customWidth="1"/>
    <col min="3847" max="3847" width="24.85546875" style="21" customWidth="1"/>
    <col min="3848" max="3848" width="0" style="21" hidden="1" customWidth="1"/>
    <col min="3849" max="3849" width="16.28515625" style="21" customWidth="1"/>
    <col min="3850" max="3850" width="17.7109375" style="21" customWidth="1"/>
    <col min="3851" max="3851" width="42.42578125" style="21" bestFit="1" customWidth="1"/>
    <col min="3852" max="3853" width="21.140625" style="21" customWidth="1"/>
    <col min="3854" max="3854" width="15.42578125" style="21" customWidth="1"/>
    <col min="3855" max="3860" width="21.140625" style="21" customWidth="1"/>
    <col min="3861" max="3861" width="23.42578125" style="21" customWidth="1"/>
    <col min="3862" max="3863" width="9.85546875" style="21" customWidth="1"/>
    <col min="3864" max="3864" width="12.140625" style="21" bestFit="1" customWidth="1"/>
    <col min="3865" max="3865" width="12" style="21" bestFit="1" customWidth="1"/>
    <col min="3866" max="3866" width="12.140625" style="21" bestFit="1" customWidth="1"/>
    <col min="3867" max="3869" width="12" style="21" bestFit="1" customWidth="1"/>
    <col min="3870" max="4096" width="9.140625" style="21"/>
    <col min="4097" max="4098" width="0.7109375" style="21" customWidth="1"/>
    <col min="4099" max="4099" width="0.5703125" style="21" customWidth="1"/>
    <col min="4100" max="4100" width="0.85546875" style="21" customWidth="1"/>
    <col min="4101" max="4101" width="0.5703125" style="21" customWidth="1"/>
    <col min="4102" max="4102" width="34.28515625" style="21" customWidth="1"/>
    <col min="4103" max="4103" width="24.85546875" style="21" customWidth="1"/>
    <col min="4104" max="4104" width="0" style="21" hidden="1" customWidth="1"/>
    <col min="4105" max="4105" width="16.28515625" style="21" customWidth="1"/>
    <col min="4106" max="4106" width="17.7109375" style="21" customWidth="1"/>
    <col min="4107" max="4107" width="42.42578125" style="21" bestFit="1" customWidth="1"/>
    <col min="4108" max="4109" width="21.140625" style="21" customWidth="1"/>
    <col min="4110" max="4110" width="15.42578125" style="21" customWidth="1"/>
    <col min="4111" max="4116" width="21.140625" style="21" customWidth="1"/>
    <col min="4117" max="4117" width="23.42578125" style="21" customWidth="1"/>
    <col min="4118" max="4119" width="9.85546875" style="21" customWidth="1"/>
    <col min="4120" max="4120" width="12.140625" style="21" bestFit="1" customWidth="1"/>
    <col min="4121" max="4121" width="12" style="21" bestFit="1" customWidth="1"/>
    <col min="4122" max="4122" width="12.140625" style="21" bestFit="1" customWidth="1"/>
    <col min="4123" max="4125" width="12" style="21" bestFit="1" customWidth="1"/>
    <col min="4126" max="4352" width="9.140625" style="21"/>
    <col min="4353" max="4354" width="0.7109375" style="21" customWidth="1"/>
    <col min="4355" max="4355" width="0.5703125" style="21" customWidth="1"/>
    <col min="4356" max="4356" width="0.85546875" style="21" customWidth="1"/>
    <col min="4357" max="4357" width="0.5703125" style="21" customWidth="1"/>
    <col min="4358" max="4358" width="34.28515625" style="21" customWidth="1"/>
    <col min="4359" max="4359" width="24.85546875" style="21" customWidth="1"/>
    <col min="4360" max="4360" width="0" style="21" hidden="1" customWidth="1"/>
    <col min="4361" max="4361" width="16.28515625" style="21" customWidth="1"/>
    <col min="4362" max="4362" width="17.7109375" style="21" customWidth="1"/>
    <col min="4363" max="4363" width="42.42578125" style="21" bestFit="1" customWidth="1"/>
    <col min="4364" max="4365" width="21.140625" style="21" customWidth="1"/>
    <col min="4366" max="4366" width="15.42578125" style="21" customWidth="1"/>
    <col min="4367" max="4372" width="21.140625" style="21" customWidth="1"/>
    <col min="4373" max="4373" width="23.42578125" style="21" customWidth="1"/>
    <col min="4374" max="4375" width="9.85546875" style="21" customWidth="1"/>
    <col min="4376" max="4376" width="12.140625" style="21" bestFit="1" customWidth="1"/>
    <col min="4377" max="4377" width="12" style="21" bestFit="1" customWidth="1"/>
    <col min="4378" max="4378" width="12.140625" style="21" bestFit="1" customWidth="1"/>
    <col min="4379" max="4381" width="12" style="21" bestFit="1" customWidth="1"/>
    <col min="4382" max="4608" width="9.140625" style="21"/>
    <col min="4609" max="4610" width="0.7109375" style="21" customWidth="1"/>
    <col min="4611" max="4611" width="0.5703125" style="21" customWidth="1"/>
    <col min="4612" max="4612" width="0.85546875" style="21" customWidth="1"/>
    <col min="4613" max="4613" width="0.5703125" style="21" customWidth="1"/>
    <col min="4614" max="4614" width="34.28515625" style="21" customWidth="1"/>
    <col min="4615" max="4615" width="24.85546875" style="21" customWidth="1"/>
    <col min="4616" max="4616" width="0" style="21" hidden="1" customWidth="1"/>
    <col min="4617" max="4617" width="16.28515625" style="21" customWidth="1"/>
    <col min="4618" max="4618" width="17.7109375" style="21" customWidth="1"/>
    <col min="4619" max="4619" width="42.42578125" style="21" bestFit="1" customWidth="1"/>
    <col min="4620" max="4621" width="21.140625" style="21" customWidth="1"/>
    <col min="4622" max="4622" width="15.42578125" style="21" customWidth="1"/>
    <col min="4623" max="4628" width="21.140625" style="21" customWidth="1"/>
    <col min="4629" max="4629" width="23.42578125" style="21" customWidth="1"/>
    <col min="4630" max="4631" width="9.85546875" style="21" customWidth="1"/>
    <col min="4632" max="4632" width="12.140625" style="21" bestFit="1" customWidth="1"/>
    <col min="4633" max="4633" width="12" style="21" bestFit="1" customWidth="1"/>
    <col min="4634" max="4634" width="12.140625" style="21" bestFit="1" customWidth="1"/>
    <col min="4635" max="4637" width="12" style="21" bestFit="1" customWidth="1"/>
    <col min="4638" max="4864" width="9.140625" style="21"/>
    <col min="4865" max="4866" width="0.7109375" style="21" customWidth="1"/>
    <col min="4867" max="4867" width="0.5703125" style="21" customWidth="1"/>
    <col min="4868" max="4868" width="0.85546875" style="21" customWidth="1"/>
    <col min="4869" max="4869" width="0.5703125" style="21" customWidth="1"/>
    <col min="4870" max="4870" width="34.28515625" style="21" customWidth="1"/>
    <col min="4871" max="4871" width="24.85546875" style="21" customWidth="1"/>
    <col min="4872" max="4872" width="0" style="21" hidden="1" customWidth="1"/>
    <col min="4873" max="4873" width="16.28515625" style="21" customWidth="1"/>
    <col min="4874" max="4874" width="17.7109375" style="21" customWidth="1"/>
    <col min="4875" max="4875" width="42.42578125" style="21" bestFit="1" customWidth="1"/>
    <col min="4876" max="4877" width="21.140625" style="21" customWidth="1"/>
    <col min="4878" max="4878" width="15.42578125" style="21" customWidth="1"/>
    <col min="4879" max="4884" width="21.140625" style="21" customWidth="1"/>
    <col min="4885" max="4885" width="23.42578125" style="21" customWidth="1"/>
    <col min="4886" max="4887" width="9.85546875" style="21" customWidth="1"/>
    <col min="4888" max="4888" width="12.140625" style="21" bestFit="1" customWidth="1"/>
    <col min="4889" max="4889" width="12" style="21" bestFit="1" customWidth="1"/>
    <col min="4890" max="4890" width="12.140625" style="21" bestFit="1" customWidth="1"/>
    <col min="4891" max="4893" width="12" style="21" bestFit="1" customWidth="1"/>
    <col min="4894" max="5120" width="9.140625" style="21"/>
    <col min="5121" max="5122" width="0.7109375" style="21" customWidth="1"/>
    <col min="5123" max="5123" width="0.5703125" style="21" customWidth="1"/>
    <col min="5124" max="5124" width="0.85546875" style="21" customWidth="1"/>
    <col min="5125" max="5125" width="0.5703125" style="21" customWidth="1"/>
    <col min="5126" max="5126" width="34.28515625" style="21" customWidth="1"/>
    <col min="5127" max="5127" width="24.85546875" style="21" customWidth="1"/>
    <col min="5128" max="5128" width="0" style="21" hidden="1" customWidth="1"/>
    <col min="5129" max="5129" width="16.28515625" style="21" customWidth="1"/>
    <col min="5130" max="5130" width="17.7109375" style="21" customWidth="1"/>
    <col min="5131" max="5131" width="42.42578125" style="21" bestFit="1" customWidth="1"/>
    <col min="5132" max="5133" width="21.140625" style="21" customWidth="1"/>
    <col min="5134" max="5134" width="15.42578125" style="21" customWidth="1"/>
    <col min="5135" max="5140" width="21.140625" style="21" customWidth="1"/>
    <col min="5141" max="5141" width="23.42578125" style="21" customWidth="1"/>
    <col min="5142" max="5143" width="9.85546875" style="21" customWidth="1"/>
    <col min="5144" max="5144" width="12.140625" style="21" bestFit="1" customWidth="1"/>
    <col min="5145" max="5145" width="12" style="21" bestFit="1" customWidth="1"/>
    <col min="5146" max="5146" width="12.140625" style="21" bestFit="1" customWidth="1"/>
    <col min="5147" max="5149" width="12" style="21" bestFit="1" customWidth="1"/>
    <col min="5150" max="5376" width="9.140625" style="21"/>
    <col min="5377" max="5378" width="0.7109375" style="21" customWidth="1"/>
    <col min="5379" max="5379" width="0.5703125" style="21" customWidth="1"/>
    <col min="5380" max="5380" width="0.85546875" style="21" customWidth="1"/>
    <col min="5381" max="5381" width="0.5703125" style="21" customWidth="1"/>
    <col min="5382" max="5382" width="34.28515625" style="21" customWidth="1"/>
    <col min="5383" max="5383" width="24.85546875" style="21" customWidth="1"/>
    <col min="5384" max="5384" width="0" style="21" hidden="1" customWidth="1"/>
    <col min="5385" max="5385" width="16.28515625" style="21" customWidth="1"/>
    <col min="5386" max="5386" width="17.7109375" style="21" customWidth="1"/>
    <col min="5387" max="5387" width="42.42578125" style="21" bestFit="1" customWidth="1"/>
    <col min="5388" max="5389" width="21.140625" style="21" customWidth="1"/>
    <col min="5390" max="5390" width="15.42578125" style="21" customWidth="1"/>
    <col min="5391" max="5396" width="21.140625" style="21" customWidth="1"/>
    <col min="5397" max="5397" width="23.42578125" style="21" customWidth="1"/>
    <col min="5398" max="5399" width="9.85546875" style="21" customWidth="1"/>
    <col min="5400" max="5400" width="12.140625" style="21" bestFit="1" customWidth="1"/>
    <col min="5401" max="5401" width="12" style="21" bestFit="1" customWidth="1"/>
    <col min="5402" max="5402" width="12.140625" style="21" bestFit="1" customWidth="1"/>
    <col min="5403" max="5405" width="12" style="21" bestFit="1" customWidth="1"/>
    <col min="5406" max="5632" width="9.140625" style="21"/>
    <col min="5633" max="5634" width="0.7109375" style="21" customWidth="1"/>
    <col min="5635" max="5635" width="0.5703125" style="21" customWidth="1"/>
    <col min="5636" max="5636" width="0.85546875" style="21" customWidth="1"/>
    <col min="5637" max="5637" width="0.5703125" style="21" customWidth="1"/>
    <col min="5638" max="5638" width="34.28515625" style="21" customWidth="1"/>
    <col min="5639" max="5639" width="24.85546875" style="21" customWidth="1"/>
    <col min="5640" max="5640" width="0" style="21" hidden="1" customWidth="1"/>
    <col min="5641" max="5641" width="16.28515625" style="21" customWidth="1"/>
    <col min="5642" max="5642" width="17.7109375" style="21" customWidth="1"/>
    <col min="5643" max="5643" width="42.42578125" style="21" bestFit="1" customWidth="1"/>
    <col min="5644" max="5645" width="21.140625" style="21" customWidth="1"/>
    <col min="5646" max="5646" width="15.42578125" style="21" customWidth="1"/>
    <col min="5647" max="5652" width="21.140625" style="21" customWidth="1"/>
    <col min="5653" max="5653" width="23.42578125" style="21" customWidth="1"/>
    <col min="5654" max="5655" width="9.85546875" style="21" customWidth="1"/>
    <col min="5656" max="5656" width="12.140625" style="21" bestFit="1" customWidth="1"/>
    <col min="5657" max="5657" width="12" style="21" bestFit="1" customWidth="1"/>
    <col min="5658" max="5658" width="12.140625" style="21" bestFit="1" customWidth="1"/>
    <col min="5659" max="5661" width="12" style="21" bestFit="1" customWidth="1"/>
    <col min="5662" max="5888" width="9.140625" style="21"/>
    <col min="5889" max="5890" width="0.7109375" style="21" customWidth="1"/>
    <col min="5891" max="5891" width="0.5703125" style="21" customWidth="1"/>
    <col min="5892" max="5892" width="0.85546875" style="21" customWidth="1"/>
    <col min="5893" max="5893" width="0.5703125" style="21" customWidth="1"/>
    <col min="5894" max="5894" width="34.28515625" style="21" customWidth="1"/>
    <col min="5895" max="5895" width="24.85546875" style="21" customWidth="1"/>
    <col min="5896" max="5896" width="0" style="21" hidden="1" customWidth="1"/>
    <col min="5897" max="5897" width="16.28515625" style="21" customWidth="1"/>
    <col min="5898" max="5898" width="17.7109375" style="21" customWidth="1"/>
    <col min="5899" max="5899" width="42.42578125" style="21" bestFit="1" customWidth="1"/>
    <col min="5900" max="5901" width="21.140625" style="21" customWidth="1"/>
    <col min="5902" max="5902" width="15.42578125" style="21" customWidth="1"/>
    <col min="5903" max="5908" width="21.140625" style="21" customWidth="1"/>
    <col min="5909" max="5909" width="23.42578125" style="21" customWidth="1"/>
    <col min="5910" max="5911" width="9.85546875" style="21" customWidth="1"/>
    <col min="5912" max="5912" width="12.140625" style="21" bestFit="1" customWidth="1"/>
    <col min="5913" max="5913" width="12" style="21" bestFit="1" customWidth="1"/>
    <col min="5914" max="5914" width="12.140625" style="21" bestFit="1" customWidth="1"/>
    <col min="5915" max="5917" width="12" style="21" bestFit="1" customWidth="1"/>
    <col min="5918" max="6144" width="9.140625" style="21"/>
    <col min="6145" max="6146" width="0.7109375" style="21" customWidth="1"/>
    <col min="6147" max="6147" width="0.5703125" style="21" customWidth="1"/>
    <col min="6148" max="6148" width="0.85546875" style="21" customWidth="1"/>
    <col min="6149" max="6149" width="0.5703125" style="21" customWidth="1"/>
    <col min="6150" max="6150" width="34.28515625" style="21" customWidth="1"/>
    <col min="6151" max="6151" width="24.85546875" style="21" customWidth="1"/>
    <col min="6152" max="6152" width="0" style="21" hidden="1" customWidth="1"/>
    <col min="6153" max="6153" width="16.28515625" style="21" customWidth="1"/>
    <col min="6154" max="6154" width="17.7109375" style="21" customWidth="1"/>
    <col min="6155" max="6155" width="42.42578125" style="21" bestFit="1" customWidth="1"/>
    <col min="6156" max="6157" width="21.140625" style="21" customWidth="1"/>
    <col min="6158" max="6158" width="15.42578125" style="21" customWidth="1"/>
    <col min="6159" max="6164" width="21.140625" style="21" customWidth="1"/>
    <col min="6165" max="6165" width="23.42578125" style="21" customWidth="1"/>
    <col min="6166" max="6167" width="9.85546875" style="21" customWidth="1"/>
    <col min="6168" max="6168" width="12.140625" style="21" bestFit="1" customWidth="1"/>
    <col min="6169" max="6169" width="12" style="21" bestFit="1" customWidth="1"/>
    <col min="6170" max="6170" width="12.140625" style="21" bestFit="1" customWidth="1"/>
    <col min="6171" max="6173" width="12" style="21" bestFit="1" customWidth="1"/>
    <col min="6174" max="6400" width="9.140625" style="21"/>
    <col min="6401" max="6402" width="0.7109375" style="21" customWidth="1"/>
    <col min="6403" max="6403" width="0.5703125" style="21" customWidth="1"/>
    <col min="6404" max="6404" width="0.85546875" style="21" customWidth="1"/>
    <col min="6405" max="6405" width="0.5703125" style="21" customWidth="1"/>
    <col min="6406" max="6406" width="34.28515625" style="21" customWidth="1"/>
    <col min="6407" max="6407" width="24.85546875" style="21" customWidth="1"/>
    <col min="6408" max="6408" width="0" style="21" hidden="1" customWidth="1"/>
    <col min="6409" max="6409" width="16.28515625" style="21" customWidth="1"/>
    <col min="6410" max="6410" width="17.7109375" style="21" customWidth="1"/>
    <col min="6411" max="6411" width="42.42578125" style="21" bestFit="1" customWidth="1"/>
    <col min="6412" max="6413" width="21.140625" style="21" customWidth="1"/>
    <col min="6414" max="6414" width="15.42578125" style="21" customWidth="1"/>
    <col min="6415" max="6420" width="21.140625" style="21" customWidth="1"/>
    <col min="6421" max="6421" width="23.42578125" style="21" customWidth="1"/>
    <col min="6422" max="6423" width="9.85546875" style="21" customWidth="1"/>
    <col min="6424" max="6424" width="12.140625" style="21" bestFit="1" customWidth="1"/>
    <col min="6425" max="6425" width="12" style="21" bestFit="1" customWidth="1"/>
    <col min="6426" max="6426" width="12.140625" style="21" bestFit="1" customWidth="1"/>
    <col min="6427" max="6429" width="12" style="21" bestFit="1" customWidth="1"/>
    <col min="6430" max="6656" width="9.140625" style="21"/>
    <col min="6657" max="6658" width="0.7109375" style="21" customWidth="1"/>
    <col min="6659" max="6659" width="0.5703125" style="21" customWidth="1"/>
    <col min="6660" max="6660" width="0.85546875" style="21" customWidth="1"/>
    <col min="6661" max="6661" width="0.5703125" style="21" customWidth="1"/>
    <col min="6662" max="6662" width="34.28515625" style="21" customWidth="1"/>
    <col min="6663" max="6663" width="24.85546875" style="21" customWidth="1"/>
    <col min="6664" max="6664" width="0" style="21" hidden="1" customWidth="1"/>
    <col min="6665" max="6665" width="16.28515625" style="21" customWidth="1"/>
    <col min="6666" max="6666" width="17.7109375" style="21" customWidth="1"/>
    <col min="6667" max="6667" width="42.42578125" style="21" bestFit="1" customWidth="1"/>
    <col min="6668" max="6669" width="21.140625" style="21" customWidth="1"/>
    <col min="6670" max="6670" width="15.42578125" style="21" customWidth="1"/>
    <col min="6671" max="6676" width="21.140625" style="21" customWidth="1"/>
    <col min="6677" max="6677" width="23.42578125" style="21" customWidth="1"/>
    <col min="6678" max="6679" width="9.85546875" style="21" customWidth="1"/>
    <col min="6680" max="6680" width="12.140625" style="21" bestFit="1" customWidth="1"/>
    <col min="6681" max="6681" width="12" style="21" bestFit="1" customWidth="1"/>
    <col min="6682" max="6682" width="12.140625" style="21" bestFit="1" customWidth="1"/>
    <col min="6683" max="6685" width="12" style="21" bestFit="1" customWidth="1"/>
    <col min="6686" max="6912" width="9.140625" style="21"/>
    <col min="6913" max="6914" width="0.7109375" style="21" customWidth="1"/>
    <col min="6915" max="6915" width="0.5703125" style="21" customWidth="1"/>
    <col min="6916" max="6916" width="0.85546875" style="21" customWidth="1"/>
    <col min="6917" max="6917" width="0.5703125" style="21" customWidth="1"/>
    <col min="6918" max="6918" width="34.28515625" style="21" customWidth="1"/>
    <col min="6919" max="6919" width="24.85546875" style="21" customWidth="1"/>
    <col min="6920" max="6920" width="0" style="21" hidden="1" customWidth="1"/>
    <col min="6921" max="6921" width="16.28515625" style="21" customWidth="1"/>
    <col min="6922" max="6922" width="17.7109375" style="21" customWidth="1"/>
    <col min="6923" max="6923" width="42.42578125" style="21" bestFit="1" customWidth="1"/>
    <col min="6924" max="6925" width="21.140625" style="21" customWidth="1"/>
    <col min="6926" max="6926" width="15.42578125" style="21" customWidth="1"/>
    <col min="6927" max="6932" width="21.140625" style="21" customWidth="1"/>
    <col min="6933" max="6933" width="23.42578125" style="21" customWidth="1"/>
    <col min="6934" max="6935" width="9.85546875" style="21" customWidth="1"/>
    <col min="6936" max="6936" width="12.140625" style="21" bestFit="1" customWidth="1"/>
    <col min="6937" max="6937" width="12" style="21" bestFit="1" customWidth="1"/>
    <col min="6938" max="6938" width="12.140625" style="21" bestFit="1" customWidth="1"/>
    <col min="6939" max="6941" width="12" style="21" bestFit="1" customWidth="1"/>
    <col min="6942" max="7168" width="9.140625" style="21"/>
    <col min="7169" max="7170" width="0.7109375" style="21" customWidth="1"/>
    <col min="7171" max="7171" width="0.5703125" style="21" customWidth="1"/>
    <col min="7172" max="7172" width="0.85546875" style="21" customWidth="1"/>
    <col min="7173" max="7173" width="0.5703125" style="21" customWidth="1"/>
    <col min="7174" max="7174" width="34.28515625" style="21" customWidth="1"/>
    <col min="7175" max="7175" width="24.85546875" style="21" customWidth="1"/>
    <col min="7176" max="7176" width="0" style="21" hidden="1" customWidth="1"/>
    <col min="7177" max="7177" width="16.28515625" style="21" customWidth="1"/>
    <col min="7178" max="7178" width="17.7109375" style="21" customWidth="1"/>
    <col min="7179" max="7179" width="42.42578125" style="21" bestFit="1" customWidth="1"/>
    <col min="7180" max="7181" width="21.140625" style="21" customWidth="1"/>
    <col min="7182" max="7182" width="15.42578125" style="21" customWidth="1"/>
    <col min="7183" max="7188" width="21.140625" style="21" customWidth="1"/>
    <col min="7189" max="7189" width="23.42578125" style="21" customWidth="1"/>
    <col min="7190" max="7191" width="9.85546875" style="21" customWidth="1"/>
    <col min="7192" max="7192" width="12.140625" style="21" bestFit="1" customWidth="1"/>
    <col min="7193" max="7193" width="12" style="21" bestFit="1" customWidth="1"/>
    <col min="7194" max="7194" width="12.140625" style="21" bestFit="1" customWidth="1"/>
    <col min="7195" max="7197" width="12" style="21" bestFit="1" customWidth="1"/>
    <col min="7198" max="7424" width="9.140625" style="21"/>
    <col min="7425" max="7426" width="0.7109375" style="21" customWidth="1"/>
    <col min="7427" max="7427" width="0.5703125" style="21" customWidth="1"/>
    <col min="7428" max="7428" width="0.85546875" style="21" customWidth="1"/>
    <col min="7429" max="7429" width="0.5703125" style="21" customWidth="1"/>
    <col min="7430" max="7430" width="34.28515625" style="21" customWidth="1"/>
    <col min="7431" max="7431" width="24.85546875" style="21" customWidth="1"/>
    <col min="7432" max="7432" width="0" style="21" hidden="1" customWidth="1"/>
    <col min="7433" max="7433" width="16.28515625" style="21" customWidth="1"/>
    <col min="7434" max="7434" width="17.7109375" style="21" customWidth="1"/>
    <col min="7435" max="7435" width="42.42578125" style="21" bestFit="1" customWidth="1"/>
    <col min="7436" max="7437" width="21.140625" style="21" customWidth="1"/>
    <col min="7438" max="7438" width="15.42578125" style="21" customWidth="1"/>
    <col min="7439" max="7444" width="21.140625" style="21" customWidth="1"/>
    <col min="7445" max="7445" width="23.42578125" style="21" customWidth="1"/>
    <col min="7446" max="7447" width="9.85546875" style="21" customWidth="1"/>
    <col min="7448" max="7448" width="12.140625" style="21" bestFit="1" customWidth="1"/>
    <col min="7449" max="7449" width="12" style="21" bestFit="1" customWidth="1"/>
    <col min="7450" max="7450" width="12.140625" style="21" bestFit="1" customWidth="1"/>
    <col min="7451" max="7453" width="12" style="21" bestFit="1" customWidth="1"/>
    <col min="7454" max="7680" width="9.140625" style="21"/>
    <col min="7681" max="7682" width="0.7109375" style="21" customWidth="1"/>
    <col min="7683" max="7683" width="0.5703125" style="21" customWidth="1"/>
    <col min="7684" max="7684" width="0.85546875" style="21" customWidth="1"/>
    <col min="7685" max="7685" width="0.5703125" style="21" customWidth="1"/>
    <col min="7686" max="7686" width="34.28515625" style="21" customWidth="1"/>
    <col min="7687" max="7687" width="24.85546875" style="21" customWidth="1"/>
    <col min="7688" max="7688" width="0" style="21" hidden="1" customWidth="1"/>
    <col min="7689" max="7689" width="16.28515625" style="21" customWidth="1"/>
    <col min="7690" max="7690" width="17.7109375" style="21" customWidth="1"/>
    <col min="7691" max="7691" width="42.42578125" style="21" bestFit="1" customWidth="1"/>
    <col min="7692" max="7693" width="21.140625" style="21" customWidth="1"/>
    <col min="7694" max="7694" width="15.42578125" style="21" customWidth="1"/>
    <col min="7695" max="7700" width="21.140625" style="21" customWidth="1"/>
    <col min="7701" max="7701" width="23.42578125" style="21" customWidth="1"/>
    <col min="7702" max="7703" width="9.85546875" style="21" customWidth="1"/>
    <col min="7704" max="7704" width="12.140625" style="21" bestFit="1" customWidth="1"/>
    <col min="7705" max="7705" width="12" style="21" bestFit="1" customWidth="1"/>
    <col min="7706" max="7706" width="12.140625" style="21" bestFit="1" customWidth="1"/>
    <col min="7707" max="7709" width="12" style="21" bestFit="1" customWidth="1"/>
    <col min="7710" max="7936" width="9.140625" style="21"/>
    <col min="7937" max="7938" width="0.7109375" style="21" customWidth="1"/>
    <col min="7939" max="7939" width="0.5703125" style="21" customWidth="1"/>
    <col min="7940" max="7940" width="0.85546875" style="21" customWidth="1"/>
    <col min="7941" max="7941" width="0.5703125" style="21" customWidth="1"/>
    <col min="7942" max="7942" width="34.28515625" style="21" customWidth="1"/>
    <col min="7943" max="7943" width="24.85546875" style="21" customWidth="1"/>
    <col min="7944" max="7944" width="0" style="21" hidden="1" customWidth="1"/>
    <col min="7945" max="7945" width="16.28515625" style="21" customWidth="1"/>
    <col min="7946" max="7946" width="17.7109375" style="21" customWidth="1"/>
    <col min="7947" max="7947" width="42.42578125" style="21" bestFit="1" customWidth="1"/>
    <col min="7948" max="7949" width="21.140625" style="21" customWidth="1"/>
    <col min="7950" max="7950" width="15.42578125" style="21" customWidth="1"/>
    <col min="7951" max="7956" width="21.140625" style="21" customWidth="1"/>
    <col min="7957" max="7957" width="23.42578125" style="21" customWidth="1"/>
    <col min="7958" max="7959" width="9.85546875" style="21" customWidth="1"/>
    <col min="7960" max="7960" width="12.140625" style="21" bestFit="1" customWidth="1"/>
    <col min="7961" max="7961" width="12" style="21" bestFit="1" customWidth="1"/>
    <col min="7962" max="7962" width="12.140625" style="21" bestFit="1" customWidth="1"/>
    <col min="7963" max="7965" width="12" style="21" bestFit="1" customWidth="1"/>
    <col min="7966" max="8192" width="9.140625" style="21"/>
    <col min="8193" max="8194" width="0.7109375" style="21" customWidth="1"/>
    <col min="8195" max="8195" width="0.5703125" style="21" customWidth="1"/>
    <col min="8196" max="8196" width="0.85546875" style="21" customWidth="1"/>
    <col min="8197" max="8197" width="0.5703125" style="21" customWidth="1"/>
    <col min="8198" max="8198" width="34.28515625" style="21" customWidth="1"/>
    <col min="8199" max="8199" width="24.85546875" style="21" customWidth="1"/>
    <col min="8200" max="8200" width="0" style="21" hidden="1" customWidth="1"/>
    <col min="8201" max="8201" width="16.28515625" style="21" customWidth="1"/>
    <col min="8202" max="8202" width="17.7109375" style="21" customWidth="1"/>
    <col min="8203" max="8203" width="42.42578125" style="21" bestFit="1" customWidth="1"/>
    <col min="8204" max="8205" width="21.140625" style="21" customWidth="1"/>
    <col min="8206" max="8206" width="15.42578125" style="21" customWidth="1"/>
    <col min="8207" max="8212" width="21.140625" style="21" customWidth="1"/>
    <col min="8213" max="8213" width="23.42578125" style="21" customWidth="1"/>
    <col min="8214" max="8215" width="9.85546875" style="21" customWidth="1"/>
    <col min="8216" max="8216" width="12.140625" style="21" bestFit="1" customWidth="1"/>
    <col min="8217" max="8217" width="12" style="21" bestFit="1" customWidth="1"/>
    <col min="8218" max="8218" width="12.140625" style="21" bestFit="1" customWidth="1"/>
    <col min="8219" max="8221" width="12" style="21" bestFit="1" customWidth="1"/>
    <col min="8222" max="8448" width="9.140625" style="21"/>
    <col min="8449" max="8450" width="0.7109375" style="21" customWidth="1"/>
    <col min="8451" max="8451" width="0.5703125" style="21" customWidth="1"/>
    <col min="8452" max="8452" width="0.85546875" style="21" customWidth="1"/>
    <col min="8453" max="8453" width="0.5703125" style="21" customWidth="1"/>
    <col min="8454" max="8454" width="34.28515625" style="21" customWidth="1"/>
    <col min="8455" max="8455" width="24.85546875" style="21" customWidth="1"/>
    <col min="8456" max="8456" width="0" style="21" hidden="1" customWidth="1"/>
    <col min="8457" max="8457" width="16.28515625" style="21" customWidth="1"/>
    <col min="8458" max="8458" width="17.7109375" style="21" customWidth="1"/>
    <col min="8459" max="8459" width="42.42578125" style="21" bestFit="1" customWidth="1"/>
    <col min="8460" max="8461" width="21.140625" style="21" customWidth="1"/>
    <col min="8462" max="8462" width="15.42578125" style="21" customWidth="1"/>
    <col min="8463" max="8468" width="21.140625" style="21" customWidth="1"/>
    <col min="8469" max="8469" width="23.42578125" style="21" customWidth="1"/>
    <col min="8470" max="8471" width="9.85546875" style="21" customWidth="1"/>
    <col min="8472" max="8472" width="12.140625" style="21" bestFit="1" customWidth="1"/>
    <col min="8473" max="8473" width="12" style="21" bestFit="1" customWidth="1"/>
    <col min="8474" max="8474" width="12.140625" style="21" bestFit="1" customWidth="1"/>
    <col min="8475" max="8477" width="12" style="21" bestFit="1" customWidth="1"/>
    <col min="8478" max="8704" width="9.140625" style="21"/>
    <col min="8705" max="8706" width="0.7109375" style="21" customWidth="1"/>
    <col min="8707" max="8707" width="0.5703125" style="21" customWidth="1"/>
    <col min="8708" max="8708" width="0.85546875" style="21" customWidth="1"/>
    <col min="8709" max="8709" width="0.5703125" style="21" customWidth="1"/>
    <col min="8710" max="8710" width="34.28515625" style="21" customWidth="1"/>
    <col min="8711" max="8711" width="24.85546875" style="21" customWidth="1"/>
    <col min="8712" max="8712" width="0" style="21" hidden="1" customWidth="1"/>
    <col min="8713" max="8713" width="16.28515625" style="21" customWidth="1"/>
    <col min="8714" max="8714" width="17.7109375" style="21" customWidth="1"/>
    <col min="8715" max="8715" width="42.42578125" style="21" bestFit="1" customWidth="1"/>
    <col min="8716" max="8717" width="21.140625" style="21" customWidth="1"/>
    <col min="8718" max="8718" width="15.42578125" style="21" customWidth="1"/>
    <col min="8719" max="8724" width="21.140625" style="21" customWidth="1"/>
    <col min="8725" max="8725" width="23.42578125" style="21" customWidth="1"/>
    <col min="8726" max="8727" width="9.85546875" style="21" customWidth="1"/>
    <col min="8728" max="8728" width="12.140625" style="21" bestFit="1" customWidth="1"/>
    <col min="8729" max="8729" width="12" style="21" bestFit="1" customWidth="1"/>
    <col min="8730" max="8730" width="12.140625" style="21" bestFit="1" customWidth="1"/>
    <col min="8731" max="8733" width="12" style="21" bestFit="1" customWidth="1"/>
    <col min="8734" max="8960" width="9.140625" style="21"/>
    <col min="8961" max="8962" width="0.7109375" style="21" customWidth="1"/>
    <col min="8963" max="8963" width="0.5703125" style="21" customWidth="1"/>
    <col min="8964" max="8964" width="0.85546875" style="21" customWidth="1"/>
    <col min="8965" max="8965" width="0.5703125" style="21" customWidth="1"/>
    <col min="8966" max="8966" width="34.28515625" style="21" customWidth="1"/>
    <col min="8967" max="8967" width="24.85546875" style="21" customWidth="1"/>
    <col min="8968" max="8968" width="0" style="21" hidden="1" customWidth="1"/>
    <col min="8969" max="8969" width="16.28515625" style="21" customWidth="1"/>
    <col min="8970" max="8970" width="17.7109375" style="21" customWidth="1"/>
    <col min="8971" max="8971" width="42.42578125" style="21" bestFit="1" customWidth="1"/>
    <col min="8972" max="8973" width="21.140625" style="21" customWidth="1"/>
    <col min="8974" max="8974" width="15.42578125" style="21" customWidth="1"/>
    <col min="8975" max="8980" width="21.140625" style="21" customWidth="1"/>
    <col min="8981" max="8981" width="23.42578125" style="21" customWidth="1"/>
    <col min="8982" max="8983" width="9.85546875" style="21" customWidth="1"/>
    <col min="8984" max="8984" width="12.140625" style="21" bestFit="1" customWidth="1"/>
    <col min="8985" max="8985" width="12" style="21" bestFit="1" customWidth="1"/>
    <col min="8986" max="8986" width="12.140625" style="21" bestFit="1" customWidth="1"/>
    <col min="8987" max="8989" width="12" style="21" bestFit="1" customWidth="1"/>
    <col min="8990" max="9216" width="9.140625" style="21"/>
    <col min="9217" max="9218" width="0.7109375" style="21" customWidth="1"/>
    <col min="9219" max="9219" width="0.5703125" style="21" customWidth="1"/>
    <col min="9220" max="9220" width="0.85546875" style="21" customWidth="1"/>
    <col min="9221" max="9221" width="0.5703125" style="21" customWidth="1"/>
    <col min="9222" max="9222" width="34.28515625" style="21" customWidth="1"/>
    <col min="9223" max="9223" width="24.85546875" style="21" customWidth="1"/>
    <col min="9224" max="9224" width="0" style="21" hidden="1" customWidth="1"/>
    <col min="9225" max="9225" width="16.28515625" style="21" customWidth="1"/>
    <col min="9226" max="9226" width="17.7109375" style="21" customWidth="1"/>
    <col min="9227" max="9227" width="42.42578125" style="21" bestFit="1" customWidth="1"/>
    <col min="9228" max="9229" width="21.140625" style="21" customWidth="1"/>
    <col min="9230" max="9230" width="15.42578125" style="21" customWidth="1"/>
    <col min="9231" max="9236" width="21.140625" style="21" customWidth="1"/>
    <col min="9237" max="9237" width="23.42578125" style="21" customWidth="1"/>
    <col min="9238" max="9239" width="9.85546875" style="21" customWidth="1"/>
    <col min="9240" max="9240" width="12.140625" style="21" bestFit="1" customWidth="1"/>
    <col min="9241" max="9241" width="12" style="21" bestFit="1" customWidth="1"/>
    <col min="9242" max="9242" width="12.140625" style="21" bestFit="1" customWidth="1"/>
    <col min="9243" max="9245" width="12" style="21" bestFit="1" customWidth="1"/>
    <col min="9246" max="9472" width="9.140625" style="21"/>
    <col min="9473" max="9474" width="0.7109375" style="21" customWidth="1"/>
    <col min="9475" max="9475" width="0.5703125" style="21" customWidth="1"/>
    <col min="9476" max="9476" width="0.85546875" style="21" customWidth="1"/>
    <col min="9477" max="9477" width="0.5703125" style="21" customWidth="1"/>
    <col min="9478" max="9478" width="34.28515625" style="21" customWidth="1"/>
    <col min="9479" max="9479" width="24.85546875" style="21" customWidth="1"/>
    <col min="9480" max="9480" width="0" style="21" hidden="1" customWidth="1"/>
    <col min="9481" max="9481" width="16.28515625" style="21" customWidth="1"/>
    <col min="9482" max="9482" width="17.7109375" style="21" customWidth="1"/>
    <col min="9483" max="9483" width="42.42578125" style="21" bestFit="1" customWidth="1"/>
    <col min="9484" max="9485" width="21.140625" style="21" customWidth="1"/>
    <col min="9486" max="9486" width="15.42578125" style="21" customWidth="1"/>
    <col min="9487" max="9492" width="21.140625" style="21" customWidth="1"/>
    <col min="9493" max="9493" width="23.42578125" style="21" customWidth="1"/>
    <col min="9494" max="9495" width="9.85546875" style="21" customWidth="1"/>
    <col min="9496" max="9496" width="12.140625" style="21" bestFit="1" customWidth="1"/>
    <col min="9497" max="9497" width="12" style="21" bestFit="1" customWidth="1"/>
    <col min="9498" max="9498" width="12.140625" style="21" bestFit="1" customWidth="1"/>
    <col min="9499" max="9501" width="12" style="21" bestFit="1" customWidth="1"/>
    <col min="9502" max="9728" width="9.140625" style="21"/>
    <col min="9729" max="9730" width="0.7109375" style="21" customWidth="1"/>
    <col min="9731" max="9731" width="0.5703125" style="21" customWidth="1"/>
    <col min="9732" max="9732" width="0.85546875" style="21" customWidth="1"/>
    <col min="9733" max="9733" width="0.5703125" style="21" customWidth="1"/>
    <col min="9734" max="9734" width="34.28515625" style="21" customWidth="1"/>
    <col min="9735" max="9735" width="24.85546875" style="21" customWidth="1"/>
    <col min="9736" max="9736" width="0" style="21" hidden="1" customWidth="1"/>
    <col min="9737" max="9737" width="16.28515625" style="21" customWidth="1"/>
    <col min="9738" max="9738" width="17.7109375" style="21" customWidth="1"/>
    <col min="9739" max="9739" width="42.42578125" style="21" bestFit="1" customWidth="1"/>
    <col min="9740" max="9741" width="21.140625" style="21" customWidth="1"/>
    <col min="9742" max="9742" width="15.42578125" style="21" customWidth="1"/>
    <col min="9743" max="9748" width="21.140625" style="21" customWidth="1"/>
    <col min="9749" max="9749" width="23.42578125" style="21" customWidth="1"/>
    <col min="9750" max="9751" width="9.85546875" style="21" customWidth="1"/>
    <col min="9752" max="9752" width="12.140625" style="21" bestFit="1" customWidth="1"/>
    <col min="9753" max="9753" width="12" style="21" bestFit="1" customWidth="1"/>
    <col min="9754" max="9754" width="12.140625" style="21" bestFit="1" customWidth="1"/>
    <col min="9755" max="9757" width="12" style="21" bestFit="1" customWidth="1"/>
    <col min="9758" max="9984" width="9.140625" style="21"/>
    <col min="9985" max="9986" width="0.7109375" style="21" customWidth="1"/>
    <col min="9987" max="9987" width="0.5703125" style="21" customWidth="1"/>
    <col min="9988" max="9988" width="0.85546875" style="21" customWidth="1"/>
    <col min="9989" max="9989" width="0.5703125" style="21" customWidth="1"/>
    <col min="9990" max="9990" width="34.28515625" style="21" customWidth="1"/>
    <col min="9991" max="9991" width="24.85546875" style="21" customWidth="1"/>
    <col min="9992" max="9992" width="0" style="21" hidden="1" customWidth="1"/>
    <col min="9993" max="9993" width="16.28515625" style="21" customWidth="1"/>
    <col min="9994" max="9994" width="17.7109375" style="21" customWidth="1"/>
    <col min="9995" max="9995" width="42.42578125" style="21" bestFit="1" customWidth="1"/>
    <col min="9996" max="9997" width="21.140625" style="21" customWidth="1"/>
    <col min="9998" max="9998" width="15.42578125" style="21" customWidth="1"/>
    <col min="9999" max="10004" width="21.140625" style="21" customWidth="1"/>
    <col min="10005" max="10005" width="23.42578125" style="21" customWidth="1"/>
    <col min="10006" max="10007" width="9.85546875" style="21" customWidth="1"/>
    <col min="10008" max="10008" width="12.140625" style="21" bestFit="1" customWidth="1"/>
    <col min="10009" max="10009" width="12" style="21" bestFit="1" customWidth="1"/>
    <col min="10010" max="10010" width="12.140625" style="21" bestFit="1" customWidth="1"/>
    <col min="10011" max="10013" width="12" style="21" bestFit="1" customWidth="1"/>
    <col min="10014" max="10240" width="9.140625" style="21"/>
    <col min="10241" max="10242" width="0.7109375" style="21" customWidth="1"/>
    <col min="10243" max="10243" width="0.5703125" style="21" customWidth="1"/>
    <col min="10244" max="10244" width="0.85546875" style="21" customWidth="1"/>
    <col min="10245" max="10245" width="0.5703125" style="21" customWidth="1"/>
    <col min="10246" max="10246" width="34.28515625" style="21" customWidth="1"/>
    <col min="10247" max="10247" width="24.85546875" style="21" customWidth="1"/>
    <col min="10248" max="10248" width="0" style="21" hidden="1" customWidth="1"/>
    <col min="10249" max="10249" width="16.28515625" style="21" customWidth="1"/>
    <col min="10250" max="10250" width="17.7109375" style="21" customWidth="1"/>
    <col min="10251" max="10251" width="42.42578125" style="21" bestFit="1" customWidth="1"/>
    <col min="10252" max="10253" width="21.140625" style="21" customWidth="1"/>
    <col min="10254" max="10254" width="15.42578125" style="21" customWidth="1"/>
    <col min="10255" max="10260" width="21.140625" style="21" customWidth="1"/>
    <col min="10261" max="10261" width="23.42578125" style="21" customWidth="1"/>
    <col min="10262" max="10263" width="9.85546875" style="21" customWidth="1"/>
    <col min="10264" max="10264" width="12.140625" style="21" bestFit="1" customWidth="1"/>
    <col min="10265" max="10265" width="12" style="21" bestFit="1" customWidth="1"/>
    <col min="10266" max="10266" width="12.140625" style="21" bestFit="1" customWidth="1"/>
    <col min="10267" max="10269" width="12" style="21" bestFit="1" customWidth="1"/>
    <col min="10270" max="10496" width="9.140625" style="21"/>
    <col min="10497" max="10498" width="0.7109375" style="21" customWidth="1"/>
    <col min="10499" max="10499" width="0.5703125" style="21" customWidth="1"/>
    <col min="10500" max="10500" width="0.85546875" style="21" customWidth="1"/>
    <col min="10501" max="10501" width="0.5703125" style="21" customWidth="1"/>
    <col min="10502" max="10502" width="34.28515625" style="21" customWidth="1"/>
    <col min="10503" max="10503" width="24.85546875" style="21" customWidth="1"/>
    <col min="10504" max="10504" width="0" style="21" hidden="1" customWidth="1"/>
    <col min="10505" max="10505" width="16.28515625" style="21" customWidth="1"/>
    <col min="10506" max="10506" width="17.7109375" style="21" customWidth="1"/>
    <col min="10507" max="10507" width="42.42578125" style="21" bestFit="1" customWidth="1"/>
    <col min="10508" max="10509" width="21.140625" style="21" customWidth="1"/>
    <col min="10510" max="10510" width="15.42578125" style="21" customWidth="1"/>
    <col min="10511" max="10516" width="21.140625" style="21" customWidth="1"/>
    <col min="10517" max="10517" width="23.42578125" style="21" customWidth="1"/>
    <col min="10518" max="10519" width="9.85546875" style="21" customWidth="1"/>
    <col min="10520" max="10520" width="12.140625" style="21" bestFit="1" customWidth="1"/>
    <col min="10521" max="10521" width="12" style="21" bestFit="1" customWidth="1"/>
    <col min="10522" max="10522" width="12.140625" style="21" bestFit="1" customWidth="1"/>
    <col min="10523" max="10525" width="12" style="21" bestFit="1" customWidth="1"/>
    <col min="10526" max="10752" width="9.140625" style="21"/>
    <col min="10753" max="10754" width="0.7109375" style="21" customWidth="1"/>
    <col min="10755" max="10755" width="0.5703125" style="21" customWidth="1"/>
    <col min="10756" max="10756" width="0.85546875" style="21" customWidth="1"/>
    <col min="10757" max="10757" width="0.5703125" style="21" customWidth="1"/>
    <col min="10758" max="10758" width="34.28515625" style="21" customWidth="1"/>
    <col min="10759" max="10759" width="24.85546875" style="21" customWidth="1"/>
    <col min="10760" max="10760" width="0" style="21" hidden="1" customWidth="1"/>
    <col min="10761" max="10761" width="16.28515625" style="21" customWidth="1"/>
    <col min="10762" max="10762" width="17.7109375" style="21" customWidth="1"/>
    <col min="10763" max="10763" width="42.42578125" style="21" bestFit="1" customWidth="1"/>
    <col min="10764" max="10765" width="21.140625" style="21" customWidth="1"/>
    <col min="10766" max="10766" width="15.42578125" style="21" customWidth="1"/>
    <col min="10767" max="10772" width="21.140625" style="21" customWidth="1"/>
    <col min="10773" max="10773" width="23.42578125" style="21" customWidth="1"/>
    <col min="10774" max="10775" width="9.85546875" style="21" customWidth="1"/>
    <col min="10776" max="10776" width="12.140625" style="21" bestFit="1" customWidth="1"/>
    <col min="10777" max="10777" width="12" style="21" bestFit="1" customWidth="1"/>
    <col min="10778" max="10778" width="12.140625" style="21" bestFit="1" customWidth="1"/>
    <col min="10779" max="10781" width="12" style="21" bestFit="1" customWidth="1"/>
    <col min="10782" max="11008" width="9.140625" style="21"/>
    <col min="11009" max="11010" width="0.7109375" style="21" customWidth="1"/>
    <col min="11011" max="11011" width="0.5703125" style="21" customWidth="1"/>
    <col min="11012" max="11012" width="0.85546875" style="21" customWidth="1"/>
    <col min="11013" max="11013" width="0.5703125" style="21" customWidth="1"/>
    <col min="11014" max="11014" width="34.28515625" style="21" customWidth="1"/>
    <col min="11015" max="11015" width="24.85546875" style="21" customWidth="1"/>
    <col min="11016" max="11016" width="0" style="21" hidden="1" customWidth="1"/>
    <col min="11017" max="11017" width="16.28515625" style="21" customWidth="1"/>
    <col min="11018" max="11018" width="17.7109375" style="21" customWidth="1"/>
    <col min="11019" max="11019" width="42.42578125" style="21" bestFit="1" customWidth="1"/>
    <col min="11020" max="11021" width="21.140625" style="21" customWidth="1"/>
    <col min="11022" max="11022" width="15.42578125" style="21" customWidth="1"/>
    <col min="11023" max="11028" width="21.140625" style="21" customWidth="1"/>
    <col min="11029" max="11029" width="23.42578125" style="21" customWidth="1"/>
    <col min="11030" max="11031" width="9.85546875" style="21" customWidth="1"/>
    <col min="11032" max="11032" width="12.140625" style="21" bestFit="1" customWidth="1"/>
    <col min="11033" max="11033" width="12" style="21" bestFit="1" customWidth="1"/>
    <col min="11034" max="11034" width="12.140625" style="21" bestFit="1" customWidth="1"/>
    <col min="11035" max="11037" width="12" style="21" bestFit="1" customWidth="1"/>
    <col min="11038" max="11264" width="9.140625" style="21"/>
    <col min="11265" max="11266" width="0.7109375" style="21" customWidth="1"/>
    <col min="11267" max="11267" width="0.5703125" style="21" customWidth="1"/>
    <col min="11268" max="11268" width="0.85546875" style="21" customWidth="1"/>
    <col min="11269" max="11269" width="0.5703125" style="21" customWidth="1"/>
    <col min="11270" max="11270" width="34.28515625" style="21" customWidth="1"/>
    <col min="11271" max="11271" width="24.85546875" style="21" customWidth="1"/>
    <col min="11272" max="11272" width="0" style="21" hidden="1" customWidth="1"/>
    <col min="11273" max="11273" width="16.28515625" style="21" customWidth="1"/>
    <col min="11274" max="11274" width="17.7109375" style="21" customWidth="1"/>
    <col min="11275" max="11275" width="42.42578125" style="21" bestFit="1" customWidth="1"/>
    <col min="11276" max="11277" width="21.140625" style="21" customWidth="1"/>
    <col min="11278" max="11278" width="15.42578125" style="21" customWidth="1"/>
    <col min="11279" max="11284" width="21.140625" style="21" customWidth="1"/>
    <col min="11285" max="11285" width="23.42578125" style="21" customWidth="1"/>
    <col min="11286" max="11287" width="9.85546875" style="21" customWidth="1"/>
    <col min="11288" max="11288" width="12.140625" style="21" bestFit="1" customWidth="1"/>
    <col min="11289" max="11289" width="12" style="21" bestFit="1" customWidth="1"/>
    <col min="11290" max="11290" width="12.140625" style="21" bestFit="1" customWidth="1"/>
    <col min="11291" max="11293" width="12" style="21" bestFit="1" customWidth="1"/>
    <col min="11294" max="11520" width="9.140625" style="21"/>
    <col min="11521" max="11522" width="0.7109375" style="21" customWidth="1"/>
    <col min="11523" max="11523" width="0.5703125" style="21" customWidth="1"/>
    <col min="11524" max="11524" width="0.85546875" style="21" customWidth="1"/>
    <col min="11525" max="11525" width="0.5703125" style="21" customWidth="1"/>
    <col min="11526" max="11526" width="34.28515625" style="21" customWidth="1"/>
    <col min="11527" max="11527" width="24.85546875" style="21" customWidth="1"/>
    <col min="11528" max="11528" width="0" style="21" hidden="1" customWidth="1"/>
    <col min="11529" max="11529" width="16.28515625" style="21" customWidth="1"/>
    <col min="11530" max="11530" width="17.7109375" style="21" customWidth="1"/>
    <col min="11531" max="11531" width="42.42578125" style="21" bestFit="1" customWidth="1"/>
    <col min="11532" max="11533" width="21.140625" style="21" customWidth="1"/>
    <col min="11534" max="11534" width="15.42578125" style="21" customWidth="1"/>
    <col min="11535" max="11540" width="21.140625" style="21" customWidth="1"/>
    <col min="11541" max="11541" width="23.42578125" style="21" customWidth="1"/>
    <col min="11542" max="11543" width="9.85546875" style="21" customWidth="1"/>
    <col min="11544" max="11544" width="12.140625" style="21" bestFit="1" customWidth="1"/>
    <col min="11545" max="11545" width="12" style="21" bestFit="1" customWidth="1"/>
    <col min="11546" max="11546" width="12.140625" style="21" bestFit="1" customWidth="1"/>
    <col min="11547" max="11549" width="12" style="21" bestFit="1" customWidth="1"/>
    <col min="11550" max="11776" width="9.140625" style="21"/>
    <col min="11777" max="11778" width="0.7109375" style="21" customWidth="1"/>
    <col min="11779" max="11779" width="0.5703125" style="21" customWidth="1"/>
    <col min="11780" max="11780" width="0.85546875" style="21" customWidth="1"/>
    <col min="11781" max="11781" width="0.5703125" style="21" customWidth="1"/>
    <col min="11782" max="11782" width="34.28515625" style="21" customWidth="1"/>
    <col min="11783" max="11783" width="24.85546875" style="21" customWidth="1"/>
    <col min="11784" max="11784" width="0" style="21" hidden="1" customWidth="1"/>
    <col min="11785" max="11785" width="16.28515625" style="21" customWidth="1"/>
    <col min="11786" max="11786" width="17.7109375" style="21" customWidth="1"/>
    <col min="11787" max="11787" width="42.42578125" style="21" bestFit="1" customWidth="1"/>
    <col min="11788" max="11789" width="21.140625" style="21" customWidth="1"/>
    <col min="11790" max="11790" width="15.42578125" style="21" customWidth="1"/>
    <col min="11791" max="11796" width="21.140625" style="21" customWidth="1"/>
    <col min="11797" max="11797" width="23.42578125" style="21" customWidth="1"/>
    <col min="11798" max="11799" width="9.85546875" style="21" customWidth="1"/>
    <col min="11800" max="11800" width="12.140625" style="21" bestFit="1" customWidth="1"/>
    <col min="11801" max="11801" width="12" style="21" bestFit="1" customWidth="1"/>
    <col min="11802" max="11802" width="12.140625" style="21" bestFit="1" customWidth="1"/>
    <col min="11803" max="11805" width="12" style="21" bestFit="1" customWidth="1"/>
    <col min="11806" max="12032" width="9.140625" style="21"/>
    <col min="12033" max="12034" width="0.7109375" style="21" customWidth="1"/>
    <col min="12035" max="12035" width="0.5703125" style="21" customWidth="1"/>
    <col min="12036" max="12036" width="0.85546875" style="21" customWidth="1"/>
    <col min="12037" max="12037" width="0.5703125" style="21" customWidth="1"/>
    <col min="12038" max="12038" width="34.28515625" style="21" customWidth="1"/>
    <col min="12039" max="12039" width="24.85546875" style="21" customWidth="1"/>
    <col min="12040" max="12040" width="0" style="21" hidden="1" customWidth="1"/>
    <col min="12041" max="12041" width="16.28515625" style="21" customWidth="1"/>
    <col min="12042" max="12042" width="17.7109375" style="21" customWidth="1"/>
    <col min="12043" max="12043" width="42.42578125" style="21" bestFit="1" customWidth="1"/>
    <col min="12044" max="12045" width="21.140625" style="21" customWidth="1"/>
    <col min="12046" max="12046" width="15.42578125" style="21" customWidth="1"/>
    <col min="12047" max="12052" width="21.140625" style="21" customWidth="1"/>
    <col min="12053" max="12053" width="23.42578125" style="21" customWidth="1"/>
    <col min="12054" max="12055" width="9.85546875" style="21" customWidth="1"/>
    <col min="12056" max="12056" width="12.140625" style="21" bestFit="1" customWidth="1"/>
    <col min="12057" max="12057" width="12" style="21" bestFit="1" customWidth="1"/>
    <col min="12058" max="12058" width="12.140625" style="21" bestFit="1" customWidth="1"/>
    <col min="12059" max="12061" width="12" style="21" bestFit="1" customWidth="1"/>
    <col min="12062" max="12288" width="9.140625" style="21"/>
    <col min="12289" max="12290" width="0.7109375" style="21" customWidth="1"/>
    <col min="12291" max="12291" width="0.5703125" style="21" customWidth="1"/>
    <col min="12292" max="12292" width="0.85546875" style="21" customWidth="1"/>
    <col min="12293" max="12293" width="0.5703125" style="21" customWidth="1"/>
    <col min="12294" max="12294" width="34.28515625" style="21" customWidth="1"/>
    <col min="12295" max="12295" width="24.85546875" style="21" customWidth="1"/>
    <col min="12296" max="12296" width="0" style="21" hidden="1" customWidth="1"/>
    <col min="12297" max="12297" width="16.28515625" style="21" customWidth="1"/>
    <col min="12298" max="12298" width="17.7109375" style="21" customWidth="1"/>
    <col min="12299" max="12299" width="42.42578125" style="21" bestFit="1" customWidth="1"/>
    <col min="12300" max="12301" width="21.140625" style="21" customWidth="1"/>
    <col min="12302" max="12302" width="15.42578125" style="21" customWidth="1"/>
    <col min="12303" max="12308" width="21.140625" style="21" customWidth="1"/>
    <col min="12309" max="12309" width="23.42578125" style="21" customWidth="1"/>
    <col min="12310" max="12311" width="9.85546875" style="21" customWidth="1"/>
    <col min="12312" max="12312" width="12.140625" style="21" bestFit="1" customWidth="1"/>
    <col min="12313" max="12313" width="12" style="21" bestFit="1" customWidth="1"/>
    <col min="12314" max="12314" width="12.140625" style="21" bestFit="1" customWidth="1"/>
    <col min="12315" max="12317" width="12" style="21" bestFit="1" customWidth="1"/>
    <col min="12318" max="12544" width="9.140625" style="21"/>
    <col min="12545" max="12546" width="0.7109375" style="21" customWidth="1"/>
    <col min="12547" max="12547" width="0.5703125" style="21" customWidth="1"/>
    <col min="12548" max="12548" width="0.85546875" style="21" customWidth="1"/>
    <col min="12549" max="12549" width="0.5703125" style="21" customWidth="1"/>
    <col min="12550" max="12550" width="34.28515625" style="21" customWidth="1"/>
    <col min="12551" max="12551" width="24.85546875" style="21" customWidth="1"/>
    <col min="12552" max="12552" width="0" style="21" hidden="1" customWidth="1"/>
    <col min="12553" max="12553" width="16.28515625" style="21" customWidth="1"/>
    <col min="12554" max="12554" width="17.7109375" style="21" customWidth="1"/>
    <col min="12555" max="12555" width="42.42578125" style="21" bestFit="1" customWidth="1"/>
    <col min="12556" max="12557" width="21.140625" style="21" customWidth="1"/>
    <col min="12558" max="12558" width="15.42578125" style="21" customWidth="1"/>
    <col min="12559" max="12564" width="21.140625" style="21" customWidth="1"/>
    <col min="12565" max="12565" width="23.42578125" style="21" customWidth="1"/>
    <col min="12566" max="12567" width="9.85546875" style="21" customWidth="1"/>
    <col min="12568" max="12568" width="12.140625" style="21" bestFit="1" customWidth="1"/>
    <col min="12569" max="12569" width="12" style="21" bestFit="1" customWidth="1"/>
    <col min="12570" max="12570" width="12.140625" style="21" bestFit="1" customWidth="1"/>
    <col min="12571" max="12573" width="12" style="21" bestFit="1" customWidth="1"/>
    <col min="12574" max="12800" width="9.140625" style="21"/>
    <col min="12801" max="12802" width="0.7109375" style="21" customWidth="1"/>
    <col min="12803" max="12803" width="0.5703125" style="21" customWidth="1"/>
    <col min="12804" max="12804" width="0.85546875" style="21" customWidth="1"/>
    <col min="12805" max="12805" width="0.5703125" style="21" customWidth="1"/>
    <col min="12806" max="12806" width="34.28515625" style="21" customWidth="1"/>
    <col min="12807" max="12807" width="24.85546875" style="21" customWidth="1"/>
    <col min="12808" max="12808" width="0" style="21" hidden="1" customWidth="1"/>
    <col min="12809" max="12809" width="16.28515625" style="21" customWidth="1"/>
    <col min="12810" max="12810" width="17.7109375" style="21" customWidth="1"/>
    <col min="12811" max="12811" width="42.42578125" style="21" bestFit="1" customWidth="1"/>
    <col min="12812" max="12813" width="21.140625" style="21" customWidth="1"/>
    <col min="12814" max="12814" width="15.42578125" style="21" customWidth="1"/>
    <col min="12815" max="12820" width="21.140625" style="21" customWidth="1"/>
    <col min="12821" max="12821" width="23.42578125" style="21" customWidth="1"/>
    <col min="12822" max="12823" width="9.85546875" style="21" customWidth="1"/>
    <col min="12824" max="12824" width="12.140625" style="21" bestFit="1" customWidth="1"/>
    <col min="12825" max="12825" width="12" style="21" bestFit="1" customWidth="1"/>
    <col min="12826" max="12826" width="12.140625" style="21" bestFit="1" customWidth="1"/>
    <col min="12827" max="12829" width="12" style="21" bestFit="1" customWidth="1"/>
    <col min="12830" max="13056" width="9.140625" style="21"/>
    <col min="13057" max="13058" width="0.7109375" style="21" customWidth="1"/>
    <col min="13059" max="13059" width="0.5703125" style="21" customWidth="1"/>
    <col min="13060" max="13060" width="0.85546875" style="21" customWidth="1"/>
    <col min="13061" max="13061" width="0.5703125" style="21" customWidth="1"/>
    <col min="13062" max="13062" width="34.28515625" style="21" customWidth="1"/>
    <col min="13063" max="13063" width="24.85546875" style="21" customWidth="1"/>
    <col min="13064" max="13064" width="0" style="21" hidden="1" customWidth="1"/>
    <col min="13065" max="13065" width="16.28515625" style="21" customWidth="1"/>
    <col min="13066" max="13066" width="17.7109375" style="21" customWidth="1"/>
    <col min="13067" max="13067" width="42.42578125" style="21" bestFit="1" customWidth="1"/>
    <col min="13068" max="13069" width="21.140625" style="21" customWidth="1"/>
    <col min="13070" max="13070" width="15.42578125" style="21" customWidth="1"/>
    <col min="13071" max="13076" width="21.140625" style="21" customWidth="1"/>
    <col min="13077" max="13077" width="23.42578125" style="21" customWidth="1"/>
    <col min="13078" max="13079" width="9.85546875" style="21" customWidth="1"/>
    <col min="13080" max="13080" width="12.140625" style="21" bestFit="1" customWidth="1"/>
    <col min="13081" max="13081" width="12" style="21" bestFit="1" customWidth="1"/>
    <col min="13082" max="13082" width="12.140625" style="21" bestFit="1" customWidth="1"/>
    <col min="13083" max="13085" width="12" style="21" bestFit="1" customWidth="1"/>
    <col min="13086" max="13312" width="9.140625" style="21"/>
    <col min="13313" max="13314" width="0.7109375" style="21" customWidth="1"/>
    <col min="13315" max="13315" width="0.5703125" style="21" customWidth="1"/>
    <col min="13316" max="13316" width="0.85546875" style="21" customWidth="1"/>
    <col min="13317" max="13317" width="0.5703125" style="21" customWidth="1"/>
    <col min="13318" max="13318" width="34.28515625" style="21" customWidth="1"/>
    <col min="13319" max="13319" width="24.85546875" style="21" customWidth="1"/>
    <col min="13320" max="13320" width="0" style="21" hidden="1" customWidth="1"/>
    <col min="13321" max="13321" width="16.28515625" style="21" customWidth="1"/>
    <col min="13322" max="13322" width="17.7109375" style="21" customWidth="1"/>
    <col min="13323" max="13323" width="42.42578125" style="21" bestFit="1" customWidth="1"/>
    <col min="13324" max="13325" width="21.140625" style="21" customWidth="1"/>
    <col min="13326" max="13326" width="15.42578125" style="21" customWidth="1"/>
    <col min="13327" max="13332" width="21.140625" style="21" customWidth="1"/>
    <col min="13333" max="13333" width="23.42578125" style="21" customWidth="1"/>
    <col min="13334" max="13335" width="9.85546875" style="21" customWidth="1"/>
    <col min="13336" max="13336" width="12.140625" style="21" bestFit="1" customWidth="1"/>
    <col min="13337" max="13337" width="12" style="21" bestFit="1" customWidth="1"/>
    <col min="13338" max="13338" width="12.140625" style="21" bestFit="1" customWidth="1"/>
    <col min="13339" max="13341" width="12" style="21" bestFit="1" customWidth="1"/>
    <col min="13342" max="13568" width="9.140625" style="21"/>
    <col min="13569" max="13570" width="0.7109375" style="21" customWidth="1"/>
    <col min="13571" max="13571" width="0.5703125" style="21" customWidth="1"/>
    <col min="13572" max="13572" width="0.85546875" style="21" customWidth="1"/>
    <col min="13573" max="13573" width="0.5703125" style="21" customWidth="1"/>
    <col min="13574" max="13574" width="34.28515625" style="21" customWidth="1"/>
    <col min="13575" max="13575" width="24.85546875" style="21" customWidth="1"/>
    <col min="13576" max="13576" width="0" style="21" hidden="1" customWidth="1"/>
    <col min="13577" max="13577" width="16.28515625" style="21" customWidth="1"/>
    <col min="13578" max="13578" width="17.7109375" style="21" customWidth="1"/>
    <col min="13579" max="13579" width="42.42578125" style="21" bestFit="1" customWidth="1"/>
    <col min="13580" max="13581" width="21.140625" style="21" customWidth="1"/>
    <col min="13582" max="13582" width="15.42578125" style="21" customWidth="1"/>
    <col min="13583" max="13588" width="21.140625" style="21" customWidth="1"/>
    <col min="13589" max="13589" width="23.42578125" style="21" customWidth="1"/>
    <col min="13590" max="13591" width="9.85546875" style="21" customWidth="1"/>
    <col min="13592" max="13592" width="12.140625" style="21" bestFit="1" customWidth="1"/>
    <col min="13593" max="13593" width="12" style="21" bestFit="1" customWidth="1"/>
    <col min="13594" max="13594" width="12.140625" style="21" bestFit="1" customWidth="1"/>
    <col min="13595" max="13597" width="12" style="21" bestFit="1" customWidth="1"/>
    <col min="13598" max="13824" width="9.140625" style="21"/>
    <col min="13825" max="13826" width="0.7109375" style="21" customWidth="1"/>
    <col min="13827" max="13827" width="0.5703125" style="21" customWidth="1"/>
    <col min="13828" max="13828" width="0.85546875" style="21" customWidth="1"/>
    <col min="13829" max="13829" width="0.5703125" style="21" customWidth="1"/>
    <col min="13830" max="13830" width="34.28515625" style="21" customWidth="1"/>
    <col min="13831" max="13831" width="24.85546875" style="21" customWidth="1"/>
    <col min="13832" max="13832" width="0" style="21" hidden="1" customWidth="1"/>
    <col min="13833" max="13833" width="16.28515625" style="21" customWidth="1"/>
    <col min="13834" max="13834" width="17.7109375" style="21" customWidth="1"/>
    <col min="13835" max="13835" width="42.42578125" style="21" bestFit="1" customWidth="1"/>
    <col min="13836" max="13837" width="21.140625" style="21" customWidth="1"/>
    <col min="13838" max="13838" width="15.42578125" style="21" customWidth="1"/>
    <col min="13839" max="13844" width="21.140625" style="21" customWidth="1"/>
    <col min="13845" max="13845" width="23.42578125" style="21" customWidth="1"/>
    <col min="13846" max="13847" width="9.85546875" style="21" customWidth="1"/>
    <col min="13848" max="13848" width="12.140625" style="21" bestFit="1" customWidth="1"/>
    <col min="13849" max="13849" width="12" style="21" bestFit="1" customWidth="1"/>
    <col min="13850" max="13850" width="12.140625" style="21" bestFit="1" customWidth="1"/>
    <col min="13851" max="13853" width="12" style="21" bestFit="1" customWidth="1"/>
    <col min="13854" max="14080" width="9.140625" style="21"/>
    <col min="14081" max="14082" width="0.7109375" style="21" customWidth="1"/>
    <col min="14083" max="14083" width="0.5703125" style="21" customWidth="1"/>
    <col min="14084" max="14084" width="0.85546875" style="21" customWidth="1"/>
    <col min="14085" max="14085" width="0.5703125" style="21" customWidth="1"/>
    <col min="14086" max="14086" width="34.28515625" style="21" customWidth="1"/>
    <col min="14087" max="14087" width="24.85546875" style="21" customWidth="1"/>
    <col min="14088" max="14088" width="0" style="21" hidden="1" customWidth="1"/>
    <col min="14089" max="14089" width="16.28515625" style="21" customWidth="1"/>
    <col min="14090" max="14090" width="17.7109375" style="21" customWidth="1"/>
    <col min="14091" max="14091" width="42.42578125" style="21" bestFit="1" customWidth="1"/>
    <col min="14092" max="14093" width="21.140625" style="21" customWidth="1"/>
    <col min="14094" max="14094" width="15.42578125" style="21" customWidth="1"/>
    <col min="14095" max="14100" width="21.140625" style="21" customWidth="1"/>
    <col min="14101" max="14101" width="23.42578125" style="21" customWidth="1"/>
    <col min="14102" max="14103" width="9.85546875" style="21" customWidth="1"/>
    <col min="14104" max="14104" width="12.140625" style="21" bestFit="1" customWidth="1"/>
    <col min="14105" max="14105" width="12" style="21" bestFit="1" customWidth="1"/>
    <col min="14106" max="14106" width="12.140625" style="21" bestFit="1" customWidth="1"/>
    <col min="14107" max="14109" width="12" style="21" bestFit="1" customWidth="1"/>
    <col min="14110" max="14336" width="9.140625" style="21"/>
    <col min="14337" max="14338" width="0.7109375" style="21" customWidth="1"/>
    <col min="14339" max="14339" width="0.5703125" style="21" customWidth="1"/>
    <col min="14340" max="14340" width="0.85546875" style="21" customWidth="1"/>
    <col min="14341" max="14341" width="0.5703125" style="21" customWidth="1"/>
    <col min="14342" max="14342" width="34.28515625" style="21" customWidth="1"/>
    <col min="14343" max="14343" width="24.85546875" style="21" customWidth="1"/>
    <col min="14344" max="14344" width="0" style="21" hidden="1" customWidth="1"/>
    <col min="14345" max="14345" width="16.28515625" style="21" customWidth="1"/>
    <col min="14346" max="14346" width="17.7109375" style="21" customWidth="1"/>
    <col min="14347" max="14347" width="42.42578125" style="21" bestFit="1" customWidth="1"/>
    <col min="14348" max="14349" width="21.140625" style="21" customWidth="1"/>
    <col min="14350" max="14350" width="15.42578125" style="21" customWidth="1"/>
    <col min="14351" max="14356" width="21.140625" style="21" customWidth="1"/>
    <col min="14357" max="14357" width="23.42578125" style="21" customWidth="1"/>
    <col min="14358" max="14359" width="9.85546875" style="21" customWidth="1"/>
    <col min="14360" max="14360" width="12.140625" style="21" bestFit="1" customWidth="1"/>
    <col min="14361" max="14361" width="12" style="21" bestFit="1" customWidth="1"/>
    <col min="14362" max="14362" width="12.140625" style="21" bestFit="1" customWidth="1"/>
    <col min="14363" max="14365" width="12" style="21" bestFit="1" customWidth="1"/>
    <col min="14366" max="14592" width="9.140625" style="21"/>
    <col min="14593" max="14594" width="0.7109375" style="21" customWidth="1"/>
    <col min="14595" max="14595" width="0.5703125" style="21" customWidth="1"/>
    <col min="14596" max="14596" width="0.85546875" style="21" customWidth="1"/>
    <col min="14597" max="14597" width="0.5703125" style="21" customWidth="1"/>
    <col min="14598" max="14598" width="34.28515625" style="21" customWidth="1"/>
    <col min="14599" max="14599" width="24.85546875" style="21" customWidth="1"/>
    <col min="14600" max="14600" width="0" style="21" hidden="1" customWidth="1"/>
    <col min="14601" max="14601" width="16.28515625" style="21" customWidth="1"/>
    <col min="14602" max="14602" width="17.7109375" style="21" customWidth="1"/>
    <col min="14603" max="14603" width="42.42578125" style="21" bestFit="1" customWidth="1"/>
    <col min="14604" max="14605" width="21.140625" style="21" customWidth="1"/>
    <col min="14606" max="14606" width="15.42578125" style="21" customWidth="1"/>
    <col min="14607" max="14612" width="21.140625" style="21" customWidth="1"/>
    <col min="14613" max="14613" width="23.42578125" style="21" customWidth="1"/>
    <col min="14614" max="14615" width="9.85546875" style="21" customWidth="1"/>
    <col min="14616" max="14616" width="12.140625" style="21" bestFit="1" customWidth="1"/>
    <col min="14617" max="14617" width="12" style="21" bestFit="1" customWidth="1"/>
    <col min="14618" max="14618" width="12.140625" style="21" bestFit="1" customWidth="1"/>
    <col min="14619" max="14621" width="12" style="21" bestFit="1" customWidth="1"/>
    <col min="14622" max="14848" width="9.140625" style="21"/>
    <col min="14849" max="14850" width="0.7109375" style="21" customWidth="1"/>
    <col min="14851" max="14851" width="0.5703125" style="21" customWidth="1"/>
    <col min="14852" max="14852" width="0.85546875" style="21" customWidth="1"/>
    <col min="14853" max="14853" width="0.5703125" style="21" customWidth="1"/>
    <col min="14854" max="14854" width="34.28515625" style="21" customWidth="1"/>
    <col min="14855" max="14855" width="24.85546875" style="21" customWidth="1"/>
    <col min="14856" max="14856" width="0" style="21" hidden="1" customWidth="1"/>
    <col min="14857" max="14857" width="16.28515625" style="21" customWidth="1"/>
    <col min="14858" max="14858" width="17.7109375" style="21" customWidth="1"/>
    <col min="14859" max="14859" width="42.42578125" style="21" bestFit="1" customWidth="1"/>
    <col min="14860" max="14861" width="21.140625" style="21" customWidth="1"/>
    <col min="14862" max="14862" width="15.42578125" style="21" customWidth="1"/>
    <col min="14863" max="14868" width="21.140625" style="21" customWidth="1"/>
    <col min="14869" max="14869" width="23.42578125" style="21" customWidth="1"/>
    <col min="14870" max="14871" width="9.85546875" style="21" customWidth="1"/>
    <col min="14872" max="14872" width="12.140625" style="21" bestFit="1" customWidth="1"/>
    <col min="14873" max="14873" width="12" style="21" bestFit="1" customWidth="1"/>
    <col min="14874" max="14874" width="12.140625" style="21" bestFit="1" customWidth="1"/>
    <col min="14875" max="14877" width="12" style="21" bestFit="1" customWidth="1"/>
    <col min="14878" max="15104" width="9.140625" style="21"/>
    <col min="15105" max="15106" width="0.7109375" style="21" customWidth="1"/>
    <col min="15107" max="15107" width="0.5703125" style="21" customWidth="1"/>
    <col min="15108" max="15108" width="0.85546875" style="21" customWidth="1"/>
    <col min="15109" max="15109" width="0.5703125" style="21" customWidth="1"/>
    <col min="15110" max="15110" width="34.28515625" style="21" customWidth="1"/>
    <col min="15111" max="15111" width="24.85546875" style="21" customWidth="1"/>
    <col min="15112" max="15112" width="0" style="21" hidden="1" customWidth="1"/>
    <col min="15113" max="15113" width="16.28515625" style="21" customWidth="1"/>
    <col min="15114" max="15114" width="17.7109375" style="21" customWidth="1"/>
    <col min="15115" max="15115" width="42.42578125" style="21" bestFit="1" customWidth="1"/>
    <col min="15116" max="15117" width="21.140625" style="21" customWidth="1"/>
    <col min="15118" max="15118" width="15.42578125" style="21" customWidth="1"/>
    <col min="15119" max="15124" width="21.140625" style="21" customWidth="1"/>
    <col min="15125" max="15125" width="23.42578125" style="21" customWidth="1"/>
    <col min="15126" max="15127" width="9.85546875" style="21" customWidth="1"/>
    <col min="15128" max="15128" width="12.140625" style="21" bestFit="1" customWidth="1"/>
    <col min="15129" max="15129" width="12" style="21" bestFit="1" customWidth="1"/>
    <col min="15130" max="15130" width="12.140625" style="21" bestFit="1" customWidth="1"/>
    <col min="15131" max="15133" width="12" style="21" bestFit="1" customWidth="1"/>
    <col min="15134" max="15360" width="9.140625" style="21"/>
    <col min="15361" max="15362" width="0.7109375" style="21" customWidth="1"/>
    <col min="15363" max="15363" width="0.5703125" style="21" customWidth="1"/>
    <col min="15364" max="15364" width="0.85546875" style="21" customWidth="1"/>
    <col min="15365" max="15365" width="0.5703125" style="21" customWidth="1"/>
    <col min="15366" max="15366" width="34.28515625" style="21" customWidth="1"/>
    <col min="15367" max="15367" width="24.85546875" style="21" customWidth="1"/>
    <col min="15368" max="15368" width="0" style="21" hidden="1" customWidth="1"/>
    <col min="15369" max="15369" width="16.28515625" style="21" customWidth="1"/>
    <col min="15370" max="15370" width="17.7109375" style="21" customWidth="1"/>
    <col min="15371" max="15371" width="42.42578125" style="21" bestFit="1" customWidth="1"/>
    <col min="15372" max="15373" width="21.140625" style="21" customWidth="1"/>
    <col min="15374" max="15374" width="15.42578125" style="21" customWidth="1"/>
    <col min="15375" max="15380" width="21.140625" style="21" customWidth="1"/>
    <col min="15381" max="15381" width="23.42578125" style="21" customWidth="1"/>
    <col min="15382" max="15383" width="9.85546875" style="21" customWidth="1"/>
    <col min="15384" max="15384" width="12.140625" style="21" bestFit="1" customWidth="1"/>
    <col min="15385" max="15385" width="12" style="21" bestFit="1" customWidth="1"/>
    <col min="15386" max="15386" width="12.140625" style="21" bestFit="1" customWidth="1"/>
    <col min="15387" max="15389" width="12" style="21" bestFit="1" customWidth="1"/>
    <col min="15390" max="15616" width="9.140625" style="21"/>
    <col min="15617" max="15618" width="0.7109375" style="21" customWidth="1"/>
    <col min="15619" max="15619" width="0.5703125" style="21" customWidth="1"/>
    <col min="15620" max="15620" width="0.85546875" style="21" customWidth="1"/>
    <col min="15621" max="15621" width="0.5703125" style="21" customWidth="1"/>
    <col min="15622" max="15622" width="34.28515625" style="21" customWidth="1"/>
    <col min="15623" max="15623" width="24.85546875" style="21" customWidth="1"/>
    <col min="15624" max="15624" width="0" style="21" hidden="1" customWidth="1"/>
    <col min="15625" max="15625" width="16.28515625" style="21" customWidth="1"/>
    <col min="15626" max="15626" width="17.7109375" style="21" customWidth="1"/>
    <col min="15627" max="15627" width="42.42578125" style="21" bestFit="1" customWidth="1"/>
    <col min="15628" max="15629" width="21.140625" style="21" customWidth="1"/>
    <col min="15630" max="15630" width="15.42578125" style="21" customWidth="1"/>
    <col min="15631" max="15636" width="21.140625" style="21" customWidth="1"/>
    <col min="15637" max="15637" width="23.42578125" style="21" customWidth="1"/>
    <col min="15638" max="15639" width="9.85546875" style="21" customWidth="1"/>
    <col min="15640" max="15640" width="12.140625" style="21" bestFit="1" customWidth="1"/>
    <col min="15641" max="15641" width="12" style="21" bestFit="1" customWidth="1"/>
    <col min="15642" max="15642" width="12.140625" style="21" bestFit="1" customWidth="1"/>
    <col min="15643" max="15645" width="12" style="21" bestFit="1" customWidth="1"/>
    <col min="15646" max="15872" width="9.140625" style="21"/>
    <col min="15873" max="15874" width="0.7109375" style="21" customWidth="1"/>
    <col min="15875" max="15875" width="0.5703125" style="21" customWidth="1"/>
    <col min="15876" max="15876" width="0.85546875" style="21" customWidth="1"/>
    <col min="15877" max="15877" width="0.5703125" style="21" customWidth="1"/>
    <col min="15878" max="15878" width="34.28515625" style="21" customWidth="1"/>
    <col min="15879" max="15879" width="24.85546875" style="21" customWidth="1"/>
    <col min="15880" max="15880" width="0" style="21" hidden="1" customWidth="1"/>
    <col min="15881" max="15881" width="16.28515625" style="21" customWidth="1"/>
    <col min="15882" max="15882" width="17.7109375" style="21" customWidth="1"/>
    <col min="15883" max="15883" width="42.42578125" style="21" bestFit="1" customWidth="1"/>
    <col min="15884" max="15885" width="21.140625" style="21" customWidth="1"/>
    <col min="15886" max="15886" width="15.42578125" style="21" customWidth="1"/>
    <col min="15887" max="15892" width="21.140625" style="21" customWidth="1"/>
    <col min="15893" max="15893" width="23.42578125" style="21" customWidth="1"/>
    <col min="15894" max="15895" width="9.85546875" style="21" customWidth="1"/>
    <col min="15896" max="15896" width="12.140625" style="21" bestFit="1" customWidth="1"/>
    <col min="15897" max="15897" width="12" style="21" bestFit="1" customWidth="1"/>
    <col min="15898" max="15898" width="12.140625" style="21" bestFit="1" customWidth="1"/>
    <col min="15899" max="15901" width="12" style="21" bestFit="1" customWidth="1"/>
    <col min="15902" max="16128" width="9.140625" style="21"/>
    <col min="16129" max="16130" width="0.7109375" style="21" customWidth="1"/>
    <col min="16131" max="16131" width="0.5703125" style="21" customWidth="1"/>
    <col min="16132" max="16132" width="0.85546875" style="21" customWidth="1"/>
    <col min="16133" max="16133" width="0.5703125" style="21" customWidth="1"/>
    <col min="16134" max="16134" width="34.28515625" style="21" customWidth="1"/>
    <col min="16135" max="16135" width="24.85546875" style="21" customWidth="1"/>
    <col min="16136" max="16136" width="0" style="21" hidden="1" customWidth="1"/>
    <col min="16137" max="16137" width="16.28515625" style="21" customWidth="1"/>
    <col min="16138" max="16138" width="17.7109375" style="21" customWidth="1"/>
    <col min="16139" max="16139" width="42.42578125" style="21" bestFit="1" customWidth="1"/>
    <col min="16140" max="16141" width="21.140625" style="21" customWidth="1"/>
    <col min="16142" max="16142" width="15.42578125" style="21" customWidth="1"/>
    <col min="16143" max="16148" width="21.140625" style="21" customWidth="1"/>
    <col min="16149" max="16149" width="23.42578125" style="21" customWidth="1"/>
    <col min="16150" max="16151" width="9.85546875" style="21" customWidth="1"/>
    <col min="16152" max="16152" width="12.140625" style="21" bestFit="1" customWidth="1"/>
    <col min="16153" max="16153" width="12" style="21" bestFit="1" customWidth="1"/>
    <col min="16154" max="16154" width="12.140625" style="21" bestFit="1" customWidth="1"/>
    <col min="16155" max="16157" width="12" style="21" bestFit="1" customWidth="1"/>
    <col min="16158" max="16384" width="9.140625" style="21"/>
  </cols>
  <sheetData>
    <row r="1" spans="1:26" s="6" customFormat="1">
      <c r="A1" s="1"/>
      <c r="B1" s="1"/>
      <c r="C1" s="1"/>
      <c r="D1" s="1"/>
      <c r="E1" s="1"/>
      <c r="F1" s="1"/>
      <c r="G1" s="2"/>
      <c r="H1" s="3"/>
      <c r="I1" s="3"/>
      <c r="J1" s="4"/>
      <c r="K1" s="5"/>
      <c r="L1" s="3"/>
      <c r="M1" s="3"/>
      <c r="N1" s="3"/>
      <c r="O1" s="3"/>
      <c r="P1" s="3"/>
      <c r="Q1" s="3"/>
      <c r="R1" s="3"/>
      <c r="S1" s="3"/>
      <c r="T1" s="3"/>
      <c r="X1" s="3"/>
      <c r="Y1" s="3"/>
      <c r="Z1" s="3"/>
    </row>
    <row r="2" spans="1:26" s="6" customFormat="1">
      <c r="A2" s="1"/>
      <c r="B2" s="1"/>
      <c r="C2" s="1"/>
      <c r="D2" s="1"/>
      <c r="E2" s="1"/>
      <c r="F2" s="7"/>
      <c r="G2" s="2"/>
      <c r="H2" s="3"/>
      <c r="I2" s="3"/>
      <c r="J2" s="4"/>
      <c r="K2" s="5"/>
      <c r="L2" s="3"/>
      <c r="M2" s="3"/>
      <c r="N2" s="3"/>
      <c r="O2" s="3"/>
      <c r="P2" s="3"/>
      <c r="Q2" s="3"/>
      <c r="R2" s="3"/>
      <c r="S2" s="3"/>
      <c r="T2" s="3"/>
      <c r="X2" s="3"/>
      <c r="Y2" s="3"/>
      <c r="Z2" s="3"/>
    </row>
    <row r="3" spans="1:26" s="6" customFormat="1">
      <c r="A3" s="1"/>
      <c r="B3" s="1"/>
      <c r="C3" s="1"/>
      <c r="D3" s="1"/>
      <c r="E3" s="1"/>
      <c r="F3" s="8" t="s">
        <v>11</v>
      </c>
      <c r="G3" s="2"/>
      <c r="H3" s="3"/>
      <c r="I3" s="3"/>
      <c r="J3" s="4"/>
      <c r="K3" s="5"/>
      <c r="L3" s="3"/>
      <c r="M3" s="3"/>
      <c r="N3" s="3"/>
      <c r="O3" s="3"/>
      <c r="P3" s="3"/>
      <c r="Q3" s="3"/>
      <c r="R3" s="3"/>
      <c r="S3" s="3"/>
      <c r="T3" s="3"/>
      <c r="X3" s="3"/>
      <c r="Y3" s="3"/>
      <c r="Z3" s="3"/>
    </row>
    <row r="4" spans="1:26" s="6" customFormat="1">
      <c r="A4" s="1"/>
      <c r="B4" s="1"/>
      <c r="C4" s="1"/>
      <c r="D4" s="1"/>
      <c r="E4" s="1"/>
      <c r="F4" s="8" t="s">
        <v>74</v>
      </c>
      <c r="G4" s="2"/>
      <c r="H4" s="3"/>
      <c r="I4" s="3"/>
      <c r="J4" s="4"/>
      <c r="K4" s="5"/>
      <c r="L4" s="3"/>
      <c r="M4" s="3"/>
      <c r="N4" s="3"/>
      <c r="O4" s="3"/>
      <c r="P4" s="3"/>
      <c r="Q4" s="3"/>
      <c r="R4" s="3"/>
      <c r="S4" s="3"/>
      <c r="T4" s="3"/>
      <c r="X4" s="3"/>
      <c r="Y4" s="3"/>
      <c r="Z4" s="3"/>
    </row>
    <row r="5" spans="1:26" s="15" customFormat="1">
      <c r="A5" s="9"/>
      <c r="B5" s="9"/>
      <c r="C5" s="9"/>
      <c r="D5" s="9"/>
      <c r="E5" s="9"/>
      <c r="F5" s="9"/>
      <c r="G5" s="10"/>
      <c r="H5" s="11" t="s">
        <v>12</v>
      </c>
      <c r="I5" s="5"/>
      <c r="J5" s="12"/>
      <c r="K5" s="13"/>
      <c r="L5" s="14"/>
      <c r="M5" s="14"/>
      <c r="N5" s="14"/>
      <c r="O5" s="11"/>
      <c r="P5" s="11"/>
      <c r="Q5" s="11"/>
      <c r="R5" s="11"/>
      <c r="S5" s="11"/>
      <c r="T5" s="11"/>
      <c r="X5" s="16"/>
      <c r="Y5" s="16"/>
      <c r="Z5" s="16"/>
    </row>
    <row r="6" spans="1:26">
      <c r="A6" s="17"/>
      <c r="B6" s="17"/>
      <c r="C6" s="17"/>
      <c r="D6" s="17"/>
      <c r="E6" s="17"/>
      <c r="F6" s="17"/>
      <c r="M6" s="21"/>
    </row>
    <row r="7" spans="1:26">
      <c r="A7" s="17"/>
      <c r="B7" s="17"/>
      <c r="C7" s="17"/>
      <c r="D7" s="17"/>
      <c r="E7" s="17"/>
      <c r="F7" s="17"/>
      <c r="M7" s="21"/>
    </row>
    <row r="8" spans="1:26" ht="16.5" customHeight="1">
      <c r="A8" s="17"/>
      <c r="B8" s="17"/>
      <c r="C8" s="17"/>
      <c r="D8" s="17"/>
      <c r="E8" s="17"/>
      <c r="F8" s="23" t="s">
        <v>13</v>
      </c>
      <c r="G8" s="24" t="s">
        <v>14</v>
      </c>
      <c r="M8" s="21"/>
    </row>
    <row r="9" spans="1:26" hidden="1">
      <c r="A9" s="17"/>
      <c r="B9" s="17"/>
      <c r="C9" s="17"/>
      <c r="D9" s="17"/>
      <c r="E9" s="17" t="s">
        <v>15</v>
      </c>
      <c r="F9" s="17"/>
      <c r="G9" s="24" t="s">
        <v>14</v>
      </c>
      <c r="M9" s="21"/>
    </row>
    <row r="10" spans="1:26" s="6" customFormat="1">
      <c r="A10" s="17"/>
      <c r="B10" s="17"/>
      <c r="C10" s="17"/>
      <c r="E10" s="17"/>
      <c r="F10" s="17" t="s">
        <v>16</v>
      </c>
      <c r="G10" s="10"/>
      <c r="H10" s="3">
        <f>'[1]1stQ'!BO15+'[1]2ndQ'!O7+'[1]3rdQ'!O7+'[1]4th'!O7</f>
        <v>55678301.579999998</v>
      </c>
      <c r="I10" s="3">
        <f>[2]Sheet1!$K$9</f>
        <v>2757402.99</v>
      </c>
      <c r="J10" s="4"/>
      <c r="K10" s="5"/>
      <c r="L10" s="3"/>
      <c r="N10" s="3"/>
      <c r="O10" s="3"/>
      <c r="P10" s="3"/>
      <c r="Q10" s="3"/>
      <c r="R10" s="3"/>
      <c r="S10" s="3"/>
      <c r="T10" s="3"/>
      <c r="X10" s="3"/>
      <c r="Y10" s="3"/>
      <c r="Z10" s="3"/>
    </row>
    <row r="11" spans="1:26" s="6" customFormat="1">
      <c r="A11" s="17"/>
      <c r="B11" s="17"/>
      <c r="C11" s="17"/>
      <c r="E11" s="17"/>
      <c r="F11" s="17" t="s">
        <v>17</v>
      </c>
      <c r="G11" s="10"/>
      <c r="H11" s="4">
        <v>0</v>
      </c>
      <c r="I11" s="4"/>
      <c r="J11" s="4"/>
      <c r="K11" s="5"/>
      <c r="L11" s="3"/>
      <c r="N11" s="3"/>
      <c r="O11" s="3"/>
      <c r="P11" s="3"/>
      <c r="Q11" s="3"/>
      <c r="R11" s="3"/>
      <c r="S11" s="3"/>
      <c r="T11" s="3"/>
      <c r="X11" s="3"/>
      <c r="Y11" s="3"/>
      <c r="Z11" s="3"/>
    </row>
    <row r="12" spans="1:26" s="6" customFormat="1" ht="15.75" thickBot="1">
      <c r="A12" s="17"/>
      <c r="B12" s="17"/>
      <c r="C12" s="17"/>
      <c r="D12" s="17"/>
      <c r="E12" s="17"/>
      <c r="F12" s="25" t="s">
        <v>18</v>
      </c>
      <c r="G12" s="26"/>
      <c r="H12" s="27">
        <f>H10-H11</f>
        <v>55678301.579999998</v>
      </c>
      <c r="I12" s="27">
        <f>I10-I11</f>
        <v>2757402.99</v>
      </c>
      <c r="J12" s="4"/>
      <c r="K12" s="5">
        <f>I12*0.03</f>
        <v>82722.089699999997</v>
      </c>
      <c r="L12" s="3"/>
      <c r="N12" s="3"/>
      <c r="O12" s="3"/>
      <c r="P12" s="3"/>
      <c r="Q12" s="3"/>
      <c r="R12" s="3"/>
      <c r="S12" s="3"/>
      <c r="T12" s="3"/>
      <c r="X12" s="3"/>
      <c r="Y12" s="3"/>
      <c r="Z12" s="3"/>
    </row>
    <row r="13" spans="1:26" s="6" customFormat="1">
      <c r="A13" s="17"/>
      <c r="B13" s="17"/>
      <c r="C13" s="17"/>
      <c r="D13" s="17"/>
      <c r="E13" s="17"/>
      <c r="F13" s="17" t="s">
        <v>19</v>
      </c>
      <c r="G13" s="10"/>
      <c r="H13" s="3"/>
      <c r="I13" s="3"/>
      <c r="J13" s="4"/>
      <c r="K13" s="5"/>
      <c r="L13" s="3"/>
      <c r="N13" s="3"/>
      <c r="O13" s="3"/>
      <c r="P13" s="3"/>
      <c r="Q13" s="3"/>
      <c r="R13" s="3"/>
      <c r="S13" s="3"/>
      <c r="T13" s="3"/>
      <c r="X13" s="3"/>
      <c r="Y13" s="3"/>
      <c r="Z13" s="3"/>
    </row>
    <row r="14" spans="1:26">
      <c r="A14" s="17"/>
      <c r="B14" s="17"/>
      <c r="C14" s="17"/>
      <c r="D14" s="21"/>
      <c r="E14" s="17"/>
      <c r="F14" s="17" t="s">
        <v>20</v>
      </c>
      <c r="H14" s="3">
        <v>3517288</v>
      </c>
      <c r="I14" s="19">
        <f>[3]IS!$E$17</f>
        <v>1920747.8</v>
      </c>
      <c r="M14" s="21"/>
    </row>
    <row r="15" spans="1:26" ht="15.75" thickBot="1">
      <c r="A15" s="17"/>
      <c r="B15" s="17"/>
      <c r="C15" s="17"/>
      <c r="D15" s="17"/>
      <c r="E15" s="17"/>
      <c r="F15" s="17" t="s">
        <v>21</v>
      </c>
      <c r="H15" s="28">
        <f>'[1]Sched IS'!G141-2515028.46</f>
        <v>14774614.67931287</v>
      </c>
      <c r="I15" s="28">
        <f>April!G356+May!G137+June!G226</f>
        <v>2359126.6071428568</v>
      </c>
      <c r="J15" s="20" t="s">
        <v>71</v>
      </c>
      <c r="M15" s="21"/>
    </row>
    <row r="16" spans="1:26">
      <c r="A16" s="17"/>
      <c r="B16" s="17"/>
      <c r="C16" s="17"/>
      <c r="D16" s="17"/>
      <c r="E16" s="17"/>
      <c r="F16" s="17" t="s">
        <v>22</v>
      </c>
      <c r="H16" s="19">
        <f>H14+H15</f>
        <v>18291902.67931287</v>
      </c>
      <c r="I16" s="19">
        <f>I14+I15</f>
        <v>4279874.4071428571</v>
      </c>
      <c r="M16" s="21"/>
    </row>
    <row r="17" spans="1:21" ht="15.75" thickBot="1">
      <c r="A17" s="17"/>
      <c r="B17" s="17"/>
      <c r="C17" s="17"/>
      <c r="D17" s="17"/>
      <c r="E17" s="17"/>
      <c r="F17" s="17" t="s">
        <v>23</v>
      </c>
      <c r="H17" s="28">
        <v>1970999</v>
      </c>
      <c r="I17" s="70">
        <v>3505435.67</v>
      </c>
      <c r="K17" s="29"/>
      <c r="M17" s="21"/>
    </row>
    <row r="18" spans="1:21">
      <c r="A18" s="17"/>
      <c r="B18" s="17"/>
      <c r="C18" s="17"/>
      <c r="D18" s="17"/>
      <c r="E18" s="17"/>
      <c r="F18" s="30" t="s">
        <v>24</v>
      </c>
      <c r="H18" s="3">
        <f>H16-H17</f>
        <v>16320903.67931287</v>
      </c>
      <c r="I18" s="3">
        <f>I16-I17</f>
        <v>774438.73714285716</v>
      </c>
      <c r="M18" s="21"/>
    </row>
    <row r="19" spans="1:21">
      <c r="A19" s="17"/>
      <c r="B19" s="17"/>
      <c r="C19" s="21"/>
      <c r="D19" s="21"/>
      <c r="E19" s="21"/>
      <c r="F19" s="17" t="s">
        <v>25</v>
      </c>
      <c r="I19" s="21"/>
      <c r="M19" s="21"/>
    </row>
    <row r="20" spans="1:21">
      <c r="A20" s="17"/>
      <c r="B20" s="17"/>
      <c r="C20" s="21"/>
      <c r="D20" s="17"/>
      <c r="E20" s="17"/>
      <c r="F20" s="1" t="s">
        <v>26</v>
      </c>
      <c r="H20" s="3">
        <f>6230762.7496+560962.9+15000+289354.68+296342.97</f>
        <v>7392423.2995999996</v>
      </c>
      <c r="I20" s="3">
        <f>([4]Sheet1!$D$32*3)-I33</f>
        <v>119496</v>
      </c>
      <c r="M20" s="21"/>
    </row>
    <row r="21" spans="1:21">
      <c r="A21" s="17"/>
      <c r="B21" s="17"/>
      <c r="C21" s="21"/>
      <c r="D21" s="17"/>
      <c r="E21" s="17"/>
      <c r="F21" s="1" t="s">
        <v>60</v>
      </c>
      <c r="H21" s="3"/>
      <c r="I21" s="31">
        <f>I20/12</f>
        <v>9958</v>
      </c>
      <c r="M21" s="21"/>
    </row>
    <row r="22" spans="1:21">
      <c r="A22" s="17"/>
      <c r="B22" s="17"/>
      <c r="C22" s="21"/>
      <c r="D22" s="17"/>
      <c r="E22" s="17"/>
      <c r="F22" s="17" t="s">
        <v>61</v>
      </c>
      <c r="H22" s="3"/>
      <c r="I22" s="31">
        <f>2115*3</f>
        <v>6345</v>
      </c>
      <c r="M22" s="21"/>
    </row>
    <row r="23" spans="1:21" ht="18.75" customHeight="1">
      <c r="A23" s="17"/>
      <c r="B23" s="17"/>
      <c r="C23" s="17"/>
      <c r="D23" s="17"/>
      <c r="E23" s="17"/>
      <c r="F23" s="1" t="s">
        <v>27</v>
      </c>
      <c r="H23" s="3">
        <f>220465.25+84214.8</f>
        <v>304680.05</v>
      </c>
      <c r="I23" s="3">
        <f>April!G353+May!G134+June!G225+April!G357+April!G358+June!G221</f>
        <v>179749.97321428568</v>
      </c>
      <c r="J23" s="4"/>
      <c r="K23" s="5" t="s">
        <v>1037</v>
      </c>
      <c r="L23" s="21"/>
      <c r="M23" s="21"/>
      <c r="N23" s="21"/>
      <c r="O23" s="21"/>
      <c r="P23" s="21"/>
      <c r="R23" s="3">
        <v>28354643.124932099</v>
      </c>
    </row>
    <row r="24" spans="1:21">
      <c r="A24" s="17"/>
      <c r="B24" s="17"/>
      <c r="C24" s="17"/>
      <c r="D24" s="17"/>
      <c r="E24" s="17"/>
      <c r="F24" s="1" t="s">
        <v>28</v>
      </c>
      <c r="H24" s="31">
        <f>I21</f>
        <v>9958</v>
      </c>
      <c r="I24" s="65">
        <f>[3]IS!$E$24/12*3</f>
        <v>4692</v>
      </c>
      <c r="J24" s="4"/>
      <c r="K24" s="12"/>
      <c r="L24" s="21"/>
      <c r="M24" s="21"/>
      <c r="N24" s="21"/>
      <c r="O24" s="21"/>
      <c r="P24" s="21"/>
      <c r="R24" s="3"/>
    </row>
    <row r="25" spans="1:21" ht="17.25" customHeight="1" thickBot="1">
      <c r="A25" s="17"/>
      <c r="B25" s="17"/>
      <c r="C25" s="17"/>
      <c r="D25" s="17"/>
      <c r="E25" s="17"/>
      <c r="F25" s="115" t="s">
        <v>1033</v>
      </c>
      <c r="H25" s="3">
        <v>6436250.1100000003</v>
      </c>
      <c r="I25" s="3">
        <f>April!G358+June!G221</f>
        <v>107825.37499999997</v>
      </c>
      <c r="J25" s="32" t="s">
        <v>29</v>
      </c>
      <c r="K25" s="33"/>
      <c r="L25" s="21"/>
      <c r="M25" s="21"/>
      <c r="N25" s="21"/>
      <c r="O25" s="21"/>
      <c r="P25" s="21"/>
      <c r="R25" s="3"/>
    </row>
    <row r="26" spans="1:21" ht="17.25" customHeight="1">
      <c r="A26" s="17"/>
      <c r="B26" s="17"/>
      <c r="C26" s="17"/>
      <c r="D26" s="17"/>
      <c r="E26" s="17"/>
      <c r="F26" s="115" t="s">
        <v>1034</v>
      </c>
      <c r="H26" s="3"/>
      <c r="I26" s="3">
        <f>April!G355+April!G352+May!G138+May!G139+June!G228+June!G229</f>
        <v>79187.41071428571</v>
      </c>
      <c r="J26" s="31"/>
      <c r="K26" s="12" t="s">
        <v>1035</v>
      </c>
      <c r="L26" s="21"/>
      <c r="M26" s="21"/>
      <c r="N26" s="21"/>
      <c r="O26" s="21"/>
      <c r="P26" s="21"/>
      <c r="R26" s="3"/>
    </row>
    <row r="27" spans="1:21" ht="17.25" customHeight="1">
      <c r="A27" s="17"/>
      <c r="B27" s="17"/>
      <c r="C27" s="17"/>
      <c r="D27" s="17"/>
      <c r="E27" s="17"/>
      <c r="F27" s="115" t="s">
        <v>30</v>
      </c>
      <c r="H27" s="3"/>
      <c r="I27" s="3">
        <f>April!G354+May!G133+June!G227</f>
        <v>67335.50892857142</v>
      </c>
      <c r="J27" s="31"/>
      <c r="K27" s="12"/>
      <c r="L27" s="21"/>
      <c r="M27" s="21"/>
      <c r="N27" s="21"/>
      <c r="O27" s="21"/>
      <c r="P27" s="21"/>
      <c r="R27" s="3"/>
    </row>
    <row r="28" spans="1:21" ht="18" customHeight="1" thickBot="1">
      <c r="A28" s="17"/>
      <c r="B28" s="17"/>
      <c r="C28" s="17"/>
      <c r="D28" s="17"/>
      <c r="E28" s="17"/>
      <c r="F28" s="17" t="s">
        <v>31</v>
      </c>
      <c r="H28" s="34">
        <f>2952783.76+2515028.46+167723.38+276220.01+20343.76+514640.06+19252.85+612328.87</f>
        <v>7078321.1499999985</v>
      </c>
      <c r="I28" s="118">
        <v>56000</v>
      </c>
      <c r="J28" s="32" t="s">
        <v>29</v>
      </c>
      <c r="K28" s="71"/>
      <c r="L28" s="21">
        <f>3458276.48-225559.7</f>
        <v>3232716.78</v>
      </c>
      <c r="M28" s="21">
        <f>-477350.13+119556.77+1117.79-481213</f>
        <v>-837888.57000000007</v>
      </c>
      <c r="N28" s="21"/>
      <c r="O28" s="21"/>
      <c r="P28" s="21"/>
      <c r="R28" s="3"/>
    </row>
    <row r="29" spans="1:21" ht="15.75" thickBot="1">
      <c r="A29" s="17"/>
      <c r="B29" s="17"/>
      <c r="C29" s="17"/>
      <c r="F29" s="17" t="s">
        <v>32</v>
      </c>
      <c r="H29" s="35">
        <f>SUM(H20:H28)</f>
        <v>21221632.6096</v>
      </c>
      <c r="I29" s="35">
        <f>SUM(I20:I28)</f>
        <v>630589.26785714272</v>
      </c>
      <c r="J29" s="4"/>
      <c r="K29" s="36"/>
      <c r="L29" s="37">
        <f>L28*0.2</f>
        <v>646543.35600000003</v>
      </c>
      <c r="M29" s="21"/>
      <c r="N29" s="21"/>
      <c r="O29" s="21"/>
      <c r="P29" s="21"/>
      <c r="Q29" s="3"/>
      <c r="R29" s="3">
        <v>2053331.852</v>
      </c>
      <c r="S29" s="3"/>
      <c r="T29" s="3"/>
      <c r="U29" s="21" t="s">
        <v>33</v>
      </c>
    </row>
    <row r="30" spans="1:21" ht="15.75" thickBot="1">
      <c r="A30" s="17"/>
      <c r="B30" s="17"/>
      <c r="C30" s="17"/>
      <c r="F30" s="17" t="s">
        <v>34</v>
      </c>
      <c r="H30" s="35">
        <f>H18+H29</f>
        <v>37542536.28891287</v>
      </c>
      <c r="I30" s="35">
        <f>I18+I29</f>
        <v>1405028.0049999999</v>
      </c>
      <c r="J30" s="38"/>
      <c r="K30" s="39">
        <v>2482345.0499999998</v>
      </c>
      <c r="L30" s="19">
        <f>L28*0.8</f>
        <v>2586173.4240000001</v>
      </c>
      <c r="Q30" s="38"/>
      <c r="R30" s="38">
        <f>SUM(R23:R29)</f>
        <v>30407974.976932101</v>
      </c>
      <c r="S30" s="38"/>
      <c r="T30" s="38"/>
    </row>
    <row r="31" spans="1:21" ht="15.75" thickBot="1">
      <c r="A31" s="17"/>
      <c r="B31" s="17"/>
      <c r="C31" s="17"/>
      <c r="F31" s="40" t="s">
        <v>35</v>
      </c>
      <c r="G31" s="41"/>
      <c r="H31" s="42">
        <f>H10-H30</f>
        <v>18135765.291087128</v>
      </c>
      <c r="I31" s="42">
        <f>I10-I30</f>
        <v>1352374.9850000003</v>
      </c>
      <c r="J31" s="38"/>
      <c r="K31" s="39">
        <f>K30-I30</f>
        <v>1077317.0449999999</v>
      </c>
      <c r="Q31" s="38"/>
      <c r="R31" s="38"/>
      <c r="S31" s="38"/>
      <c r="T31" s="38"/>
    </row>
    <row r="32" spans="1:21">
      <c r="A32" s="17"/>
      <c r="B32" s="17"/>
      <c r="C32" s="43" t="s">
        <v>36</v>
      </c>
      <c r="J32" s="4"/>
      <c r="L32" s="21">
        <f>612328.87</f>
        <v>612328.87</v>
      </c>
      <c r="M32" s="21"/>
      <c r="N32" s="21"/>
      <c r="O32" s="21"/>
      <c r="P32" s="21"/>
      <c r="Q32" s="4"/>
      <c r="R32" s="4"/>
      <c r="S32" s="4"/>
      <c r="T32" s="4"/>
      <c r="U32" s="37">
        <f>H10-H29</f>
        <v>34456668.970399998</v>
      </c>
    </row>
    <row r="33" spans="1:29">
      <c r="A33" s="17"/>
      <c r="B33" s="17"/>
      <c r="C33" s="17"/>
      <c r="D33" s="17"/>
      <c r="E33" s="17" t="s">
        <v>37</v>
      </c>
      <c r="F33" s="17"/>
      <c r="H33" s="3">
        <v>4138447.46</v>
      </c>
      <c r="I33" s="3">
        <f>[4]Sheet1!$D$45+[4]Sheet1!$D$44+[4]Sheet1!$D$43+[4]Sheet1!$D$42+[4]Sheet1!$D$41</f>
        <v>70056</v>
      </c>
      <c r="J33" s="4"/>
      <c r="L33" s="36">
        <f>M28+L32</f>
        <v>-225559.70000000007</v>
      </c>
      <c r="M33" s="36"/>
      <c r="N33" s="36"/>
      <c r="O33" s="36"/>
      <c r="P33" s="36"/>
      <c r="Q33" s="4"/>
      <c r="R33" s="4"/>
      <c r="S33" s="4"/>
      <c r="T33" s="4"/>
      <c r="U33" s="37"/>
      <c r="Y33" s="3" t="s">
        <v>38</v>
      </c>
      <c r="Z33" s="3" t="s">
        <v>39</v>
      </c>
    </row>
    <row r="34" spans="1:29">
      <c r="A34" s="17"/>
      <c r="B34" s="17"/>
      <c r="C34" s="17"/>
      <c r="D34" s="17"/>
      <c r="E34" s="17" t="s">
        <v>40</v>
      </c>
      <c r="F34" s="44"/>
      <c r="H34" s="3"/>
      <c r="I34" s="3"/>
      <c r="J34" s="4"/>
      <c r="L34" s="36">
        <f>477350.13+L33</f>
        <v>251790.42999999993</v>
      </c>
      <c r="M34" s="36"/>
      <c r="N34" s="36"/>
      <c r="O34" s="36"/>
      <c r="P34" s="36"/>
      <c r="Q34" s="4"/>
      <c r="R34" s="4"/>
      <c r="S34" s="4"/>
      <c r="T34" s="4"/>
      <c r="U34" s="37"/>
      <c r="Y34" s="3"/>
      <c r="Z34" s="3"/>
    </row>
    <row r="35" spans="1:29" s="6" customFormat="1">
      <c r="A35" s="17"/>
      <c r="B35" s="17"/>
      <c r="C35" s="17"/>
      <c r="D35" s="17"/>
      <c r="E35" s="44" t="s">
        <v>41</v>
      </c>
      <c r="G35" s="2"/>
      <c r="H35" s="3">
        <v>1702048</v>
      </c>
      <c r="I35" s="3"/>
      <c r="J35" s="4"/>
      <c r="K35" s="5"/>
      <c r="L35" s="3"/>
      <c r="N35" s="3"/>
      <c r="O35" s="3"/>
      <c r="P35" s="3"/>
      <c r="Q35" s="3"/>
      <c r="R35" s="3"/>
      <c r="S35" s="19" t="s">
        <v>42</v>
      </c>
      <c r="T35" s="3" t="s">
        <v>39</v>
      </c>
      <c r="X35" s="19">
        <v>70898.52</v>
      </c>
      <c r="Y35" s="6">
        <v>0</v>
      </c>
      <c r="Z35" s="22">
        <f>X35-Y35</f>
        <v>70898.52</v>
      </c>
    </row>
    <row r="36" spans="1:29">
      <c r="A36" s="17"/>
      <c r="B36" s="17"/>
      <c r="C36" s="17"/>
      <c r="D36" s="17"/>
      <c r="E36" s="17" t="s">
        <v>43</v>
      </c>
      <c r="F36" s="21"/>
      <c r="H36" s="3">
        <f>753492.82+137431.54</f>
        <v>890924.36</v>
      </c>
      <c r="I36" s="3"/>
      <c r="J36" s="4"/>
      <c r="K36" s="5" t="s">
        <v>59</v>
      </c>
      <c r="M36" s="21"/>
    </row>
    <row r="37" spans="1:29">
      <c r="A37" s="17"/>
      <c r="B37" s="17"/>
      <c r="C37" s="17"/>
      <c r="D37" s="17"/>
      <c r="E37" s="17" t="s">
        <v>10</v>
      </c>
      <c r="F37" s="21"/>
      <c r="H37" s="3">
        <v>31075.52</v>
      </c>
      <c r="I37" s="3">
        <v>0</v>
      </c>
      <c r="J37" s="4"/>
      <c r="M37" s="21"/>
    </row>
    <row r="38" spans="1:29">
      <c r="A38" s="17"/>
      <c r="B38" s="17"/>
      <c r="C38" s="17"/>
      <c r="D38" s="17"/>
      <c r="E38" s="17" t="s">
        <v>44</v>
      </c>
      <c r="F38" s="21"/>
      <c r="H38" s="45">
        <f>'[1]1stQ'!BN95+'[1]2ndQ'!O97+'[1]3rdQ'!O100+'[1]4th'!O103</f>
        <v>276279.21000000002</v>
      </c>
      <c r="I38" s="45">
        <v>0</v>
      </c>
      <c r="J38" s="4"/>
      <c r="K38" s="5" t="s">
        <v>62</v>
      </c>
      <c r="M38" s="21"/>
    </row>
    <row r="39" spans="1:29">
      <c r="A39" s="17"/>
      <c r="B39" s="17"/>
      <c r="C39" s="17"/>
      <c r="D39" s="17"/>
      <c r="E39" s="17" t="s">
        <v>45</v>
      </c>
      <c r="F39" s="21"/>
      <c r="H39" s="3">
        <v>73196.429999999993</v>
      </c>
      <c r="I39" s="3"/>
      <c r="J39" s="4"/>
      <c r="M39" s="21"/>
    </row>
    <row r="40" spans="1:29">
      <c r="A40" s="17"/>
      <c r="B40" s="17"/>
      <c r="C40" s="17"/>
      <c r="D40" s="17"/>
      <c r="E40" s="17" t="s">
        <v>46</v>
      </c>
      <c r="F40" s="30" t="s">
        <v>51</v>
      </c>
      <c r="G40" s="20"/>
      <c r="H40" s="3">
        <f>'[1]1stQ'!BN96+'[1]2ndQ'!O98+'[1]3rdQ'!O101+'[1]4th'!O104</f>
        <v>5925.54</v>
      </c>
      <c r="I40" s="3">
        <f>SUM([4]Sheet1!$F$41:$H$45)*3</f>
        <v>11583.9</v>
      </c>
      <c r="J40" s="4"/>
      <c r="M40" s="21"/>
    </row>
    <row r="41" spans="1:29">
      <c r="A41" s="17"/>
      <c r="B41" s="17"/>
      <c r="C41" s="17"/>
      <c r="D41" s="17"/>
      <c r="E41" s="17" t="s">
        <v>47</v>
      </c>
      <c r="F41" s="17"/>
      <c r="G41" s="20"/>
      <c r="H41" s="3">
        <v>140922.88964285716</v>
      </c>
      <c r="I41" s="3">
        <f>April!G362+June!G222+June!G223+June!G219+April!G359+June!G218</f>
        <v>17022.973214285714</v>
      </c>
      <c r="J41" s="4"/>
      <c r="M41" s="21"/>
    </row>
    <row r="42" spans="1:29">
      <c r="A42" s="17"/>
      <c r="B42" s="17"/>
      <c r="C42" s="17"/>
      <c r="D42" s="17"/>
      <c r="E42" s="17" t="s">
        <v>48</v>
      </c>
      <c r="I42" s="3"/>
      <c r="J42" s="4"/>
      <c r="M42" s="21"/>
    </row>
    <row r="43" spans="1:29">
      <c r="A43" s="17"/>
      <c r="B43" s="17"/>
      <c r="C43" s="17"/>
      <c r="D43" s="17"/>
      <c r="E43" s="17" t="s">
        <v>49</v>
      </c>
      <c r="F43" s="17"/>
      <c r="H43" s="3">
        <v>252766.35</v>
      </c>
      <c r="I43" s="3"/>
      <c r="J43" s="4"/>
      <c r="M43" s="21"/>
    </row>
    <row r="44" spans="1:29">
      <c r="A44" s="17"/>
      <c r="B44" s="17"/>
      <c r="C44" s="17"/>
      <c r="D44" s="17"/>
      <c r="E44" s="17" t="s">
        <v>50</v>
      </c>
      <c r="F44" s="17"/>
      <c r="H44" s="3">
        <v>574746.17000000004</v>
      </c>
      <c r="I44" s="3">
        <f>I33/12</f>
        <v>5838</v>
      </c>
      <c r="J44" s="4"/>
      <c r="L44" s="21"/>
      <c r="M44" s="22"/>
      <c r="N44" s="22"/>
      <c r="O44" s="22"/>
      <c r="P44" s="21"/>
      <c r="Q44" s="3"/>
      <c r="R44" s="3">
        <v>791178.39000000013</v>
      </c>
      <c r="S44" s="3">
        <v>325510.95</v>
      </c>
      <c r="T44" s="3">
        <f t="shared" ref="T44:T52" si="0">R44-S44</f>
        <v>465667.44000000012</v>
      </c>
      <c r="V44" s="37"/>
      <c r="W44" s="37"/>
      <c r="X44" s="22">
        <v>864100.85339999991</v>
      </c>
      <c r="Y44" s="22">
        <v>574746.17000000004</v>
      </c>
      <c r="Z44" s="22">
        <f t="shared" ref="Z44:Z51" si="1">X44-Y44</f>
        <v>289354.68339999986</v>
      </c>
      <c r="AC44" s="21">
        <v>55952.22</v>
      </c>
    </row>
    <row r="45" spans="1:29">
      <c r="A45" s="17"/>
      <c r="B45" s="17"/>
      <c r="C45" s="17"/>
      <c r="D45" s="17"/>
      <c r="E45" s="116" t="s">
        <v>1036</v>
      </c>
      <c r="F45" s="17"/>
      <c r="H45" s="3">
        <f>241159.7+47950+29500</f>
        <v>318609.7</v>
      </c>
      <c r="I45" s="3">
        <f>[3]IS!$E$41/4</f>
        <v>13213.674999999999</v>
      </c>
      <c r="J45" s="4"/>
      <c r="L45" s="21"/>
      <c r="M45" s="37"/>
      <c r="N45" s="37"/>
      <c r="O45" s="22"/>
      <c r="P45" s="37"/>
      <c r="Q45" s="3"/>
      <c r="R45" s="3">
        <v>460815.42</v>
      </c>
      <c r="S45" s="3">
        <v>241159.7</v>
      </c>
      <c r="T45" s="19">
        <f t="shared" si="0"/>
        <v>219655.71999999997</v>
      </c>
      <c r="X45" s="22">
        <v>460815.42</v>
      </c>
      <c r="Y45" s="22">
        <v>241159.7</v>
      </c>
      <c r="Z45" s="22">
        <f t="shared" si="1"/>
        <v>219655.71999999997</v>
      </c>
      <c r="AC45" s="21">
        <v>12851.72</v>
      </c>
    </row>
    <row r="46" spans="1:29">
      <c r="A46" s="17"/>
      <c r="B46" s="17"/>
      <c r="C46" s="17"/>
      <c r="D46" s="17"/>
      <c r="E46" s="17" t="s">
        <v>1038</v>
      </c>
      <c r="H46" s="3">
        <v>50908.353900000002</v>
      </c>
      <c r="I46" s="3">
        <f>April!G351+April!G361+May!G132+June!G224</f>
        <v>18997.482142857145</v>
      </c>
      <c r="J46" s="4"/>
      <c r="L46" s="3"/>
      <c r="M46" s="46"/>
      <c r="N46" s="3"/>
      <c r="O46" s="3"/>
      <c r="P46" s="3"/>
      <c r="Q46" s="3"/>
      <c r="R46" s="3">
        <v>224224.063333333</v>
      </c>
      <c r="S46" s="3">
        <f>'[1]Sched IS'!N141</f>
        <v>44337.653700000003</v>
      </c>
      <c r="T46" s="3">
        <f t="shared" si="0"/>
        <v>179886.40963333301</v>
      </c>
      <c r="X46" s="22">
        <v>6947238.0499999998</v>
      </c>
      <c r="Y46" s="22">
        <v>1702048</v>
      </c>
      <c r="Z46" s="22">
        <f t="shared" si="1"/>
        <v>5245190.05</v>
      </c>
    </row>
    <row r="47" spans="1:29">
      <c r="A47" s="17"/>
      <c r="B47" s="17"/>
      <c r="C47" s="17"/>
      <c r="D47" s="17"/>
      <c r="E47" s="17" t="s">
        <v>52</v>
      </c>
      <c r="H47" s="3">
        <v>247143.52999999997</v>
      </c>
      <c r="I47" s="3">
        <f>April!G350+April!G354+April!G363+May!G133+May!G135+May!G136+June!G217+June!G220+June!G227</f>
        <v>86209.928571428551</v>
      </c>
      <c r="J47" s="4"/>
      <c r="L47" s="3"/>
      <c r="M47" s="46"/>
      <c r="N47" s="3"/>
      <c r="O47" s="3"/>
      <c r="P47" s="3"/>
      <c r="Q47" s="3"/>
      <c r="R47" s="3">
        <v>3387377.9610666698</v>
      </c>
      <c r="S47" s="3"/>
      <c r="T47" s="19">
        <f t="shared" si="0"/>
        <v>3387377.9610666698</v>
      </c>
      <c r="X47" s="22">
        <v>3635378.0600000005</v>
      </c>
      <c r="Y47" s="22">
        <v>753492.82</v>
      </c>
      <c r="Z47" s="22">
        <f t="shared" si="1"/>
        <v>2881885.2400000007</v>
      </c>
    </row>
    <row r="48" spans="1:29">
      <c r="A48" s="17"/>
      <c r="B48" s="17"/>
      <c r="C48" s="17"/>
      <c r="D48" s="17"/>
      <c r="E48" s="17" t="s">
        <v>1032</v>
      </c>
      <c r="F48" s="17"/>
      <c r="G48" s="47"/>
      <c r="H48" s="48">
        <f>'[1]1stQ'!BN94+'[1]2ndQ'!O96+'[1]3rdQ'!O99+'[1]4th'!O102</f>
        <v>423205.6</v>
      </c>
      <c r="I48" s="48">
        <f>'[3]Sched IS HOPPS'!$E$11*3</f>
        <v>21450</v>
      </c>
      <c r="J48" s="4"/>
      <c r="L48" s="3"/>
      <c r="M48" s="46"/>
      <c r="N48" s="3"/>
      <c r="O48" s="3"/>
      <c r="P48" s="3"/>
      <c r="Q48" s="3"/>
      <c r="R48" s="3">
        <v>2357884.31</v>
      </c>
      <c r="S48" s="3">
        <v>994690.92</v>
      </c>
      <c r="T48" s="19">
        <f t="shared" si="0"/>
        <v>1363193.3900000001</v>
      </c>
      <c r="X48" s="22">
        <v>2357884.31</v>
      </c>
      <c r="Y48" s="22">
        <f>X48-Z48</f>
        <v>994690.91999999993</v>
      </c>
      <c r="Z48" s="46">
        <v>1363193.3900000001</v>
      </c>
    </row>
    <row r="49" spans="1:43">
      <c r="A49" s="17"/>
      <c r="B49" s="17"/>
      <c r="C49" s="17"/>
      <c r="D49" s="17"/>
      <c r="E49" s="17" t="s">
        <v>56</v>
      </c>
      <c r="F49" s="17"/>
      <c r="G49" s="47"/>
      <c r="H49" s="48"/>
      <c r="I49" s="48">
        <f>[3]IS!$E$60/12*3</f>
        <v>34052.449999999997</v>
      </c>
      <c r="J49" s="4"/>
      <c r="L49" s="3"/>
      <c r="M49" s="46"/>
      <c r="N49" s="3"/>
      <c r="O49" s="3"/>
      <c r="P49" s="3"/>
      <c r="Q49" s="3"/>
      <c r="R49" s="3"/>
      <c r="S49" s="3"/>
      <c r="Z49" s="46"/>
    </row>
    <row r="50" spans="1:43">
      <c r="A50" s="17"/>
      <c r="B50" s="17"/>
      <c r="C50" s="17"/>
      <c r="D50" s="40" t="s">
        <v>53</v>
      </c>
      <c r="E50" s="40"/>
      <c r="F50" s="40"/>
      <c r="G50" s="41"/>
      <c r="H50" s="49">
        <f>SUM(H36:H48)</f>
        <v>3285703.6535428576</v>
      </c>
      <c r="I50" s="49">
        <f>SUM(I33:I49)</f>
        <v>278424.40892857139</v>
      </c>
      <c r="J50" s="4"/>
      <c r="L50" s="3"/>
      <c r="M50" s="3"/>
      <c r="N50" s="3"/>
      <c r="O50" s="3"/>
      <c r="P50" s="3"/>
      <c r="Q50" s="3"/>
      <c r="R50" s="3">
        <v>155184.55666666667</v>
      </c>
      <c r="S50" s="3"/>
      <c r="T50" s="19">
        <f t="shared" si="0"/>
        <v>155184.55666666667</v>
      </c>
      <c r="X50" s="22">
        <v>232841.66999999998</v>
      </c>
      <c r="Y50" s="22">
        <v>12376.42</v>
      </c>
      <c r="Z50" s="46">
        <f t="shared" si="1"/>
        <v>220465.24999999997</v>
      </c>
      <c r="AC50" s="21">
        <v>11645.3</v>
      </c>
    </row>
    <row r="51" spans="1:43">
      <c r="A51" s="17"/>
      <c r="B51" s="50" t="s">
        <v>54</v>
      </c>
      <c r="C51" s="17"/>
      <c r="D51" s="17"/>
      <c r="E51" s="17"/>
      <c r="F51" s="17"/>
      <c r="H51" s="19">
        <f>H31-H50</f>
        <v>14850061.637544271</v>
      </c>
      <c r="I51" s="3">
        <f>I31-I50</f>
        <v>1073950.5760714291</v>
      </c>
      <c r="L51" s="3"/>
      <c r="M51" s="3"/>
      <c r="N51" s="3"/>
      <c r="O51" s="3"/>
      <c r="P51" s="3"/>
      <c r="Q51" s="3"/>
      <c r="R51" s="3">
        <v>284634.6657380953</v>
      </c>
      <c r="S51" s="3">
        <v>284634.67</v>
      </c>
      <c r="T51" s="3">
        <f t="shared" si="0"/>
        <v>-4.2619046871550381E-3</v>
      </c>
      <c r="X51" s="22">
        <v>140922.88964285716</v>
      </c>
      <c r="Y51" s="22">
        <f>X51</f>
        <v>140922.88964285716</v>
      </c>
      <c r="Z51" s="22">
        <f t="shared" si="1"/>
        <v>0</v>
      </c>
      <c r="AC51" s="21">
        <v>6462.07</v>
      </c>
    </row>
    <row r="52" spans="1:43" s="51" customFormat="1">
      <c r="A52" s="17"/>
      <c r="B52" s="17"/>
      <c r="C52" s="17"/>
      <c r="D52" s="17"/>
      <c r="E52" s="17" t="s">
        <v>55</v>
      </c>
      <c r="F52" s="17"/>
      <c r="G52" s="18"/>
      <c r="H52" s="3"/>
      <c r="I52" s="3"/>
      <c r="J52" s="4"/>
      <c r="K52" s="5"/>
      <c r="L52" s="3"/>
      <c r="M52" s="3"/>
      <c r="N52" s="3"/>
      <c r="O52" s="3"/>
      <c r="P52" s="3"/>
      <c r="Q52" s="3"/>
      <c r="R52" s="3">
        <v>70898.52</v>
      </c>
      <c r="S52" s="3"/>
      <c r="T52" s="19">
        <f t="shared" si="0"/>
        <v>70898.52</v>
      </c>
      <c r="U52" s="21"/>
      <c r="V52" s="21"/>
      <c r="W52" s="21"/>
      <c r="X52" s="22">
        <v>70898.52</v>
      </c>
      <c r="Y52" s="22"/>
      <c r="Z52" s="22">
        <v>70898.52</v>
      </c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</row>
    <row r="53" spans="1:43" ht="15.75" thickBot="1">
      <c r="A53" s="21"/>
      <c r="B53" s="21"/>
      <c r="C53" s="21"/>
      <c r="D53" s="21"/>
      <c r="E53" s="21"/>
      <c r="F53" s="17" t="s">
        <v>56</v>
      </c>
      <c r="G53" s="21"/>
      <c r="H53" s="21"/>
      <c r="I53" s="3"/>
      <c r="J53" s="52"/>
      <c r="K53" s="64"/>
      <c r="L53" s="3"/>
      <c r="M53" s="3"/>
      <c r="N53" s="3"/>
      <c r="O53" s="3"/>
      <c r="P53" s="3"/>
      <c r="Q53" s="3"/>
      <c r="R53" s="53">
        <f>SUM(R44:R52)</f>
        <v>7732197.8868047642</v>
      </c>
      <c r="S53" s="53">
        <f>SUM(S44:S52)</f>
        <v>1890333.8936999999</v>
      </c>
      <c r="T53" s="53">
        <f>SUM(T44:T52)</f>
        <v>5841863.9931047643</v>
      </c>
      <c r="U53" s="37">
        <f>'[1]1stQ'!BO97+'[1]2ndQ'!O101+'[1]3rdQ'!O104+'[1]4th'!O107</f>
        <v>25244545.784525201</v>
      </c>
      <c r="X53" s="22">
        <f>SUM(X35:X51)</f>
        <v>14710079.773042858</v>
      </c>
      <c r="Y53" s="22">
        <f>SUM(Y35:Y51)</f>
        <v>4419436.9196428563</v>
      </c>
      <c r="Z53" s="22">
        <f>SUM(Z35:Z51)</f>
        <v>10290642.853400001</v>
      </c>
    </row>
    <row r="54" spans="1:43" ht="15.75" thickTop="1">
      <c r="A54" s="21"/>
      <c r="B54" s="54" t="s">
        <v>57</v>
      </c>
      <c r="C54" s="55"/>
      <c r="D54" s="55"/>
      <c r="E54" s="55"/>
      <c r="F54" s="55"/>
      <c r="G54" s="55"/>
      <c r="H54" s="55"/>
      <c r="I54" s="56">
        <f>I51-I53</f>
        <v>1073950.5760714291</v>
      </c>
      <c r="J54" s="36"/>
      <c r="U54" s="37">
        <f>U53-H50</f>
        <v>21958842.130982343</v>
      </c>
    </row>
    <row r="55" spans="1:43">
      <c r="A55" s="21"/>
      <c r="B55" s="57"/>
      <c r="C55" s="21"/>
      <c r="D55" s="21"/>
      <c r="E55" s="21"/>
      <c r="F55" s="21"/>
      <c r="G55" s="21"/>
      <c r="H55" s="21"/>
      <c r="I55" s="58"/>
      <c r="J55" s="36"/>
      <c r="U55" s="37"/>
    </row>
    <row r="56" spans="1:43" s="19" customFormat="1" ht="15.75" thickBot="1">
      <c r="B56" s="59" t="s">
        <v>58</v>
      </c>
      <c r="C56" s="60"/>
      <c r="D56" s="60"/>
      <c r="E56" s="60"/>
      <c r="F56" s="60"/>
      <c r="G56" s="60"/>
      <c r="H56" s="60"/>
      <c r="I56" s="27">
        <f>I54</f>
        <v>1073950.5760714291</v>
      </c>
      <c r="J56" s="20"/>
      <c r="K56" s="5"/>
      <c r="U56" s="21"/>
      <c r="V56" s="21"/>
      <c r="W56" s="21"/>
      <c r="X56" s="22"/>
      <c r="Y56" s="22"/>
      <c r="Z56" s="22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</row>
    <row r="57" spans="1:43" s="19" customFormat="1">
      <c r="J57" s="20"/>
      <c r="K57" s="5"/>
      <c r="U57" s="21"/>
      <c r="V57" s="21"/>
      <c r="W57" s="21"/>
      <c r="X57" s="22"/>
      <c r="Y57" s="22"/>
      <c r="Z57" s="22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</row>
    <row r="58" spans="1:43" s="19" customFormat="1">
      <c r="J58" s="20"/>
      <c r="K58" s="5"/>
      <c r="U58" s="21"/>
      <c r="V58" s="21"/>
      <c r="W58" s="21"/>
      <c r="X58" s="22"/>
      <c r="Y58" s="22"/>
      <c r="Z58" s="22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</row>
    <row r="59" spans="1:43" s="19" customFormat="1">
      <c r="J59" s="20"/>
      <c r="K59" s="5"/>
      <c r="U59" s="21"/>
      <c r="V59" s="21"/>
      <c r="W59" s="21"/>
      <c r="X59" s="22"/>
      <c r="Y59" s="22"/>
      <c r="Z59" s="22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</row>
    <row r="60" spans="1:43" s="19" customFormat="1">
      <c r="J60" s="20"/>
      <c r="K60" s="5"/>
      <c r="R60" s="19">
        <v>612328.87333333329</v>
      </c>
      <c r="U60" s="21"/>
      <c r="V60" s="21"/>
      <c r="W60" s="21"/>
      <c r="X60" s="22"/>
      <c r="Y60" s="22"/>
      <c r="Z60" s="22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</row>
    <row r="61" spans="1:43" s="19" customFormat="1">
      <c r="J61" s="20"/>
      <c r="K61" s="5"/>
      <c r="R61" s="19">
        <v>423205.6</v>
      </c>
      <c r="U61" s="21"/>
      <c r="V61" s="21"/>
      <c r="W61" s="21"/>
      <c r="X61" s="22"/>
      <c r="Y61" s="22"/>
      <c r="Z61" s="22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</row>
    <row r="62" spans="1:43" s="19" customFormat="1">
      <c r="J62" s="20"/>
      <c r="K62" s="5"/>
      <c r="R62" s="19">
        <v>276279.21000000002</v>
      </c>
      <c r="U62" s="21"/>
      <c r="V62" s="21"/>
      <c r="W62" s="21"/>
      <c r="X62" s="22"/>
      <c r="Y62" s="22"/>
      <c r="Z62" s="22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</row>
    <row r="63" spans="1:43" s="19" customFormat="1">
      <c r="I63" s="68"/>
      <c r="J63" s="20"/>
      <c r="K63" s="5"/>
      <c r="R63" s="19">
        <v>521.41666666666674</v>
      </c>
      <c r="U63" s="21"/>
      <c r="V63" s="21"/>
      <c r="W63" s="21"/>
      <c r="X63" s="22"/>
      <c r="Y63" s="22"/>
      <c r="Z63" s="22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</row>
    <row r="64" spans="1:43" s="19" customFormat="1">
      <c r="J64" s="20"/>
      <c r="K64" s="5"/>
      <c r="U64" s="21"/>
      <c r="V64" s="21"/>
      <c r="W64" s="21"/>
      <c r="X64" s="22"/>
      <c r="Y64" s="22"/>
      <c r="Z64" s="22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</row>
    <row r="65" spans="7:43" s="19" customFormat="1">
      <c r="I65" s="68"/>
      <c r="J65" s="20"/>
      <c r="K65" s="5"/>
      <c r="R65" s="19">
        <v>70898.52</v>
      </c>
      <c r="U65" s="21"/>
      <c r="V65" s="21"/>
      <c r="W65" s="21"/>
      <c r="X65" s="22"/>
      <c r="Y65" s="22"/>
      <c r="Z65" s="22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</row>
    <row r="66" spans="7:43" s="19" customFormat="1">
      <c r="J66" s="20"/>
      <c r="K66" s="5"/>
      <c r="U66" s="21"/>
      <c r="V66" s="21"/>
      <c r="W66" s="21"/>
      <c r="X66" s="22"/>
      <c r="Y66" s="22"/>
      <c r="Z66" s="22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</row>
    <row r="67" spans="7:43" s="19" customFormat="1">
      <c r="J67" s="20"/>
      <c r="K67" s="5"/>
      <c r="U67" s="21"/>
      <c r="V67" s="21"/>
      <c r="W67" s="21"/>
      <c r="X67" s="22"/>
      <c r="Y67" s="22"/>
      <c r="Z67" s="22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</row>
    <row r="68" spans="7:43" s="19" customFormat="1">
      <c r="J68" s="20"/>
      <c r="K68" s="5"/>
      <c r="U68" s="21"/>
      <c r="V68" s="21"/>
      <c r="W68" s="21"/>
      <c r="X68" s="22"/>
      <c r="Y68" s="22"/>
      <c r="Z68" s="22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</row>
    <row r="69" spans="7:43" s="19" customFormat="1">
      <c r="J69" s="20"/>
      <c r="K69" s="5"/>
      <c r="U69" s="21"/>
      <c r="V69" s="21"/>
      <c r="W69" s="21"/>
      <c r="X69" s="22"/>
      <c r="Y69" s="22"/>
      <c r="Z69" s="22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</row>
    <row r="70" spans="7:43" s="19" customFormat="1">
      <c r="J70" s="20"/>
      <c r="K70" s="5"/>
      <c r="U70" s="21"/>
      <c r="V70" s="21"/>
      <c r="W70" s="21"/>
      <c r="X70" s="22"/>
      <c r="Y70" s="22"/>
      <c r="Z70" s="22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</row>
    <row r="71" spans="7:43" s="19" customFormat="1">
      <c r="J71" s="20"/>
      <c r="K71" s="5"/>
      <c r="U71" s="21"/>
      <c r="V71" s="21"/>
      <c r="W71" s="21"/>
      <c r="X71" s="22"/>
      <c r="Y71" s="22"/>
      <c r="Z71" s="22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</row>
    <row r="72" spans="7:43" s="18" customFormat="1">
      <c r="I72" s="62"/>
      <c r="K72" s="5"/>
      <c r="L72" s="19"/>
      <c r="M72" s="19"/>
      <c r="N72" s="19"/>
      <c r="O72" s="19"/>
      <c r="P72" s="19"/>
      <c r="Q72" s="19"/>
      <c r="R72" s="19"/>
      <c r="S72" s="19"/>
      <c r="T72" s="19"/>
      <c r="U72" s="21"/>
      <c r="V72" s="21"/>
      <c r="W72" s="21"/>
      <c r="X72" s="22"/>
      <c r="Y72" s="22"/>
      <c r="Z72" s="22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</row>
    <row r="73" spans="7:43" s="18" customFormat="1">
      <c r="I73" s="69"/>
      <c r="K73" s="5"/>
      <c r="L73" s="19"/>
      <c r="M73" s="19"/>
      <c r="N73" s="19"/>
      <c r="O73" s="19"/>
      <c r="P73" s="19"/>
      <c r="Q73" s="19"/>
      <c r="R73" s="19"/>
      <c r="S73" s="19"/>
      <c r="T73" s="19"/>
      <c r="U73" s="21"/>
      <c r="V73" s="21"/>
      <c r="W73" s="21"/>
      <c r="X73" s="22"/>
      <c r="Y73" s="22"/>
      <c r="Z73" s="22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</row>
    <row r="74" spans="7:43" s="18" customFormat="1">
      <c r="K74" s="5"/>
      <c r="L74" s="19"/>
      <c r="M74" s="19"/>
      <c r="N74" s="19"/>
      <c r="O74" s="19"/>
      <c r="P74" s="19"/>
      <c r="Q74" s="19"/>
      <c r="R74" s="19"/>
      <c r="S74" s="19"/>
      <c r="T74" s="19"/>
      <c r="U74" s="21"/>
      <c r="V74" s="21"/>
      <c r="W74" s="21"/>
      <c r="X74" s="22"/>
      <c r="Y74" s="22"/>
      <c r="Z74" s="22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</row>
    <row r="75" spans="7:43" s="18" customFormat="1">
      <c r="K75" s="5"/>
      <c r="L75" s="19"/>
      <c r="M75" s="19"/>
      <c r="N75" s="19"/>
      <c r="O75" s="19"/>
      <c r="P75" s="19"/>
      <c r="Q75" s="19"/>
      <c r="R75" s="19"/>
      <c r="S75" s="19"/>
      <c r="T75" s="19"/>
      <c r="U75" s="21"/>
      <c r="V75" s="21"/>
      <c r="W75" s="21"/>
      <c r="X75" s="22"/>
      <c r="Y75" s="22"/>
      <c r="Z75" s="22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</row>
    <row r="76" spans="7:43" s="18" customFormat="1">
      <c r="G76" s="18" t="s">
        <v>72</v>
      </c>
      <c r="K76" s="5"/>
      <c r="L76" s="19"/>
      <c r="M76" s="19"/>
      <c r="N76" s="19"/>
      <c r="O76" s="19"/>
      <c r="P76" s="19"/>
      <c r="Q76" s="19"/>
      <c r="R76" s="19"/>
      <c r="S76" s="19"/>
      <c r="T76" s="19"/>
      <c r="U76" s="21"/>
      <c r="V76" s="21"/>
      <c r="W76" s="21"/>
      <c r="X76" s="22"/>
      <c r="Y76" s="22"/>
      <c r="Z76" s="22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</row>
    <row r="77" spans="7:43" s="18" customFormat="1">
      <c r="G77" s="18" t="s">
        <v>65</v>
      </c>
      <c r="I77" s="66">
        <v>6824.73</v>
      </c>
      <c r="K77" s="5"/>
      <c r="L77" s="19"/>
      <c r="M77" s="19"/>
      <c r="N77" s="19"/>
      <c r="O77" s="19"/>
      <c r="P77" s="19"/>
      <c r="Q77" s="19"/>
      <c r="R77" s="19"/>
      <c r="S77" s="19"/>
      <c r="T77" s="19"/>
      <c r="U77" s="21"/>
      <c r="V77" s="21"/>
      <c r="W77" s="21"/>
      <c r="X77" s="22"/>
      <c r="Y77" s="22"/>
      <c r="Z77" s="22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</row>
    <row r="78" spans="7:43" s="18" customFormat="1">
      <c r="G78" s="18" t="s">
        <v>66</v>
      </c>
      <c r="I78" s="66">
        <v>13207.59</v>
      </c>
      <c r="K78" s="5"/>
      <c r="L78" s="19"/>
      <c r="M78" s="19"/>
      <c r="N78" s="19"/>
      <c r="O78" s="19"/>
      <c r="P78" s="19"/>
      <c r="Q78" s="19"/>
      <c r="R78" s="19"/>
      <c r="S78" s="19"/>
      <c r="T78" s="19"/>
      <c r="U78" s="21"/>
      <c r="V78" s="21"/>
      <c r="W78" s="21"/>
      <c r="X78" s="22"/>
      <c r="Y78" s="22"/>
      <c r="Z78" s="22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</row>
    <row r="79" spans="7:43" s="18" customFormat="1">
      <c r="G79" s="18" t="s">
        <v>67</v>
      </c>
      <c r="I79" s="66">
        <v>43978.38</v>
      </c>
      <c r="K79" s="5"/>
      <c r="L79" s="19"/>
      <c r="M79" s="19"/>
      <c r="N79" s="19"/>
      <c r="O79" s="19"/>
      <c r="P79" s="19"/>
      <c r="Q79" s="19"/>
      <c r="R79" s="19"/>
      <c r="S79" s="19"/>
      <c r="T79" s="19"/>
      <c r="U79" s="21"/>
      <c r="V79" s="21"/>
      <c r="W79" s="21"/>
      <c r="X79" s="22"/>
      <c r="Y79" s="22"/>
      <c r="Z79" s="22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</row>
    <row r="80" spans="7:43" s="18" customFormat="1">
      <c r="G80" s="18" t="s">
        <v>68</v>
      </c>
      <c r="I80" s="66">
        <v>3052.68</v>
      </c>
      <c r="K80" s="5"/>
      <c r="L80" s="19"/>
      <c r="M80" s="19"/>
      <c r="N80" s="19"/>
      <c r="O80" s="19"/>
      <c r="P80" s="19"/>
      <c r="Q80" s="19"/>
      <c r="R80" s="19"/>
      <c r="S80" s="19"/>
      <c r="T80" s="19"/>
      <c r="U80" s="21"/>
      <c r="V80" s="21"/>
      <c r="W80" s="21"/>
      <c r="X80" s="22"/>
      <c r="Y80" s="22"/>
      <c r="Z80" s="22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</row>
    <row r="81" spans="1:43" s="18" customFormat="1">
      <c r="G81" s="18" t="s">
        <v>73</v>
      </c>
      <c r="I81" s="66">
        <v>13717.68</v>
      </c>
      <c r="K81" s="5"/>
      <c r="L81" s="19"/>
      <c r="M81" s="19"/>
      <c r="N81" s="19"/>
      <c r="O81" s="19"/>
      <c r="P81" s="19"/>
      <c r="Q81" s="19"/>
      <c r="R81" s="19"/>
      <c r="S81" s="19"/>
      <c r="T81" s="19"/>
      <c r="U81" s="21"/>
      <c r="V81" s="21"/>
      <c r="W81" s="21"/>
      <c r="X81" s="22"/>
      <c r="Y81" s="22"/>
      <c r="Z81" s="22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</row>
    <row r="82" spans="1:43" s="18" customFormat="1" ht="15.75" thickBot="1">
      <c r="I82" s="67">
        <f>SUM(I77:I81)</f>
        <v>80781.06</v>
      </c>
      <c r="K82" s="5"/>
      <c r="L82" s="19"/>
      <c r="M82" s="19"/>
      <c r="N82" s="19"/>
      <c r="O82" s="19"/>
      <c r="P82" s="19"/>
      <c r="Q82" s="19"/>
      <c r="R82" s="19"/>
      <c r="S82" s="19"/>
      <c r="T82" s="19"/>
      <c r="U82" s="21"/>
      <c r="V82" s="21"/>
      <c r="W82" s="21"/>
      <c r="X82" s="22"/>
      <c r="Y82" s="22"/>
      <c r="Z82" s="22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</row>
    <row r="83" spans="1:43" s="18" customFormat="1" ht="15.75" thickTop="1">
      <c r="K83" s="5"/>
      <c r="L83" s="19"/>
      <c r="M83" s="19"/>
      <c r="N83" s="19"/>
      <c r="O83" s="19"/>
      <c r="P83" s="19"/>
      <c r="Q83" s="19"/>
      <c r="R83" s="19"/>
      <c r="S83" s="19"/>
      <c r="T83" s="19"/>
      <c r="U83" s="21"/>
      <c r="V83" s="21"/>
      <c r="W83" s="21"/>
      <c r="X83" s="22"/>
      <c r="Y83" s="22"/>
      <c r="Z83" s="22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</row>
    <row r="84" spans="1:43" s="18" customFormat="1">
      <c r="K84" s="5"/>
      <c r="L84" s="19"/>
      <c r="M84" s="19"/>
      <c r="N84" s="19"/>
      <c r="O84" s="19"/>
      <c r="P84" s="19"/>
      <c r="Q84" s="19"/>
      <c r="R84" s="19"/>
      <c r="S84" s="19"/>
      <c r="T84" s="19"/>
      <c r="U84" s="21"/>
      <c r="V84" s="21"/>
      <c r="W84" s="21"/>
      <c r="X84" s="22"/>
      <c r="Y84" s="22"/>
      <c r="Z84" s="22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</row>
    <row r="85" spans="1:43" s="18" customFormat="1">
      <c r="K85" s="5"/>
      <c r="L85" s="19"/>
      <c r="M85" s="19"/>
      <c r="N85" s="19"/>
      <c r="O85" s="19"/>
      <c r="P85" s="19"/>
      <c r="Q85" s="19"/>
      <c r="R85" s="19"/>
      <c r="S85" s="19"/>
      <c r="T85" s="19"/>
      <c r="U85" s="21"/>
      <c r="V85" s="21"/>
      <c r="W85" s="21"/>
      <c r="X85" s="22"/>
      <c r="Y85" s="22"/>
      <c r="Z85" s="22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</row>
    <row r="86" spans="1:43" s="18" customFormat="1">
      <c r="K86" s="5"/>
      <c r="L86" s="19"/>
      <c r="M86" s="19"/>
      <c r="N86" s="19"/>
      <c r="O86" s="19"/>
      <c r="P86" s="19"/>
      <c r="Q86" s="19"/>
      <c r="R86" s="19"/>
      <c r="S86" s="19"/>
      <c r="T86" s="19"/>
      <c r="U86" s="21"/>
      <c r="V86" s="21"/>
      <c r="W86" s="21"/>
      <c r="X86" s="22"/>
      <c r="Y86" s="22"/>
      <c r="Z86" s="22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</row>
    <row r="87" spans="1:43" s="18" customFormat="1">
      <c r="K87" s="5"/>
      <c r="L87" s="19"/>
      <c r="M87" s="19"/>
      <c r="N87" s="19"/>
      <c r="O87" s="19"/>
      <c r="P87" s="19"/>
      <c r="Q87" s="19"/>
      <c r="R87" s="19"/>
      <c r="S87" s="19"/>
      <c r="T87" s="19"/>
      <c r="U87" s="21"/>
      <c r="V87" s="21"/>
      <c r="W87" s="21"/>
      <c r="X87" s="22"/>
      <c r="Y87" s="22"/>
      <c r="Z87" s="22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</row>
    <row r="88" spans="1:43">
      <c r="A88" s="21"/>
      <c r="B88" s="21"/>
      <c r="C88" s="21"/>
      <c r="D88" s="21"/>
      <c r="E88" s="21"/>
      <c r="F88" s="21"/>
      <c r="G88" s="21"/>
      <c r="H88" s="21"/>
      <c r="I88" s="21"/>
      <c r="J88" s="36"/>
    </row>
    <row r="89" spans="1:43">
      <c r="A89" s="21"/>
      <c r="B89" s="21"/>
      <c r="C89" s="21"/>
      <c r="D89" s="21"/>
      <c r="E89" s="21"/>
      <c r="F89" s="21"/>
      <c r="G89" s="21"/>
      <c r="H89" s="21"/>
      <c r="I89" s="21"/>
      <c r="J89" s="36"/>
    </row>
    <row r="90" spans="1:43">
      <c r="A90" s="21"/>
      <c r="B90" s="21"/>
      <c r="C90" s="21"/>
      <c r="D90" s="21"/>
      <c r="E90" s="21"/>
      <c r="F90" s="21"/>
      <c r="G90" s="21"/>
      <c r="H90" s="21"/>
      <c r="I90" s="21"/>
      <c r="J90" s="36"/>
    </row>
    <row r="91" spans="1:43">
      <c r="A91" s="21"/>
      <c r="B91" s="21"/>
      <c r="C91" s="21"/>
      <c r="D91" s="21"/>
      <c r="E91" s="21"/>
      <c r="F91" s="21"/>
      <c r="G91" s="21"/>
      <c r="H91" s="21"/>
      <c r="I91" s="21"/>
      <c r="J91" s="36"/>
      <c r="K91" s="61"/>
      <c r="L91" s="31"/>
      <c r="M91" s="31"/>
      <c r="N91" s="31"/>
      <c r="O91" s="31"/>
      <c r="P91" s="31"/>
      <c r="Q91" s="31"/>
      <c r="R91" s="31"/>
      <c r="S91" s="31">
        <f>S53+T53</f>
        <v>7732197.8868047642</v>
      </c>
      <c r="T91" s="31">
        <f>I29-T53</f>
        <v>-5211274.7252476215</v>
      </c>
      <c r="X91" s="22">
        <v>37863869.329999998</v>
      </c>
      <c r="Y91" s="22">
        <f>Y53+Z53</f>
        <v>14710079.773042858</v>
      </c>
      <c r="Z91" s="22">
        <f>H29-Z53</f>
        <v>10930989.756199999</v>
      </c>
    </row>
    <row r="92" spans="1:43">
      <c r="S92" s="19">
        <f>I50-S53</f>
        <v>-1611909.4847714286</v>
      </c>
      <c r="X92" s="22">
        <f>X53-X91</f>
        <v>-23153789.556957141</v>
      </c>
      <c r="Y92" s="22">
        <f>H50-Y53</f>
        <v>-1133733.2660999987</v>
      </c>
      <c r="Z92" s="22">
        <v>2515028.46</v>
      </c>
    </row>
    <row r="93" spans="1:43">
      <c r="Z93" s="22">
        <f>Z91-Z92</f>
        <v>8415961.2961999997</v>
      </c>
    </row>
    <row r="100" spans="1:43">
      <c r="G100" s="62"/>
    </row>
    <row r="101" spans="1:43">
      <c r="G101" s="62"/>
    </row>
    <row r="102" spans="1:43">
      <c r="G102" s="62"/>
    </row>
    <row r="103" spans="1:43">
      <c r="G103" s="62"/>
    </row>
    <row r="104" spans="1:43" s="19" customFormat="1">
      <c r="A104" s="1"/>
      <c r="B104" s="1"/>
      <c r="C104" s="1"/>
      <c r="D104" s="1"/>
      <c r="E104" s="1"/>
      <c r="F104" s="1"/>
      <c r="G104" s="62"/>
      <c r="J104" s="20"/>
      <c r="K104" s="5"/>
      <c r="U104" s="21"/>
      <c r="V104" s="21"/>
      <c r="W104" s="21"/>
      <c r="X104" s="22"/>
      <c r="Y104" s="22"/>
      <c r="Z104" s="22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</row>
    <row r="105" spans="1:43" s="19" customFormat="1">
      <c r="A105" s="1"/>
      <c r="B105" s="1"/>
      <c r="C105" s="1"/>
      <c r="D105" s="1"/>
      <c r="E105" s="1"/>
      <c r="F105" s="1"/>
      <c r="G105" s="62"/>
      <c r="J105" s="20"/>
      <c r="K105" s="5"/>
      <c r="U105" s="21"/>
      <c r="V105" s="21"/>
      <c r="W105" s="21"/>
      <c r="X105" s="22"/>
      <c r="Y105" s="22"/>
      <c r="Z105" s="22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</row>
    <row r="106" spans="1:43" s="19" customFormat="1">
      <c r="A106" s="1"/>
      <c r="B106" s="1"/>
      <c r="C106" s="1"/>
      <c r="D106" s="1"/>
      <c r="E106" s="1"/>
      <c r="F106" s="1"/>
      <c r="G106" s="62"/>
      <c r="J106" s="20"/>
      <c r="K106" s="5"/>
      <c r="U106" s="21"/>
      <c r="V106" s="21"/>
      <c r="W106" s="21"/>
      <c r="X106" s="22"/>
      <c r="Y106" s="22"/>
      <c r="Z106" s="22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</row>
    <row r="107" spans="1:43">
      <c r="G107" s="62"/>
    </row>
    <row r="108" spans="1:43">
      <c r="G108" s="62"/>
    </row>
    <row r="112" spans="1:43" s="19" customFormat="1">
      <c r="A112" s="1"/>
      <c r="B112" s="1"/>
      <c r="C112" s="1"/>
      <c r="D112" s="1"/>
      <c r="E112" s="1"/>
      <c r="F112" s="1"/>
      <c r="G112" s="20"/>
      <c r="J112" s="20"/>
      <c r="K112" s="5"/>
      <c r="U112" s="21"/>
      <c r="V112" s="21"/>
      <c r="W112" s="21"/>
      <c r="X112" s="22"/>
      <c r="Y112" s="22"/>
      <c r="Z112" s="22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</row>
    <row r="113" spans="1:43" s="19" customFormat="1">
      <c r="A113" s="1"/>
      <c r="B113" s="1"/>
      <c r="C113" s="1"/>
      <c r="D113" s="1"/>
      <c r="E113" s="1"/>
      <c r="F113" s="1"/>
      <c r="G113" s="62"/>
      <c r="J113" s="20"/>
      <c r="K113" s="5"/>
      <c r="U113" s="21"/>
      <c r="V113" s="21"/>
      <c r="W113" s="21"/>
      <c r="X113" s="22"/>
      <c r="Y113" s="22"/>
      <c r="Z113" s="22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</row>
    <row r="117" spans="1:43" s="19" customFormat="1">
      <c r="A117" s="1"/>
      <c r="B117" s="1"/>
      <c r="C117" s="1"/>
      <c r="D117" s="1"/>
      <c r="E117" s="1"/>
      <c r="F117" s="1"/>
      <c r="G117" s="62"/>
      <c r="J117" s="20"/>
      <c r="K117" s="5"/>
      <c r="U117" s="21"/>
      <c r="V117" s="21"/>
      <c r="W117" s="21"/>
      <c r="X117" s="22"/>
      <c r="Y117" s="22"/>
      <c r="Z117" s="22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</row>
    <row r="118" spans="1:43" s="19" customFormat="1">
      <c r="A118" s="1"/>
      <c r="B118" s="1"/>
      <c r="C118" s="1"/>
      <c r="D118" s="1"/>
      <c r="E118" s="1"/>
      <c r="F118" s="1"/>
      <c r="G118" s="62"/>
      <c r="J118" s="20"/>
      <c r="K118" s="5"/>
      <c r="U118" s="21"/>
      <c r="V118" s="21"/>
      <c r="W118" s="21"/>
      <c r="X118" s="22"/>
      <c r="Y118" s="22"/>
      <c r="Z118" s="22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</row>
    <row r="119" spans="1:43" s="19" customFormat="1">
      <c r="A119" s="1"/>
      <c r="B119" s="1"/>
      <c r="C119" s="1"/>
      <c r="D119" s="1"/>
      <c r="E119" s="1"/>
      <c r="F119" s="1"/>
      <c r="G119" s="62"/>
      <c r="J119" s="20"/>
      <c r="K119" s="5"/>
      <c r="U119" s="21"/>
      <c r="V119" s="21"/>
      <c r="W119" s="21"/>
      <c r="X119" s="22"/>
      <c r="Y119" s="22"/>
      <c r="Z119" s="22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</row>
    <row r="121" spans="1:43" s="19" customFormat="1">
      <c r="A121" s="1"/>
      <c r="B121" s="1"/>
      <c r="C121" s="1"/>
      <c r="D121" s="1"/>
      <c r="E121" s="1"/>
      <c r="F121" s="1"/>
      <c r="G121" s="18"/>
      <c r="J121" s="20"/>
      <c r="K121" s="5"/>
      <c r="U121" s="21"/>
      <c r="V121" s="21"/>
      <c r="W121" s="21"/>
      <c r="X121" s="22"/>
      <c r="Y121" s="22"/>
      <c r="Z121" s="22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</row>
    <row r="122" spans="1:43" s="19" customFormat="1">
      <c r="A122" s="1"/>
      <c r="B122" s="1"/>
      <c r="C122" s="1"/>
      <c r="D122" s="1"/>
      <c r="E122" s="1"/>
      <c r="F122" s="1"/>
      <c r="G122" s="20"/>
      <c r="J122" s="20"/>
      <c r="K122" s="5"/>
      <c r="U122" s="21"/>
      <c r="V122" s="21"/>
      <c r="W122" s="21"/>
      <c r="X122" s="22"/>
      <c r="Y122" s="22"/>
      <c r="Z122" s="22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</row>
    <row r="123" spans="1:43" s="19" customFormat="1">
      <c r="A123" s="1"/>
      <c r="B123" s="1"/>
      <c r="C123" s="1"/>
      <c r="D123" s="1"/>
      <c r="E123" s="1"/>
      <c r="F123" s="1"/>
      <c r="G123" s="20"/>
      <c r="J123" s="20"/>
      <c r="K123" s="5"/>
      <c r="U123" s="21"/>
      <c r="V123" s="21"/>
      <c r="W123" s="21"/>
      <c r="X123" s="22"/>
      <c r="Y123" s="22"/>
      <c r="Z123" s="22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</row>
    <row r="124" spans="1:43" s="19" customFormat="1">
      <c r="A124" s="1"/>
      <c r="B124" s="1"/>
      <c r="C124" s="1"/>
      <c r="D124" s="1"/>
      <c r="E124" s="1"/>
      <c r="F124" s="1"/>
      <c r="G124" s="20"/>
      <c r="J124" s="20"/>
      <c r="K124" s="5"/>
      <c r="U124" s="21"/>
      <c r="V124" s="21"/>
      <c r="W124" s="21"/>
      <c r="X124" s="22"/>
      <c r="Y124" s="22"/>
      <c r="Z124" s="22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</row>
    <row r="125" spans="1:43" s="19" customFormat="1">
      <c r="A125" s="1"/>
      <c r="B125" s="1"/>
      <c r="C125" s="1"/>
      <c r="D125" s="1"/>
      <c r="E125" s="1"/>
      <c r="F125" s="1"/>
      <c r="G125" s="4"/>
      <c r="J125" s="20"/>
      <c r="K125" s="5"/>
      <c r="U125" s="21"/>
      <c r="V125" s="21"/>
      <c r="W125" s="21"/>
      <c r="X125" s="22"/>
      <c r="Y125" s="22"/>
      <c r="Z125" s="22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</row>
    <row r="126" spans="1:43" s="19" customFormat="1">
      <c r="A126" s="1"/>
      <c r="B126" s="1"/>
      <c r="C126" s="1"/>
      <c r="D126" s="1"/>
      <c r="E126" s="1"/>
      <c r="F126" s="1"/>
      <c r="G126" s="20"/>
      <c r="J126" s="20"/>
      <c r="K126" s="5"/>
      <c r="U126" s="21"/>
      <c r="V126" s="21"/>
      <c r="W126" s="21"/>
      <c r="X126" s="22"/>
      <c r="Y126" s="22"/>
      <c r="Z126" s="22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</row>
    <row r="127" spans="1:43" s="19" customFormat="1" ht="15.75" thickBot="1">
      <c r="A127" s="1"/>
      <c r="B127" s="1"/>
      <c r="C127" s="1"/>
      <c r="D127" s="1"/>
      <c r="E127" s="1"/>
      <c r="F127" s="1"/>
      <c r="G127" s="63"/>
      <c r="J127" s="20"/>
      <c r="K127" s="5"/>
      <c r="U127" s="21"/>
      <c r="V127" s="21"/>
      <c r="W127" s="21"/>
      <c r="X127" s="22"/>
      <c r="Y127" s="22"/>
      <c r="Z127" s="22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</row>
    <row r="128" spans="1:43" s="19" customFormat="1" ht="15.75" thickTop="1">
      <c r="A128" s="1"/>
      <c r="B128" s="1"/>
      <c r="C128" s="1"/>
      <c r="D128" s="1"/>
      <c r="E128" s="1"/>
      <c r="F128" s="1"/>
      <c r="G128" s="18"/>
      <c r="J128" s="20"/>
      <c r="K128" s="5"/>
      <c r="U128" s="21"/>
      <c r="V128" s="21"/>
      <c r="W128" s="21"/>
      <c r="X128" s="22"/>
      <c r="Y128" s="22"/>
      <c r="Z128" s="22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</row>
    <row r="129" spans="1:43" s="19" customFormat="1">
      <c r="A129" s="1"/>
      <c r="B129" s="1"/>
      <c r="C129" s="1"/>
      <c r="D129" s="1"/>
      <c r="E129" s="1"/>
      <c r="F129" s="1"/>
      <c r="G129" s="62"/>
      <c r="J129" s="20"/>
      <c r="K129" s="5"/>
      <c r="U129" s="21"/>
      <c r="V129" s="21"/>
      <c r="W129" s="21"/>
      <c r="X129" s="22"/>
      <c r="Y129" s="22"/>
      <c r="Z129" s="22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</row>
    <row r="131" spans="1:43" s="19" customFormat="1">
      <c r="A131" s="1"/>
      <c r="B131" s="1"/>
      <c r="C131" s="1"/>
      <c r="D131" s="1"/>
      <c r="E131" s="1"/>
      <c r="F131" s="1"/>
      <c r="G131" s="62"/>
      <c r="J131" s="20"/>
      <c r="K131" s="5"/>
      <c r="U131" s="21"/>
      <c r="V131" s="21"/>
      <c r="W131" s="21"/>
      <c r="X131" s="22"/>
      <c r="Y131" s="22"/>
      <c r="Z131" s="22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</row>
    <row r="132" spans="1:43" s="19" customFormat="1">
      <c r="A132" s="1"/>
      <c r="B132" s="1"/>
      <c r="C132" s="1"/>
      <c r="D132" s="1"/>
      <c r="E132" s="1"/>
      <c r="F132" s="1"/>
      <c r="G132" s="38"/>
      <c r="J132" s="20"/>
      <c r="K132" s="5"/>
      <c r="U132" s="21"/>
      <c r="V132" s="21"/>
      <c r="W132" s="21"/>
      <c r="X132" s="22"/>
      <c r="Y132" s="22"/>
      <c r="Z132" s="22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</row>
  </sheetData>
  <dataConsolidate/>
  <printOptions horizontalCentered="1"/>
  <pageMargins left="0" right="0" top="0.5" bottom="0" header="0" footer="0"/>
  <pageSetup paperSize="136" scale="85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65"/>
  <sheetViews>
    <sheetView topLeftCell="C347" workbookViewId="0">
      <selection activeCell="G352" sqref="G352"/>
    </sheetView>
  </sheetViews>
  <sheetFormatPr defaultRowHeight="15"/>
  <cols>
    <col min="1" max="1" width="15" hidden="1" customWidth="1"/>
    <col min="2" max="2" width="12.85546875" customWidth="1"/>
    <col min="3" max="3" width="47.28515625" customWidth="1"/>
    <col min="4" max="4" width="58.5703125" customWidth="1"/>
    <col min="5" max="5" width="18.140625" customWidth="1"/>
    <col min="6" max="8" width="15.42578125" style="73" customWidth="1"/>
  </cols>
  <sheetData>
    <row r="1" spans="1:9" ht="16.5">
      <c r="B1" s="119" t="s">
        <v>76</v>
      </c>
      <c r="C1" s="119"/>
      <c r="D1" s="72"/>
    </row>
    <row r="2" spans="1:9" ht="16.5">
      <c r="B2" s="72"/>
      <c r="C2" s="72"/>
      <c r="D2" s="72"/>
    </row>
    <row r="3" spans="1:9" ht="16.5">
      <c r="B3" s="74" t="s">
        <v>77</v>
      </c>
      <c r="C3" s="74" t="s">
        <v>78</v>
      </c>
      <c r="D3" s="74" t="s">
        <v>0</v>
      </c>
      <c r="E3" s="74" t="s">
        <v>79</v>
      </c>
      <c r="F3" s="75" t="s">
        <v>80</v>
      </c>
      <c r="G3" s="75" t="s">
        <v>81</v>
      </c>
      <c r="H3" s="75" t="s">
        <v>82</v>
      </c>
    </row>
    <row r="4" spans="1:9">
      <c r="A4" s="76"/>
      <c r="B4" s="77">
        <v>43529</v>
      </c>
      <c r="C4" s="78" t="s">
        <v>83</v>
      </c>
      <c r="D4" s="78" t="s">
        <v>84</v>
      </c>
      <c r="E4" s="78" t="s">
        <v>85</v>
      </c>
      <c r="F4" s="79">
        <v>57000</v>
      </c>
      <c r="G4" s="80">
        <f t="shared" ref="G4:G67" si="0">F4/1.12</f>
        <v>50892.857142857138</v>
      </c>
      <c r="H4" s="80">
        <f t="shared" ref="H4:H67" si="1">G4*0.12</f>
        <v>6107.142857142856</v>
      </c>
      <c r="I4" t="s">
        <v>86</v>
      </c>
    </row>
    <row r="5" spans="1:9">
      <c r="A5" s="76"/>
      <c r="B5" s="77">
        <v>43529</v>
      </c>
      <c r="C5" s="78" t="s">
        <v>83</v>
      </c>
      <c r="D5" s="78" t="s">
        <v>84</v>
      </c>
      <c r="E5" s="78" t="s">
        <v>85</v>
      </c>
      <c r="F5" s="79">
        <v>57000</v>
      </c>
      <c r="G5" s="80">
        <f t="shared" si="0"/>
        <v>50892.857142857138</v>
      </c>
      <c r="H5" s="80">
        <f t="shared" si="1"/>
        <v>6107.142857142856</v>
      </c>
      <c r="I5" t="s">
        <v>86</v>
      </c>
    </row>
    <row r="6" spans="1:9">
      <c r="A6" s="76"/>
      <c r="B6" s="77">
        <v>43549</v>
      </c>
      <c r="C6" s="78" t="s">
        <v>87</v>
      </c>
      <c r="D6" s="78" t="s">
        <v>88</v>
      </c>
      <c r="E6" s="78" t="s">
        <v>89</v>
      </c>
      <c r="F6" s="79">
        <v>42</v>
      </c>
      <c r="G6" s="80">
        <f t="shared" si="0"/>
        <v>37.499999999999993</v>
      </c>
      <c r="H6" s="80">
        <f t="shared" si="1"/>
        <v>4.4999999999999991</v>
      </c>
      <c r="I6" t="s">
        <v>90</v>
      </c>
    </row>
    <row r="7" spans="1:9">
      <c r="A7" s="76"/>
      <c r="B7" s="77">
        <v>43545</v>
      </c>
      <c r="C7" s="78" t="s">
        <v>91</v>
      </c>
      <c r="D7" s="78" t="s">
        <v>92</v>
      </c>
      <c r="E7" s="78" t="s">
        <v>93</v>
      </c>
      <c r="F7" s="79">
        <v>1706.15</v>
      </c>
      <c r="G7" s="80">
        <f t="shared" si="0"/>
        <v>1523.3482142857142</v>
      </c>
      <c r="H7" s="80">
        <f t="shared" si="1"/>
        <v>182.8017857142857</v>
      </c>
      <c r="I7" t="s">
        <v>9</v>
      </c>
    </row>
    <row r="8" spans="1:9">
      <c r="A8" s="76"/>
      <c r="B8" s="77">
        <v>43545</v>
      </c>
      <c r="C8" s="78" t="s">
        <v>94</v>
      </c>
      <c r="D8" s="78" t="s">
        <v>92</v>
      </c>
      <c r="E8" s="78" t="s">
        <v>93</v>
      </c>
      <c r="F8" s="79">
        <v>224.7</v>
      </c>
      <c r="G8" s="80">
        <f t="shared" si="0"/>
        <v>200.62499999999997</v>
      </c>
      <c r="H8" s="80">
        <f t="shared" si="1"/>
        <v>24.074999999999996</v>
      </c>
      <c r="I8" t="s">
        <v>9</v>
      </c>
    </row>
    <row r="9" spans="1:9">
      <c r="A9" s="77"/>
      <c r="B9" s="77">
        <v>43545</v>
      </c>
      <c r="C9" s="78" t="s">
        <v>91</v>
      </c>
      <c r="D9" s="78" t="s">
        <v>92</v>
      </c>
      <c r="E9" s="78" t="s">
        <v>93</v>
      </c>
      <c r="F9" s="79">
        <v>1706.15</v>
      </c>
      <c r="G9" s="80">
        <f t="shared" si="0"/>
        <v>1523.3482142857142</v>
      </c>
      <c r="H9" s="80">
        <f t="shared" si="1"/>
        <v>182.8017857142857</v>
      </c>
      <c r="I9" t="s">
        <v>9</v>
      </c>
    </row>
    <row r="10" spans="1:9">
      <c r="A10" s="77"/>
      <c r="B10" s="77">
        <v>43545</v>
      </c>
      <c r="C10" s="78" t="s">
        <v>94</v>
      </c>
      <c r="D10" s="78" t="s">
        <v>92</v>
      </c>
      <c r="E10" s="78" t="s">
        <v>93</v>
      </c>
      <c r="F10" s="79">
        <v>224.7</v>
      </c>
      <c r="G10" s="80">
        <f t="shared" si="0"/>
        <v>200.62499999999997</v>
      </c>
      <c r="H10" s="80">
        <f t="shared" si="1"/>
        <v>24.074999999999996</v>
      </c>
      <c r="I10" t="s">
        <v>9</v>
      </c>
    </row>
    <row r="11" spans="1:9">
      <c r="A11" s="77"/>
      <c r="B11" s="81"/>
      <c r="C11" s="78" t="s">
        <v>1</v>
      </c>
      <c r="D11" s="78" t="s">
        <v>95</v>
      </c>
      <c r="E11" s="78" t="s">
        <v>93</v>
      </c>
      <c r="F11" s="82">
        <f>5237.08+23.71</f>
        <v>5260.79</v>
      </c>
      <c r="G11" s="80">
        <f t="shared" si="0"/>
        <v>4697.1339285714284</v>
      </c>
      <c r="H11" s="80">
        <f t="shared" si="1"/>
        <v>563.65607142857141</v>
      </c>
      <c r="I11" t="s">
        <v>9</v>
      </c>
    </row>
    <row r="12" spans="1:9">
      <c r="A12" s="77"/>
      <c r="B12" s="77">
        <v>43558</v>
      </c>
      <c r="C12" s="78" t="s">
        <v>96</v>
      </c>
      <c r="D12" s="78" t="s">
        <v>97</v>
      </c>
      <c r="E12" s="78" t="s">
        <v>98</v>
      </c>
      <c r="F12" s="83">
        <v>105</v>
      </c>
      <c r="G12" s="80">
        <f t="shared" si="0"/>
        <v>93.749999999999986</v>
      </c>
      <c r="H12" s="80">
        <f t="shared" si="1"/>
        <v>11.249999999999998</v>
      </c>
      <c r="I12" t="s">
        <v>90</v>
      </c>
    </row>
    <row r="13" spans="1:9">
      <c r="A13" s="77"/>
      <c r="B13" s="77">
        <v>43558</v>
      </c>
      <c r="C13" s="78" t="s">
        <v>96</v>
      </c>
      <c r="D13" s="78" t="s">
        <v>97</v>
      </c>
      <c r="E13" s="78" t="s">
        <v>98</v>
      </c>
      <c r="F13" s="83">
        <v>105</v>
      </c>
      <c r="G13" s="80">
        <f t="shared" si="0"/>
        <v>93.749999999999986</v>
      </c>
      <c r="H13" s="80">
        <f t="shared" si="1"/>
        <v>11.249999999999998</v>
      </c>
      <c r="I13" t="s">
        <v>90</v>
      </c>
    </row>
    <row r="14" spans="1:9">
      <c r="A14" s="77"/>
      <c r="B14" s="77">
        <v>43557</v>
      </c>
      <c r="C14" s="78" t="s">
        <v>99</v>
      </c>
      <c r="D14" s="78"/>
      <c r="E14" s="78" t="s">
        <v>100</v>
      </c>
      <c r="F14" s="83">
        <v>2119</v>
      </c>
      <c r="G14" s="80">
        <f t="shared" si="0"/>
        <v>1891.9642857142856</v>
      </c>
      <c r="H14" s="80">
        <f t="shared" si="1"/>
        <v>227.03571428571425</v>
      </c>
      <c r="I14" t="s">
        <v>101</v>
      </c>
    </row>
    <row r="15" spans="1:9">
      <c r="A15" s="77"/>
      <c r="B15" s="77">
        <v>43534</v>
      </c>
      <c r="C15" s="78" t="s">
        <v>102</v>
      </c>
      <c r="D15" s="78" t="s">
        <v>103</v>
      </c>
      <c r="E15" s="78" t="s">
        <v>104</v>
      </c>
      <c r="F15" s="79">
        <v>477.71</v>
      </c>
      <c r="G15" s="80">
        <f t="shared" si="0"/>
        <v>426.52678571428567</v>
      </c>
      <c r="H15" s="80">
        <f t="shared" si="1"/>
        <v>51.183214285714278</v>
      </c>
      <c r="I15" t="s">
        <v>101</v>
      </c>
    </row>
    <row r="16" spans="1:9">
      <c r="A16" s="77"/>
      <c r="B16" s="77">
        <v>43534</v>
      </c>
      <c r="C16" s="78" t="s">
        <v>102</v>
      </c>
      <c r="D16" s="78" t="s">
        <v>103</v>
      </c>
      <c r="E16" s="78" t="s">
        <v>104</v>
      </c>
      <c r="F16" s="79">
        <f>1535.15+105.48</f>
        <v>1640.63</v>
      </c>
      <c r="G16" s="80">
        <f t="shared" si="0"/>
        <v>1464.8482142857142</v>
      </c>
      <c r="H16" s="80">
        <f t="shared" si="1"/>
        <v>175.78178571428569</v>
      </c>
      <c r="I16" t="s">
        <v>101</v>
      </c>
    </row>
    <row r="17" spans="1:9">
      <c r="A17" s="77"/>
      <c r="B17" s="77">
        <v>43552</v>
      </c>
      <c r="C17" s="78" t="s">
        <v>105</v>
      </c>
      <c r="D17" s="78" t="s">
        <v>106</v>
      </c>
      <c r="E17" s="78" t="s">
        <v>107</v>
      </c>
      <c r="F17" s="79">
        <v>150</v>
      </c>
      <c r="G17" s="80">
        <f t="shared" si="0"/>
        <v>133.92857142857142</v>
      </c>
      <c r="H17" s="80">
        <f t="shared" si="1"/>
        <v>16.071428571428569</v>
      </c>
      <c r="I17" t="s">
        <v>108</v>
      </c>
    </row>
    <row r="18" spans="1:9">
      <c r="A18" s="77"/>
      <c r="B18" s="77">
        <v>43528</v>
      </c>
      <c r="C18" s="78" t="s">
        <v>109</v>
      </c>
      <c r="D18" s="78" t="s">
        <v>110</v>
      </c>
      <c r="E18" s="78" t="s">
        <v>111</v>
      </c>
      <c r="F18" s="79">
        <v>2184</v>
      </c>
      <c r="G18" s="80">
        <f t="shared" si="0"/>
        <v>1949.9999999999998</v>
      </c>
      <c r="H18" s="80">
        <f t="shared" si="1"/>
        <v>233.99999999999997</v>
      </c>
      <c r="I18" t="s">
        <v>86</v>
      </c>
    </row>
    <row r="19" spans="1:9">
      <c r="A19" s="77"/>
      <c r="B19" s="77">
        <v>43528</v>
      </c>
      <c r="C19" s="78" t="s">
        <v>109</v>
      </c>
      <c r="D19" s="78" t="s">
        <v>110</v>
      </c>
      <c r="E19" s="78" t="s">
        <v>111</v>
      </c>
      <c r="F19" s="79">
        <v>2184</v>
      </c>
      <c r="G19" s="80">
        <f t="shared" si="0"/>
        <v>1949.9999999999998</v>
      </c>
      <c r="H19" s="80">
        <f t="shared" si="1"/>
        <v>233.99999999999997</v>
      </c>
      <c r="I19" t="s">
        <v>86</v>
      </c>
    </row>
    <row r="20" spans="1:9">
      <c r="A20" s="77"/>
      <c r="B20" s="77">
        <v>43526</v>
      </c>
      <c r="C20" s="78" t="s">
        <v>112</v>
      </c>
      <c r="D20" s="78" t="s">
        <v>113</v>
      </c>
      <c r="E20" s="78" t="s">
        <v>114</v>
      </c>
      <c r="F20" s="79">
        <v>2057</v>
      </c>
      <c r="G20" s="80">
        <f t="shared" si="0"/>
        <v>1836.6071428571427</v>
      </c>
      <c r="H20" s="80">
        <f t="shared" si="1"/>
        <v>220.39285714285711</v>
      </c>
      <c r="I20" t="s">
        <v>86</v>
      </c>
    </row>
    <row r="21" spans="1:9">
      <c r="A21" s="77"/>
      <c r="B21" s="77">
        <v>43526</v>
      </c>
      <c r="C21" s="78" t="s">
        <v>112</v>
      </c>
      <c r="D21" s="78" t="s">
        <v>113</v>
      </c>
      <c r="E21" s="78" t="s">
        <v>114</v>
      </c>
      <c r="F21" s="79">
        <v>2057</v>
      </c>
      <c r="G21" s="80">
        <f t="shared" si="0"/>
        <v>1836.6071428571427</v>
      </c>
      <c r="H21" s="80">
        <f t="shared" si="1"/>
        <v>220.39285714285711</v>
      </c>
      <c r="I21" t="s">
        <v>86</v>
      </c>
    </row>
    <row r="22" spans="1:9">
      <c r="A22" s="77"/>
      <c r="B22" s="77">
        <v>43585</v>
      </c>
      <c r="C22" s="78" t="s">
        <v>115</v>
      </c>
      <c r="D22" s="78" t="s">
        <v>116</v>
      </c>
      <c r="E22" s="78" t="s">
        <v>117</v>
      </c>
      <c r="F22" s="83">
        <v>48000</v>
      </c>
      <c r="G22" s="80">
        <f t="shared" si="0"/>
        <v>42857.142857142855</v>
      </c>
      <c r="H22" s="80">
        <f t="shared" si="1"/>
        <v>5142.8571428571422</v>
      </c>
      <c r="I22" t="s">
        <v>86</v>
      </c>
    </row>
    <row r="23" spans="1:9">
      <c r="A23" s="77"/>
      <c r="B23" s="77">
        <v>43585</v>
      </c>
      <c r="C23" s="78" t="s">
        <v>115</v>
      </c>
      <c r="D23" s="78" t="s">
        <v>116</v>
      </c>
      <c r="E23" s="78" t="s">
        <v>117</v>
      </c>
      <c r="F23" s="83">
        <v>48000</v>
      </c>
      <c r="G23" s="80">
        <f t="shared" si="0"/>
        <v>42857.142857142855</v>
      </c>
      <c r="H23" s="80">
        <f t="shared" si="1"/>
        <v>5142.8571428571422</v>
      </c>
      <c r="I23" t="s">
        <v>86</v>
      </c>
    </row>
    <row r="24" spans="1:9">
      <c r="A24" s="77"/>
      <c r="B24" s="77">
        <v>43643</v>
      </c>
      <c r="C24" s="78" t="s">
        <v>115</v>
      </c>
      <c r="D24" s="78" t="s">
        <v>116</v>
      </c>
      <c r="E24" s="78" t="s">
        <v>117</v>
      </c>
      <c r="F24" s="82">
        <v>48000</v>
      </c>
      <c r="G24" s="80">
        <f t="shared" si="0"/>
        <v>42857.142857142855</v>
      </c>
      <c r="H24" s="80">
        <f t="shared" si="1"/>
        <v>5142.8571428571422</v>
      </c>
      <c r="I24" t="s">
        <v>86</v>
      </c>
    </row>
    <row r="25" spans="1:9">
      <c r="A25" s="77"/>
      <c r="B25" s="77">
        <v>43643</v>
      </c>
      <c r="C25" s="78" t="s">
        <v>115</v>
      </c>
      <c r="D25" s="78" t="s">
        <v>116</v>
      </c>
      <c r="E25" s="78" t="s">
        <v>117</v>
      </c>
      <c r="F25" s="82">
        <v>44000</v>
      </c>
      <c r="G25" s="80">
        <f t="shared" si="0"/>
        <v>39285.714285714283</v>
      </c>
      <c r="H25" s="80">
        <f t="shared" si="1"/>
        <v>4714.2857142857138</v>
      </c>
      <c r="I25" t="s">
        <v>86</v>
      </c>
    </row>
    <row r="26" spans="1:9">
      <c r="A26" s="77"/>
      <c r="B26" s="77">
        <v>43547</v>
      </c>
      <c r="C26" s="78" t="s">
        <v>118</v>
      </c>
      <c r="D26" s="78" t="s">
        <v>119</v>
      </c>
      <c r="E26" s="78" t="s">
        <v>120</v>
      </c>
      <c r="F26" s="79">
        <v>599</v>
      </c>
      <c r="G26" s="80">
        <f t="shared" si="0"/>
        <v>534.82142857142856</v>
      </c>
      <c r="H26" s="80">
        <f t="shared" si="1"/>
        <v>64.178571428571431</v>
      </c>
      <c r="I26" t="s">
        <v>90</v>
      </c>
    </row>
    <row r="27" spans="1:9">
      <c r="A27" s="77"/>
      <c r="B27" s="77">
        <v>43529</v>
      </c>
      <c r="C27" s="78" t="s">
        <v>121</v>
      </c>
      <c r="D27" s="78" t="s">
        <v>122</v>
      </c>
      <c r="E27" s="78" t="s">
        <v>123</v>
      </c>
      <c r="F27" s="79">
        <v>334</v>
      </c>
      <c r="G27" s="80">
        <f t="shared" si="0"/>
        <v>298.21428571428567</v>
      </c>
      <c r="H27" s="80">
        <f t="shared" si="1"/>
        <v>35.785714285714278</v>
      </c>
      <c r="I27" t="s">
        <v>90</v>
      </c>
    </row>
    <row r="28" spans="1:9">
      <c r="A28" s="77"/>
      <c r="B28" s="77">
        <v>43529</v>
      </c>
      <c r="C28" s="78" t="s">
        <v>121</v>
      </c>
      <c r="D28" s="78" t="s">
        <v>122</v>
      </c>
      <c r="E28" s="78" t="s">
        <v>123</v>
      </c>
      <c r="F28" s="79">
        <v>334</v>
      </c>
      <c r="G28" s="80">
        <f t="shared" si="0"/>
        <v>298.21428571428567</v>
      </c>
      <c r="H28" s="80">
        <f t="shared" si="1"/>
        <v>35.785714285714278</v>
      </c>
      <c r="I28" t="s">
        <v>90</v>
      </c>
    </row>
    <row r="29" spans="1:9">
      <c r="A29" s="77"/>
      <c r="B29" s="77">
        <v>43553</v>
      </c>
      <c r="C29" s="78" t="s">
        <v>124</v>
      </c>
      <c r="D29" s="78" t="s">
        <v>125</v>
      </c>
      <c r="E29" s="78" t="s">
        <v>126</v>
      </c>
      <c r="F29" s="79">
        <v>24</v>
      </c>
      <c r="G29" s="80">
        <f t="shared" si="0"/>
        <v>21.428571428571427</v>
      </c>
      <c r="H29" s="80">
        <f t="shared" si="1"/>
        <v>2.5714285714285712</v>
      </c>
      <c r="I29" t="s">
        <v>108</v>
      </c>
    </row>
    <row r="30" spans="1:9">
      <c r="A30" s="77"/>
      <c r="B30" s="77">
        <v>43552</v>
      </c>
      <c r="C30" s="78" t="s">
        <v>127</v>
      </c>
      <c r="D30" s="78" t="s">
        <v>128</v>
      </c>
      <c r="E30" s="78" t="s">
        <v>129</v>
      </c>
      <c r="F30" s="79">
        <v>48000</v>
      </c>
      <c r="G30" s="80">
        <f t="shared" si="0"/>
        <v>42857.142857142855</v>
      </c>
      <c r="H30" s="80">
        <f t="shared" si="1"/>
        <v>5142.8571428571422</v>
      </c>
      <c r="I30" t="s">
        <v>86</v>
      </c>
    </row>
    <row r="31" spans="1:9">
      <c r="A31" s="77"/>
      <c r="B31" s="77">
        <v>43528</v>
      </c>
      <c r="C31" s="78" t="s">
        <v>5</v>
      </c>
      <c r="D31" s="78" t="s">
        <v>130</v>
      </c>
      <c r="E31" s="78" t="s">
        <v>131</v>
      </c>
      <c r="F31" s="79">
        <v>162.5</v>
      </c>
      <c r="G31" s="80">
        <f t="shared" si="0"/>
        <v>145.08928571428569</v>
      </c>
      <c r="H31" s="80">
        <f t="shared" si="1"/>
        <v>17.410714285714281</v>
      </c>
      <c r="I31" t="s">
        <v>132</v>
      </c>
    </row>
    <row r="32" spans="1:9">
      <c r="A32" s="77"/>
      <c r="B32" s="77">
        <v>43528</v>
      </c>
      <c r="C32" s="78" t="s">
        <v>5</v>
      </c>
      <c r="D32" s="78" t="s">
        <v>130</v>
      </c>
      <c r="E32" s="78" t="s">
        <v>131</v>
      </c>
      <c r="F32" s="79">
        <v>162.5</v>
      </c>
      <c r="G32" s="80">
        <f t="shared" si="0"/>
        <v>145.08928571428569</v>
      </c>
      <c r="H32" s="80">
        <f t="shared" si="1"/>
        <v>17.410714285714281</v>
      </c>
      <c r="I32" t="s">
        <v>132</v>
      </c>
    </row>
    <row r="33" spans="1:9">
      <c r="A33" s="77"/>
      <c r="B33" s="77">
        <v>43558</v>
      </c>
      <c r="C33" s="78" t="s">
        <v>5</v>
      </c>
      <c r="D33" s="78" t="s">
        <v>133</v>
      </c>
      <c r="E33" s="78" t="s">
        <v>134</v>
      </c>
      <c r="F33" s="83">
        <v>942</v>
      </c>
      <c r="G33" s="80">
        <f t="shared" si="0"/>
        <v>841.07142857142844</v>
      </c>
      <c r="H33" s="80">
        <f t="shared" si="1"/>
        <v>100.9285714285714</v>
      </c>
      <c r="I33" t="s">
        <v>132</v>
      </c>
    </row>
    <row r="34" spans="1:9">
      <c r="A34" s="77"/>
      <c r="B34" s="77">
        <v>43547</v>
      </c>
      <c r="C34" s="78" t="s">
        <v>5</v>
      </c>
      <c r="D34" s="78"/>
      <c r="E34" s="78" t="s">
        <v>135</v>
      </c>
      <c r="F34" s="79">
        <v>157.5</v>
      </c>
      <c r="G34" s="80">
        <f t="shared" si="0"/>
        <v>140.625</v>
      </c>
      <c r="H34" s="80">
        <f t="shared" si="1"/>
        <v>16.875</v>
      </c>
      <c r="I34" t="s">
        <v>132</v>
      </c>
    </row>
    <row r="35" spans="1:9">
      <c r="A35" s="77"/>
      <c r="B35" s="77">
        <v>43558</v>
      </c>
      <c r="C35" s="78" t="s">
        <v>136</v>
      </c>
      <c r="D35" s="78" t="s">
        <v>137</v>
      </c>
      <c r="E35" s="78" t="s">
        <v>138</v>
      </c>
      <c r="F35" s="83">
        <v>50</v>
      </c>
      <c r="G35" s="80">
        <f t="shared" si="0"/>
        <v>44.642857142857139</v>
      </c>
      <c r="H35" s="80">
        <f t="shared" si="1"/>
        <v>5.3571428571428568</v>
      </c>
      <c r="I35" t="s">
        <v>90</v>
      </c>
    </row>
    <row r="36" spans="1:9">
      <c r="A36" s="77"/>
      <c r="B36" s="77">
        <v>43555</v>
      </c>
      <c r="C36" s="78" t="s">
        <v>139</v>
      </c>
      <c r="D36" s="78" t="s">
        <v>140</v>
      </c>
      <c r="E36" s="78" t="s">
        <v>141</v>
      </c>
      <c r="F36" s="79">
        <v>780</v>
      </c>
      <c r="G36" s="80">
        <f t="shared" si="0"/>
        <v>696.42857142857133</v>
      </c>
      <c r="H36" s="80">
        <f t="shared" si="1"/>
        <v>83.571428571428555</v>
      </c>
      <c r="I36" t="s">
        <v>90</v>
      </c>
    </row>
    <row r="37" spans="1:9">
      <c r="A37" s="77"/>
      <c r="B37" s="77">
        <v>43547</v>
      </c>
      <c r="C37" s="78" t="s">
        <v>136</v>
      </c>
      <c r="D37" s="78" t="s">
        <v>142</v>
      </c>
      <c r="E37" s="78" t="s">
        <v>143</v>
      </c>
      <c r="F37" s="79">
        <v>170</v>
      </c>
      <c r="G37" s="80">
        <f t="shared" si="0"/>
        <v>151.78571428571428</v>
      </c>
      <c r="H37" s="80">
        <f t="shared" si="1"/>
        <v>18.214285714285712</v>
      </c>
      <c r="I37" t="s">
        <v>90</v>
      </c>
    </row>
    <row r="38" spans="1:9">
      <c r="A38" s="77"/>
      <c r="B38" s="77">
        <v>43551</v>
      </c>
      <c r="C38" s="78" t="s">
        <v>136</v>
      </c>
      <c r="D38" s="78" t="s">
        <v>140</v>
      </c>
      <c r="E38" s="78" t="s">
        <v>144</v>
      </c>
      <c r="F38" s="79">
        <v>140</v>
      </c>
      <c r="G38" s="80">
        <f t="shared" si="0"/>
        <v>124.99999999999999</v>
      </c>
      <c r="H38" s="80">
        <f t="shared" si="1"/>
        <v>14.999999999999998</v>
      </c>
      <c r="I38" t="s">
        <v>90</v>
      </c>
    </row>
    <row r="39" spans="1:9">
      <c r="A39" s="77"/>
      <c r="B39" s="77">
        <v>43536</v>
      </c>
      <c r="C39" s="78" t="s">
        <v>145</v>
      </c>
      <c r="D39" s="78" t="s">
        <v>146</v>
      </c>
      <c r="E39" s="78" t="s">
        <v>147</v>
      </c>
      <c r="F39" s="79">
        <v>209</v>
      </c>
      <c r="G39" s="80">
        <f t="shared" si="0"/>
        <v>186.60714285714283</v>
      </c>
      <c r="H39" s="80">
        <f t="shared" si="1"/>
        <v>22.392857142857139</v>
      </c>
      <c r="I39" t="s">
        <v>90</v>
      </c>
    </row>
    <row r="40" spans="1:9">
      <c r="A40" s="77"/>
      <c r="B40" s="77">
        <v>43536</v>
      </c>
      <c r="C40" s="78" t="s">
        <v>145</v>
      </c>
      <c r="D40" s="78" t="s">
        <v>146</v>
      </c>
      <c r="E40" s="78" t="s">
        <v>147</v>
      </c>
      <c r="F40" s="79">
        <v>209</v>
      </c>
      <c r="G40" s="80">
        <f t="shared" si="0"/>
        <v>186.60714285714283</v>
      </c>
      <c r="H40" s="80">
        <f t="shared" si="1"/>
        <v>22.392857142857139</v>
      </c>
      <c r="I40" t="s">
        <v>90</v>
      </c>
    </row>
    <row r="41" spans="1:9">
      <c r="A41" s="77"/>
      <c r="B41" s="77">
        <v>43551</v>
      </c>
      <c r="C41" s="78" t="s">
        <v>148</v>
      </c>
      <c r="D41" s="78"/>
      <c r="E41" s="78" t="s">
        <v>149</v>
      </c>
      <c r="F41" s="79">
        <v>3237</v>
      </c>
      <c r="G41" s="80">
        <f t="shared" si="0"/>
        <v>2890.1785714285711</v>
      </c>
      <c r="H41" s="80">
        <f t="shared" si="1"/>
        <v>346.8214285714285</v>
      </c>
      <c r="I41" t="s">
        <v>150</v>
      </c>
    </row>
    <row r="42" spans="1:9">
      <c r="A42" s="77"/>
      <c r="B42" s="77">
        <v>43551</v>
      </c>
      <c r="C42" s="78" t="s">
        <v>148</v>
      </c>
      <c r="D42" s="78"/>
      <c r="E42" s="78" t="s">
        <v>149</v>
      </c>
      <c r="F42" s="79">
        <v>237</v>
      </c>
      <c r="G42" s="80">
        <f t="shared" si="0"/>
        <v>211.60714285714283</v>
      </c>
      <c r="H42" s="80">
        <f t="shared" si="1"/>
        <v>25.392857142857139</v>
      </c>
      <c r="I42" t="s">
        <v>150</v>
      </c>
    </row>
    <row r="43" spans="1:9">
      <c r="A43" s="77"/>
      <c r="B43" s="77">
        <v>43538</v>
      </c>
      <c r="C43" s="78" t="s">
        <v>151</v>
      </c>
      <c r="D43" s="78" t="s">
        <v>152</v>
      </c>
      <c r="E43" s="78" t="s">
        <v>153</v>
      </c>
      <c r="F43" s="79">
        <v>330</v>
      </c>
      <c r="G43" s="80">
        <f t="shared" si="0"/>
        <v>294.64285714285711</v>
      </c>
      <c r="H43" s="80">
        <f t="shared" si="1"/>
        <v>35.357142857142854</v>
      </c>
      <c r="I43" t="s">
        <v>150</v>
      </c>
    </row>
    <row r="44" spans="1:9">
      <c r="A44" s="77"/>
      <c r="B44" s="77">
        <v>43564</v>
      </c>
      <c r="C44" s="78" t="s">
        <v>154</v>
      </c>
      <c r="D44" s="78" t="s">
        <v>155</v>
      </c>
      <c r="E44" s="78" t="s">
        <v>156</v>
      </c>
      <c r="F44" s="83">
        <v>112</v>
      </c>
      <c r="G44" s="80">
        <f t="shared" si="0"/>
        <v>99.999999999999986</v>
      </c>
      <c r="H44" s="80">
        <f t="shared" si="1"/>
        <v>11.999999999999998</v>
      </c>
      <c r="I44" t="s">
        <v>108</v>
      </c>
    </row>
    <row r="45" spans="1:9">
      <c r="A45" s="77"/>
      <c r="B45" s="77">
        <v>43539</v>
      </c>
      <c r="C45" s="78" t="s">
        <v>157</v>
      </c>
      <c r="D45" s="78" t="s">
        <v>158</v>
      </c>
      <c r="E45" s="78" t="s">
        <v>159</v>
      </c>
      <c r="F45" s="79">
        <v>50</v>
      </c>
      <c r="G45" s="80">
        <f t="shared" si="0"/>
        <v>44.642857142857139</v>
      </c>
      <c r="H45" s="80">
        <f t="shared" si="1"/>
        <v>5.3571428571428568</v>
      </c>
      <c r="I45" t="s">
        <v>108</v>
      </c>
    </row>
    <row r="46" spans="1:9">
      <c r="A46" s="77"/>
      <c r="B46" s="77">
        <v>43539</v>
      </c>
      <c r="C46" s="78" t="s">
        <v>157</v>
      </c>
      <c r="D46" s="78" t="s">
        <v>158</v>
      </c>
      <c r="E46" s="78" t="s">
        <v>159</v>
      </c>
      <c r="F46" s="79">
        <v>50</v>
      </c>
      <c r="G46" s="80">
        <f t="shared" si="0"/>
        <v>44.642857142857139</v>
      </c>
      <c r="H46" s="80">
        <f t="shared" si="1"/>
        <v>5.3571428571428568</v>
      </c>
      <c r="I46" t="s">
        <v>108</v>
      </c>
    </row>
    <row r="47" spans="1:9">
      <c r="A47" s="81"/>
      <c r="B47" s="77">
        <v>43564</v>
      </c>
      <c r="C47" s="78" t="s">
        <v>160</v>
      </c>
      <c r="D47" s="78" t="s">
        <v>161</v>
      </c>
      <c r="E47" s="78" t="s">
        <v>162</v>
      </c>
      <c r="F47" s="83">
        <v>559</v>
      </c>
      <c r="G47" s="80">
        <f t="shared" si="0"/>
        <v>499.10714285714283</v>
      </c>
      <c r="H47" s="80">
        <f t="shared" si="1"/>
        <v>59.892857142857139</v>
      </c>
      <c r="I47" t="s">
        <v>90</v>
      </c>
    </row>
    <row r="48" spans="1:9">
      <c r="A48" s="81"/>
      <c r="B48" s="77">
        <v>43534</v>
      </c>
      <c r="C48" s="78" t="s">
        <v>163</v>
      </c>
      <c r="D48" s="78" t="s">
        <v>164</v>
      </c>
      <c r="E48" s="78" t="s">
        <v>4</v>
      </c>
      <c r="F48" s="79">
        <v>3731.02</v>
      </c>
      <c r="G48" s="80">
        <f t="shared" si="0"/>
        <v>3331.2678571428569</v>
      </c>
      <c r="H48" s="80">
        <f t="shared" si="1"/>
        <v>399.75214285714281</v>
      </c>
      <c r="I48" t="s">
        <v>8</v>
      </c>
    </row>
    <row r="49" spans="1:9">
      <c r="A49" s="81"/>
      <c r="B49" s="77">
        <v>43534</v>
      </c>
      <c r="C49" s="78" t="s">
        <v>163</v>
      </c>
      <c r="D49" s="78" t="s">
        <v>164</v>
      </c>
      <c r="E49" s="78" t="s">
        <v>4</v>
      </c>
      <c r="F49" s="79">
        <v>8552.01</v>
      </c>
      <c r="G49" s="80">
        <f t="shared" si="0"/>
        <v>7635.7232142857138</v>
      </c>
      <c r="H49" s="80">
        <f t="shared" si="1"/>
        <v>916.28678571428566</v>
      </c>
      <c r="I49" t="s">
        <v>8</v>
      </c>
    </row>
    <row r="50" spans="1:9">
      <c r="A50" s="81"/>
      <c r="B50" s="77">
        <v>43536</v>
      </c>
      <c r="C50" s="78" t="s">
        <v>163</v>
      </c>
      <c r="D50" s="78" t="s">
        <v>164</v>
      </c>
      <c r="E50" s="78" t="s">
        <v>4</v>
      </c>
      <c r="F50" s="79">
        <v>4208</v>
      </c>
      <c r="G50" s="80">
        <f t="shared" si="0"/>
        <v>3757.1428571428569</v>
      </c>
      <c r="H50" s="80">
        <f t="shared" si="1"/>
        <v>450.85714285714283</v>
      </c>
      <c r="I50" t="s">
        <v>8</v>
      </c>
    </row>
    <row r="51" spans="1:9">
      <c r="A51" s="81"/>
      <c r="B51" s="77">
        <v>43536</v>
      </c>
      <c r="C51" s="78" t="s">
        <v>163</v>
      </c>
      <c r="D51" s="78" t="s">
        <v>164</v>
      </c>
      <c r="E51" s="78" t="s">
        <v>4</v>
      </c>
      <c r="F51" s="79">
        <v>799</v>
      </c>
      <c r="G51" s="80">
        <f t="shared" si="0"/>
        <v>713.39285714285711</v>
      </c>
      <c r="H51" s="80">
        <f t="shared" si="1"/>
        <v>85.607142857142847</v>
      </c>
      <c r="I51" t="s">
        <v>8</v>
      </c>
    </row>
    <row r="52" spans="1:9">
      <c r="A52" s="77">
        <v>43548</v>
      </c>
      <c r="B52" s="77">
        <v>43536</v>
      </c>
      <c r="C52" s="78" t="s">
        <v>163</v>
      </c>
      <c r="D52" s="78" t="s">
        <v>164</v>
      </c>
      <c r="E52" s="78" t="s">
        <v>4</v>
      </c>
      <c r="F52" s="79">
        <v>3508.99</v>
      </c>
      <c r="G52" s="80">
        <f t="shared" si="0"/>
        <v>3133.0267857142853</v>
      </c>
      <c r="H52" s="80">
        <f t="shared" si="1"/>
        <v>375.96321428571423</v>
      </c>
      <c r="I52" t="s">
        <v>8</v>
      </c>
    </row>
    <row r="53" spans="1:9">
      <c r="A53" s="77">
        <v>43555</v>
      </c>
      <c r="B53" s="77">
        <v>43538</v>
      </c>
      <c r="C53" s="78" t="s">
        <v>163</v>
      </c>
      <c r="D53" s="78" t="s">
        <v>164</v>
      </c>
      <c r="E53" s="78" t="s">
        <v>4</v>
      </c>
      <c r="F53" s="79">
        <v>2485.56</v>
      </c>
      <c r="G53" s="80">
        <f t="shared" si="0"/>
        <v>2219.2499999999995</v>
      </c>
      <c r="H53" s="80">
        <f t="shared" si="1"/>
        <v>266.30999999999995</v>
      </c>
      <c r="I53" t="s">
        <v>8</v>
      </c>
    </row>
    <row r="54" spans="1:9">
      <c r="A54" s="77">
        <v>43554</v>
      </c>
      <c r="B54" s="77">
        <v>43544</v>
      </c>
      <c r="C54" s="78" t="s">
        <v>163</v>
      </c>
      <c r="D54" s="78" t="s">
        <v>164</v>
      </c>
      <c r="E54" s="78" t="s">
        <v>4</v>
      </c>
      <c r="F54" s="79">
        <v>1534.51</v>
      </c>
      <c r="G54" s="80">
        <f t="shared" si="0"/>
        <v>1370.0982142857142</v>
      </c>
      <c r="H54" s="80">
        <f t="shared" si="1"/>
        <v>164.41178571428571</v>
      </c>
      <c r="I54" t="s">
        <v>8</v>
      </c>
    </row>
    <row r="55" spans="1:9">
      <c r="A55" s="77"/>
      <c r="B55" s="77">
        <v>43534</v>
      </c>
      <c r="C55" s="78" t="s">
        <v>163</v>
      </c>
      <c r="D55" s="78" t="s">
        <v>164</v>
      </c>
      <c r="E55" s="78" t="s">
        <v>4</v>
      </c>
      <c r="F55" s="79">
        <v>3731.02</v>
      </c>
      <c r="G55" s="80">
        <f t="shared" si="0"/>
        <v>3331.2678571428569</v>
      </c>
      <c r="H55" s="80">
        <f t="shared" si="1"/>
        <v>399.75214285714281</v>
      </c>
      <c r="I55" t="s">
        <v>8</v>
      </c>
    </row>
    <row r="56" spans="1:9">
      <c r="A56" s="77"/>
      <c r="B56" s="77">
        <v>43534</v>
      </c>
      <c r="C56" s="78" t="s">
        <v>163</v>
      </c>
      <c r="D56" s="78" t="s">
        <v>164</v>
      </c>
      <c r="E56" s="78" t="s">
        <v>4</v>
      </c>
      <c r="F56" s="79">
        <v>8552.01</v>
      </c>
      <c r="G56" s="80">
        <f t="shared" si="0"/>
        <v>7635.7232142857138</v>
      </c>
      <c r="H56" s="80">
        <f t="shared" si="1"/>
        <v>916.28678571428566</v>
      </c>
      <c r="I56" t="s">
        <v>8</v>
      </c>
    </row>
    <row r="57" spans="1:9">
      <c r="A57" s="81"/>
      <c r="B57" s="77">
        <v>43536</v>
      </c>
      <c r="C57" s="78" t="s">
        <v>163</v>
      </c>
      <c r="D57" s="78" t="s">
        <v>164</v>
      </c>
      <c r="E57" s="78" t="s">
        <v>4</v>
      </c>
      <c r="F57" s="79">
        <v>4208</v>
      </c>
      <c r="G57" s="80">
        <f t="shared" si="0"/>
        <v>3757.1428571428569</v>
      </c>
      <c r="H57" s="80">
        <f t="shared" si="1"/>
        <v>450.85714285714283</v>
      </c>
      <c r="I57" t="s">
        <v>8</v>
      </c>
    </row>
    <row r="58" spans="1:9">
      <c r="A58" s="76"/>
      <c r="B58" s="77">
        <v>43536</v>
      </c>
      <c r="C58" s="78" t="s">
        <v>163</v>
      </c>
      <c r="D58" s="78" t="s">
        <v>164</v>
      </c>
      <c r="E58" s="78" t="s">
        <v>4</v>
      </c>
      <c r="F58" s="79">
        <v>799</v>
      </c>
      <c r="G58" s="80">
        <f t="shared" si="0"/>
        <v>713.39285714285711</v>
      </c>
      <c r="H58" s="80">
        <f t="shared" si="1"/>
        <v>85.607142857142847</v>
      </c>
      <c r="I58" t="s">
        <v>8</v>
      </c>
    </row>
    <row r="59" spans="1:9">
      <c r="A59" s="76"/>
      <c r="B59" s="77">
        <v>43536</v>
      </c>
      <c r="C59" s="78" t="s">
        <v>163</v>
      </c>
      <c r="D59" s="78" t="s">
        <v>164</v>
      </c>
      <c r="E59" s="78" t="s">
        <v>4</v>
      </c>
      <c r="F59" s="79">
        <v>3508.99</v>
      </c>
      <c r="G59" s="80">
        <f t="shared" si="0"/>
        <v>3133.0267857142853</v>
      </c>
      <c r="H59" s="80">
        <f t="shared" si="1"/>
        <v>375.96321428571423</v>
      </c>
      <c r="I59" t="s">
        <v>8</v>
      </c>
    </row>
    <row r="60" spans="1:9">
      <c r="A60" s="76"/>
      <c r="B60" s="77">
        <v>43538</v>
      </c>
      <c r="C60" s="78" t="s">
        <v>163</v>
      </c>
      <c r="D60" s="78" t="s">
        <v>164</v>
      </c>
      <c r="E60" s="78" t="s">
        <v>4</v>
      </c>
      <c r="F60" s="79">
        <v>2485.56</v>
      </c>
      <c r="G60" s="80">
        <f t="shared" si="0"/>
        <v>2219.2499999999995</v>
      </c>
      <c r="H60" s="80">
        <f t="shared" si="1"/>
        <v>266.30999999999995</v>
      </c>
      <c r="I60" t="s">
        <v>8</v>
      </c>
    </row>
    <row r="61" spans="1:9">
      <c r="A61" s="76"/>
      <c r="B61" s="77">
        <v>43544</v>
      </c>
      <c r="C61" s="78" t="s">
        <v>163</v>
      </c>
      <c r="D61" s="78" t="s">
        <v>164</v>
      </c>
      <c r="E61" s="78" t="s">
        <v>4</v>
      </c>
      <c r="F61" s="79">
        <v>1534.51</v>
      </c>
      <c r="G61" s="80">
        <f t="shared" si="0"/>
        <v>1370.0982142857142</v>
      </c>
      <c r="H61" s="80">
        <f t="shared" si="1"/>
        <v>164.41178571428571</v>
      </c>
      <c r="I61" t="s">
        <v>8</v>
      </c>
    </row>
    <row r="62" spans="1:9">
      <c r="A62" s="76"/>
      <c r="B62" s="81"/>
      <c r="C62" s="78" t="s">
        <v>3</v>
      </c>
      <c r="D62" s="78" t="s">
        <v>165</v>
      </c>
      <c r="E62" s="78" t="s">
        <v>166</v>
      </c>
      <c r="F62" s="82">
        <v>47516</v>
      </c>
      <c r="G62" s="80">
        <f t="shared" si="0"/>
        <v>42424.999999999993</v>
      </c>
      <c r="H62" s="80">
        <f t="shared" si="1"/>
        <v>5090.9999999999991</v>
      </c>
      <c r="I62" t="s">
        <v>8</v>
      </c>
    </row>
    <row r="63" spans="1:9">
      <c r="A63" s="76"/>
      <c r="B63" s="77">
        <v>43540</v>
      </c>
      <c r="C63" s="78" t="s">
        <v>167</v>
      </c>
      <c r="D63" s="78" t="s">
        <v>168</v>
      </c>
      <c r="E63" s="78" t="s">
        <v>169</v>
      </c>
      <c r="F63" s="79">
        <v>57600</v>
      </c>
      <c r="G63" s="80">
        <f t="shared" si="0"/>
        <v>51428.57142857142</v>
      </c>
      <c r="H63" s="80">
        <f t="shared" si="1"/>
        <v>6171.4285714285706</v>
      </c>
      <c r="I63" t="s">
        <v>86</v>
      </c>
    </row>
    <row r="64" spans="1:9">
      <c r="A64" s="76"/>
      <c r="B64" s="77">
        <v>43540</v>
      </c>
      <c r="C64" s="78" t="s">
        <v>167</v>
      </c>
      <c r="D64" s="78" t="s">
        <v>168</v>
      </c>
      <c r="E64" s="78" t="s">
        <v>169</v>
      </c>
      <c r="F64" s="79">
        <v>57600</v>
      </c>
      <c r="G64" s="80">
        <f t="shared" si="0"/>
        <v>51428.57142857142</v>
      </c>
      <c r="H64" s="80">
        <f t="shared" si="1"/>
        <v>6171.4285714285706</v>
      </c>
      <c r="I64" t="s">
        <v>86</v>
      </c>
    </row>
    <row r="65" spans="1:9">
      <c r="A65" s="76"/>
      <c r="B65" s="77">
        <v>43551</v>
      </c>
      <c r="C65" s="78" t="s">
        <v>170</v>
      </c>
      <c r="D65" s="78" t="s">
        <v>171</v>
      </c>
      <c r="E65" s="78" t="s">
        <v>172</v>
      </c>
      <c r="F65" s="79">
        <v>378</v>
      </c>
      <c r="G65" s="80">
        <f t="shared" si="0"/>
        <v>337.49999999999994</v>
      </c>
      <c r="H65" s="80">
        <f t="shared" si="1"/>
        <v>40.499999999999993</v>
      </c>
      <c r="I65" t="s">
        <v>150</v>
      </c>
    </row>
    <row r="66" spans="1:9">
      <c r="A66" s="76"/>
      <c r="B66" s="77">
        <v>43526</v>
      </c>
      <c r="C66" s="78" t="s">
        <v>173</v>
      </c>
      <c r="D66" s="78" t="s">
        <v>174</v>
      </c>
      <c r="E66" s="78" t="s">
        <v>172</v>
      </c>
      <c r="F66" s="79">
        <v>47.25</v>
      </c>
      <c r="G66" s="80">
        <f t="shared" si="0"/>
        <v>42.187499999999993</v>
      </c>
      <c r="H66" s="80">
        <f t="shared" si="1"/>
        <v>5.0624999999999991</v>
      </c>
      <c r="I66" t="s">
        <v>150</v>
      </c>
    </row>
    <row r="67" spans="1:9">
      <c r="A67" s="76"/>
      <c r="B67" s="77">
        <v>43526</v>
      </c>
      <c r="C67" s="78" t="s">
        <v>170</v>
      </c>
      <c r="D67" s="78" t="s">
        <v>174</v>
      </c>
      <c r="E67" s="78" t="s">
        <v>172</v>
      </c>
      <c r="F67" s="79">
        <v>698</v>
      </c>
      <c r="G67" s="80">
        <f t="shared" si="0"/>
        <v>623.21428571428567</v>
      </c>
      <c r="H67" s="80">
        <f t="shared" si="1"/>
        <v>74.785714285714278</v>
      </c>
      <c r="I67" t="s">
        <v>150</v>
      </c>
    </row>
    <row r="68" spans="1:9">
      <c r="A68" s="76"/>
      <c r="B68" s="77">
        <v>43526</v>
      </c>
      <c r="C68" s="78" t="s">
        <v>173</v>
      </c>
      <c r="D68" s="78" t="s">
        <v>174</v>
      </c>
      <c r="E68" s="78" t="s">
        <v>172</v>
      </c>
      <c r="F68" s="79">
        <v>47.25</v>
      </c>
      <c r="G68" s="80">
        <f t="shared" ref="G68:G131" si="2">F68/1.12</f>
        <v>42.187499999999993</v>
      </c>
      <c r="H68" s="80">
        <f t="shared" ref="H68:H131" si="3">G68*0.12</f>
        <v>5.0624999999999991</v>
      </c>
      <c r="I68" t="s">
        <v>150</v>
      </c>
    </row>
    <row r="69" spans="1:9">
      <c r="A69" s="76"/>
      <c r="B69" s="77">
        <v>43526</v>
      </c>
      <c r="C69" s="78" t="s">
        <v>170</v>
      </c>
      <c r="D69" s="78" t="s">
        <v>174</v>
      </c>
      <c r="E69" s="78" t="s">
        <v>172</v>
      </c>
      <c r="F69" s="79">
        <v>698</v>
      </c>
      <c r="G69" s="80">
        <f t="shared" si="2"/>
        <v>623.21428571428567</v>
      </c>
      <c r="H69" s="80">
        <f t="shared" si="3"/>
        <v>74.785714285714278</v>
      </c>
      <c r="I69" t="s">
        <v>150</v>
      </c>
    </row>
    <row r="70" spans="1:9">
      <c r="A70" s="76"/>
      <c r="B70" s="77">
        <v>43553</v>
      </c>
      <c r="C70" s="78" t="s">
        <v>175</v>
      </c>
      <c r="D70" s="78" t="s">
        <v>176</v>
      </c>
      <c r="E70" s="78" t="s">
        <v>177</v>
      </c>
      <c r="F70" s="79">
        <v>30</v>
      </c>
      <c r="G70" s="80">
        <f t="shared" si="2"/>
        <v>26.785714285714285</v>
      </c>
      <c r="H70" s="80">
        <f t="shared" si="3"/>
        <v>3.214285714285714</v>
      </c>
      <c r="I70" t="s">
        <v>108</v>
      </c>
    </row>
    <row r="71" spans="1:9">
      <c r="A71" s="76"/>
      <c r="B71" s="77">
        <v>43568</v>
      </c>
      <c r="C71" s="78" t="s">
        <v>175</v>
      </c>
      <c r="D71" s="78" t="s">
        <v>178</v>
      </c>
      <c r="E71" s="78" t="s">
        <v>179</v>
      </c>
      <c r="F71" s="83">
        <v>30</v>
      </c>
      <c r="G71" s="80">
        <f t="shared" si="2"/>
        <v>26.785714285714285</v>
      </c>
      <c r="H71" s="80">
        <f t="shared" si="3"/>
        <v>3.214285714285714</v>
      </c>
      <c r="I71" t="s">
        <v>108</v>
      </c>
    </row>
    <row r="72" spans="1:9">
      <c r="A72" s="76"/>
      <c r="B72" s="77">
        <v>43560</v>
      </c>
      <c r="C72" s="78" t="s">
        <v>180</v>
      </c>
      <c r="D72" s="78" t="s">
        <v>181</v>
      </c>
      <c r="E72" s="78" t="s">
        <v>182</v>
      </c>
      <c r="F72" s="83">
        <v>8100</v>
      </c>
      <c r="G72" s="80">
        <f t="shared" si="2"/>
        <v>7232.1428571428569</v>
      </c>
      <c r="H72" s="80">
        <f t="shared" si="3"/>
        <v>867.85714285714278</v>
      </c>
      <c r="I72" t="s">
        <v>86</v>
      </c>
    </row>
    <row r="73" spans="1:9">
      <c r="A73" s="76"/>
      <c r="B73" s="77">
        <v>43577</v>
      </c>
      <c r="C73" s="78" t="s">
        <v>180</v>
      </c>
      <c r="D73" s="78" t="s">
        <v>183</v>
      </c>
      <c r="E73" s="78" t="s">
        <v>182</v>
      </c>
      <c r="F73" s="83">
        <v>2700</v>
      </c>
      <c r="G73" s="80">
        <f t="shared" si="2"/>
        <v>2410.7142857142853</v>
      </c>
      <c r="H73" s="80">
        <f t="shared" si="3"/>
        <v>289.28571428571422</v>
      </c>
      <c r="I73" t="s">
        <v>86</v>
      </c>
    </row>
    <row r="74" spans="1:9">
      <c r="A74" s="76"/>
      <c r="B74" s="77">
        <v>43557</v>
      </c>
      <c r="C74" s="78" t="s">
        <v>6</v>
      </c>
      <c r="D74" s="78" t="s">
        <v>184</v>
      </c>
      <c r="E74" s="78" t="s">
        <v>185</v>
      </c>
      <c r="F74" s="83">
        <v>2000</v>
      </c>
      <c r="G74" s="80">
        <f t="shared" si="2"/>
        <v>1785.7142857142856</v>
      </c>
      <c r="H74" s="80">
        <f t="shared" si="3"/>
        <v>214.28571428571425</v>
      </c>
      <c r="I74" t="s">
        <v>108</v>
      </c>
    </row>
    <row r="75" spans="1:9">
      <c r="A75" s="76"/>
      <c r="B75" s="77">
        <v>43562</v>
      </c>
      <c r="C75" s="78" t="s">
        <v>6</v>
      </c>
      <c r="D75" s="78" t="s">
        <v>184</v>
      </c>
      <c r="E75" s="78" t="s">
        <v>185</v>
      </c>
      <c r="F75" s="83">
        <v>175</v>
      </c>
      <c r="G75" s="80">
        <f t="shared" si="2"/>
        <v>156.24999999999997</v>
      </c>
      <c r="H75" s="80">
        <f t="shared" si="3"/>
        <v>18.749999999999996</v>
      </c>
      <c r="I75" t="s">
        <v>108</v>
      </c>
    </row>
    <row r="76" spans="1:9">
      <c r="A76" s="76"/>
      <c r="B76" s="77">
        <v>43545</v>
      </c>
      <c r="C76" s="78" t="s">
        <v>6</v>
      </c>
      <c r="D76" s="78" t="s">
        <v>184</v>
      </c>
      <c r="E76" s="78" t="s">
        <v>185</v>
      </c>
      <c r="F76" s="79">
        <v>175</v>
      </c>
      <c r="G76" s="80">
        <f t="shared" si="2"/>
        <v>156.24999999999997</v>
      </c>
      <c r="H76" s="80">
        <f t="shared" si="3"/>
        <v>18.749999999999996</v>
      </c>
      <c r="I76" t="s">
        <v>108</v>
      </c>
    </row>
    <row r="77" spans="1:9">
      <c r="A77" s="76"/>
      <c r="B77" s="77">
        <v>43546</v>
      </c>
      <c r="C77" s="78" t="s">
        <v>6</v>
      </c>
      <c r="D77" s="78" t="s">
        <v>184</v>
      </c>
      <c r="E77" s="78" t="s">
        <v>185</v>
      </c>
      <c r="F77" s="79">
        <v>175</v>
      </c>
      <c r="G77" s="80">
        <f t="shared" si="2"/>
        <v>156.24999999999997</v>
      </c>
      <c r="H77" s="80">
        <f t="shared" si="3"/>
        <v>18.749999999999996</v>
      </c>
      <c r="I77" t="s">
        <v>108</v>
      </c>
    </row>
    <row r="78" spans="1:9">
      <c r="A78" s="76"/>
      <c r="B78" s="77">
        <v>43547</v>
      </c>
      <c r="C78" s="78" t="s">
        <v>6</v>
      </c>
      <c r="D78" s="78" t="s">
        <v>184</v>
      </c>
      <c r="E78" s="78" t="s">
        <v>185</v>
      </c>
      <c r="F78" s="79">
        <v>34</v>
      </c>
      <c r="G78" s="80">
        <f t="shared" si="2"/>
        <v>30.357142857142854</v>
      </c>
      <c r="H78" s="80">
        <f t="shared" si="3"/>
        <v>3.6428571428571423</v>
      </c>
      <c r="I78" t="s">
        <v>108</v>
      </c>
    </row>
    <row r="79" spans="1:9">
      <c r="A79" s="76"/>
      <c r="B79" s="77">
        <v>43547</v>
      </c>
      <c r="C79" s="78" t="s">
        <v>6</v>
      </c>
      <c r="D79" s="78" t="s">
        <v>184</v>
      </c>
      <c r="E79" s="78" t="s">
        <v>185</v>
      </c>
      <c r="F79" s="79">
        <v>109</v>
      </c>
      <c r="G79" s="80">
        <f t="shared" si="2"/>
        <v>97.321428571428555</v>
      </c>
      <c r="H79" s="80">
        <f t="shared" si="3"/>
        <v>11.678571428571427</v>
      </c>
      <c r="I79" t="s">
        <v>108</v>
      </c>
    </row>
    <row r="80" spans="1:9">
      <c r="A80" s="76"/>
      <c r="B80" s="77">
        <v>43551</v>
      </c>
      <c r="C80" s="78" t="s">
        <v>6</v>
      </c>
      <c r="D80" s="78" t="s">
        <v>184</v>
      </c>
      <c r="E80" s="78" t="s">
        <v>185</v>
      </c>
      <c r="F80" s="79">
        <v>175</v>
      </c>
      <c r="G80" s="80">
        <f t="shared" si="2"/>
        <v>156.24999999999997</v>
      </c>
      <c r="H80" s="80">
        <f t="shared" si="3"/>
        <v>18.749999999999996</v>
      </c>
      <c r="I80" t="s">
        <v>108</v>
      </c>
    </row>
    <row r="81" spans="1:9">
      <c r="A81" s="76"/>
      <c r="B81" s="77">
        <v>43553</v>
      </c>
      <c r="C81" s="78" t="s">
        <v>6</v>
      </c>
      <c r="D81" s="78" t="s">
        <v>184</v>
      </c>
      <c r="E81" s="78" t="s">
        <v>185</v>
      </c>
      <c r="F81" s="79">
        <v>175</v>
      </c>
      <c r="G81" s="80">
        <f t="shared" si="2"/>
        <v>156.24999999999997</v>
      </c>
      <c r="H81" s="80">
        <f t="shared" si="3"/>
        <v>18.749999999999996</v>
      </c>
      <c r="I81" t="s">
        <v>108</v>
      </c>
    </row>
    <row r="82" spans="1:9">
      <c r="A82" s="76"/>
      <c r="B82" s="77">
        <v>43555</v>
      </c>
      <c r="C82" s="78" t="s">
        <v>6</v>
      </c>
      <c r="D82" s="78" t="s">
        <v>184</v>
      </c>
      <c r="E82" s="78" t="s">
        <v>185</v>
      </c>
      <c r="F82" s="79">
        <v>175</v>
      </c>
      <c r="G82" s="80">
        <f t="shared" si="2"/>
        <v>156.24999999999997</v>
      </c>
      <c r="H82" s="80">
        <f t="shared" si="3"/>
        <v>18.749999999999996</v>
      </c>
      <c r="I82" t="s">
        <v>108</v>
      </c>
    </row>
    <row r="83" spans="1:9">
      <c r="A83" s="76"/>
      <c r="B83" s="77">
        <v>43574</v>
      </c>
      <c r="C83" s="78" t="s">
        <v>186</v>
      </c>
      <c r="D83" s="78" t="s">
        <v>187</v>
      </c>
      <c r="E83" s="78" t="s">
        <v>188</v>
      </c>
      <c r="F83" s="83">
        <v>24</v>
      </c>
      <c r="G83" s="80">
        <f t="shared" si="2"/>
        <v>21.428571428571427</v>
      </c>
      <c r="H83" s="80">
        <f t="shared" si="3"/>
        <v>2.5714285714285712</v>
      </c>
      <c r="I83" t="s">
        <v>108</v>
      </c>
    </row>
    <row r="84" spans="1:9">
      <c r="A84" s="76"/>
      <c r="B84" s="77">
        <v>43533</v>
      </c>
      <c r="C84" s="78" t="s">
        <v>189</v>
      </c>
      <c r="D84" s="78" t="s">
        <v>190</v>
      </c>
      <c r="E84" s="78" t="s">
        <v>191</v>
      </c>
      <c r="F84" s="79">
        <v>3900</v>
      </c>
      <c r="G84" s="80">
        <f t="shared" si="2"/>
        <v>3482.1428571428569</v>
      </c>
      <c r="H84" s="80">
        <f t="shared" si="3"/>
        <v>417.85714285714283</v>
      </c>
      <c r="I84" t="s">
        <v>86</v>
      </c>
    </row>
    <row r="85" spans="1:9">
      <c r="A85" s="76"/>
      <c r="B85" s="77">
        <v>43533</v>
      </c>
      <c r="C85" s="78" t="s">
        <v>189</v>
      </c>
      <c r="D85" s="78" t="s">
        <v>190</v>
      </c>
      <c r="E85" s="78" t="s">
        <v>191</v>
      </c>
      <c r="F85" s="79">
        <v>3900</v>
      </c>
      <c r="G85" s="80">
        <f t="shared" si="2"/>
        <v>3482.1428571428569</v>
      </c>
      <c r="H85" s="80">
        <f t="shared" si="3"/>
        <v>417.85714285714283</v>
      </c>
      <c r="I85" t="s">
        <v>86</v>
      </c>
    </row>
    <row r="86" spans="1:9">
      <c r="A86" s="76"/>
      <c r="B86" s="77">
        <v>43576</v>
      </c>
      <c r="C86" s="78" t="s">
        <v>192</v>
      </c>
      <c r="D86" s="78" t="s">
        <v>193</v>
      </c>
      <c r="E86" s="78" t="s">
        <v>194</v>
      </c>
      <c r="F86" s="83">
        <v>54</v>
      </c>
      <c r="G86" s="80">
        <f t="shared" si="2"/>
        <v>48.214285714285708</v>
      </c>
      <c r="H86" s="80">
        <f t="shared" si="3"/>
        <v>5.7857142857142847</v>
      </c>
      <c r="I86" t="s">
        <v>108</v>
      </c>
    </row>
    <row r="87" spans="1:9">
      <c r="A87" s="76"/>
      <c r="B87" s="77">
        <v>43579</v>
      </c>
      <c r="C87" s="78" t="s">
        <v>192</v>
      </c>
      <c r="D87" s="78" t="s">
        <v>193</v>
      </c>
      <c r="E87" s="78" t="s">
        <v>194</v>
      </c>
      <c r="F87" s="83">
        <v>54</v>
      </c>
      <c r="G87" s="80">
        <f t="shared" si="2"/>
        <v>48.214285714285708</v>
      </c>
      <c r="H87" s="80">
        <f t="shared" si="3"/>
        <v>5.7857142857142847</v>
      </c>
      <c r="I87" t="s">
        <v>108</v>
      </c>
    </row>
    <row r="88" spans="1:9">
      <c r="A88" s="76"/>
      <c r="B88" s="77">
        <v>43582</v>
      </c>
      <c r="C88" s="78" t="s">
        <v>192</v>
      </c>
      <c r="D88" s="78" t="s">
        <v>193</v>
      </c>
      <c r="E88" s="78" t="s">
        <v>194</v>
      </c>
      <c r="F88" s="83">
        <v>292</v>
      </c>
      <c r="G88" s="80">
        <f t="shared" si="2"/>
        <v>260.71428571428567</v>
      </c>
      <c r="H88" s="80">
        <f t="shared" si="3"/>
        <v>31.285714285714278</v>
      </c>
      <c r="I88" t="s">
        <v>108</v>
      </c>
    </row>
    <row r="89" spans="1:9">
      <c r="A89" s="76"/>
      <c r="B89" s="77">
        <v>43582</v>
      </c>
      <c r="C89" s="78" t="s">
        <v>192</v>
      </c>
      <c r="D89" s="78" t="s">
        <v>193</v>
      </c>
      <c r="E89" s="78" t="s">
        <v>194</v>
      </c>
      <c r="F89" s="83">
        <v>452</v>
      </c>
      <c r="G89" s="80">
        <f t="shared" si="2"/>
        <v>403.57142857142856</v>
      </c>
      <c r="H89" s="80">
        <f t="shared" si="3"/>
        <v>48.428571428571423</v>
      </c>
      <c r="I89" t="s">
        <v>108</v>
      </c>
    </row>
    <row r="90" spans="1:9">
      <c r="A90" s="76"/>
      <c r="B90" s="77">
        <v>43582</v>
      </c>
      <c r="C90" s="78" t="s">
        <v>192</v>
      </c>
      <c r="D90" s="78" t="s">
        <v>193</v>
      </c>
      <c r="E90" s="78" t="s">
        <v>194</v>
      </c>
      <c r="F90" s="83">
        <v>54</v>
      </c>
      <c r="G90" s="80">
        <f t="shared" si="2"/>
        <v>48.214285714285708</v>
      </c>
      <c r="H90" s="80">
        <f t="shared" si="3"/>
        <v>5.7857142857142847</v>
      </c>
      <c r="I90" t="s">
        <v>108</v>
      </c>
    </row>
    <row r="91" spans="1:9">
      <c r="A91" s="76"/>
      <c r="B91" s="77">
        <v>43549</v>
      </c>
      <c r="C91" s="78" t="s">
        <v>192</v>
      </c>
      <c r="D91" s="78" t="s">
        <v>195</v>
      </c>
      <c r="E91" s="78" t="s">
        <v>196</v>
      </c>
      <c r="F91" s="79">
        <v>54</v>
      </c>
      <c r="G91" s="80">
        <f t="shared" si="2"/>
        <v>48.214285714285708</v>
      </c>
      <c r="H91" s="80">
        <f t="shared" si="3"/>
        <v>5.7857142857142847</v>
      </c>
      <c r="I91" t="s">
        <v>108</v>
      </c>
    </row>
    <row r="92" spans="1:9">
      <c r="A92" s="76"/>
      <c r="B92" s="77">
        <v>43549</v>
      </c>
      <c r="C92" s="78" t="s">
        <v>192</v>
      </c>
      <c r="D92" s="78" t="s">
        <v>195</v>
      </c>
      <c r="E92" s="78" t="s">
        <v>196</v>
      </c>
      <c r="F92" s="79">
        <v>54</v>
      </c>
      <c r="G92" s="80">
        <f t="shared" si="2"/>
        <v>48.214285714285708</v>
      </c>
      <c r="H92" s="80">
        <f t="shared" si="3"/>
        <v>5.7857142857142847</v>
      </c>
      <c r="I92" t="s">
        <v>108</v>
      </c>
    </row>
    <row r="93" spans="1:9">
      <c r="A93" s="76"/>
      <c r="B93" s="77">
        <v>43549</v>
      </c>
      <c r="C93" s="78" t="s">
        <v>192</v>
      </c>
      <c r="D93" s="78" t="s">
        <v>195</v>
      </c>
      <c r="E93" s="78" t="s">
        <v>196</v>
      </c>
      <c r="F93" s="79">
        <v>54</v>
      </c>
      <c r="G93" s="80">
        <f t="shared" si="2"/>
        <v>48.214285714285708</v>
      </c>
      <c r="H93" s="80">
        <f t="shared" si="3"/>
        <v>5.7857142857142847</v>
      </c>
      <c r="I93" t="s">
        <v>108</v>
      </c>
    </row>
    <row r="94" spans="1:9">
      <c r="A94" s="76"/>
      <c r="B94" s="77">
        <v>43549</v>
      </c>
      <c r="C94" s="78" t="s">
        <v>192</v>
      </c>
      <c r="D94" s="78" t="s">
        <v>195</v>
      </c>
      <c r="E94" s="78" t="s">
        <v>196</v>
      </c>
      <c r="F94" s="79">
        <v>54</v>
      </c>
      <c r="G94" s="80">
        <f t="shared" si="2"/>
        <v>48.214285714285708</v>
      </c>
      <c r="H94" s="80">
        <f t="shared" si="3"/>
        <v>5.7857142857142847</v>
      </c>
      <c r="I94" t="s">
        <v>108</v>
      </c>
    </row>
    <row r="95" spans="1:9">
      <c r="A95" s="76"/>
      <c r="B95" s="77">
        <v>43551</v>
      </c>
      <c r="C95" s="78" t="s">
        <v>192</v>
      </c>
      <c r="D95" s="78" t="s">
        <v>195</v>
      </c>
      <c r="E95" s="78" t="s">
        <v>196</v>
      </c>
      <c r="F95" s="79">
        <v>54</v>
      </c>
      <c r="G95" s="80">
        <f t="shared" si="2"/>
        <v>48.214285714285708</v>
      </c>
      <c r="H95" s="80">
        <f t="shared" si="3"/>
        <v>5.7857142857142847</v>
      </c>
      <c r="I95" t="s">
        <v>108</v>
      </c>
    </row>
    <row r="96" spans="1:9">
      <c r="A96" s="76"/>
      <c r="B96" s="77">
        <v>43552</v>
      </c>
      <c r="C96" s="78" t="s">
        <v>192</v>
      </c>
      <c r="D96" s="78" t="s">
        <v>195</v>
      </c>
      <c r="E96" s="78" t="s">
        <v>196</v>
      </c>
      <c r="F96" s="79">
        <v>54</v>
      </c>
      <c r="G96" s="80">
        <f t="shared" si="2"/>
        <v>48.214285714285708</v>
      </c>
      <c r="H96" s="80">
        <f t="shared" si="3"/>
        <v>5.7857142857142847</v>
      </c>
      <c r="I96" t="s">
        <v>108</v>
      </c>
    </row>
    <row r="97" spans="1:9">
      <c r="A97" s="76"/>
      <c r="B97" s="77">
        <v>43567</v>
      </c>
      <c r="C97" s="78" t="s">
        <v>192</v>
      </c>
      <c r="D97" s="78" t="s">
        <v>197</v>
      </c>
      <c r="E97" s="78" t="s">
        <v>198</v>
      </c>
      <c r="F97" s="83">
        <v>54</v>
      </c>
      <c r="G97" s="80">
        <f t="shared" si="2"/>
        <v>48.214285714285708</v>
      </c>
      <c r="H97" s="80">
        <f t="shared" si="3"/>
        <v>5.7857142857142847</v>
      </c>
      <c r="I97" t="s">
        <v>108</v>
      </c>
    </row>
    <row r="98" spans="1:9">
      <c r="A98" s="76"/>
      <c r="B98" s="77">
        <v>43584</v>
      </c>
      <c r="C98" s="78" t="s">
        <v>192</v>
      </c>
      <c r="D98" s="78" t="s">
        <v>197</v>
      </c>
      <c r="E98" s="78" t="s">
        <v>198</v>
      </c>
      <c r="F98" s="83">
        <v>54</v>
      </c>
      <c r="G98" s="80">
        <f t="shared" si="2"/>
        <v>48.214285714285708</v>
      </c>
      <c r="H98" s="80">
        <f t="shared" si="3"/>
        <v>5.7857142857142847</v>
      </c>
      <c r="I98" t="s">
        <v>108</v>
      </c>
    </row>
    <row r="99" spans="1:9">
      <c r="A99" s="76"/>
      <c r="B99" s="77">
        <v>43576</v>
      </c>
      <c r="C99" s="78" t="s">
        <v>192</v>
      </c>
      <c r="D99" s="78" t="s">
        <v>197</v>
      </c>
      <c r="E99" s="78" t="s">
        <v>199</v>
      </c>
      <c r="F99" s="83">
        <v>54</v>
      </c>
      <c r="G99" s="80">
        <f t="shared" si="2"/>
        <v>48.214285714285708</v>
      </c>
      <c r="H99" s="80">
        <f t="shared" si="3"/>
        <v>5.7857142857142847</v>
      </c>
      <c r="I99" t="s">
        <v>108</v>
      </c>
    </row>
    <row r="100" spans="1:9">
      <c r="A100" s="76"/>
      <c r="B100" s="77">
        <v>43526</v>
      </c>
      <c r="C100" s="78" t="s">
        <v>192</v>
      </c>
      <c r="D100" s="78" t="s">
        <v>197</v>
      </c>
      <c r="E100" s="78" t="s">
        <v>199</v>
      </c>
      <c r="F100" s="79">
        <v>45</v>
      </c>
      <c r="G100" s="80">
        <f t="shared" si="2"/>
        <v>40.178571428571423</v>
      </c>
      <c r="H100" s="80">
        <f t="shared" si="3"/>
        <v>4.8214285714285703</v>
      </c>
      <c r="I100" t="s">
        <v>108</v>
      </c>
    </row>
    <row r="101" spans="1:9">
      <c r="A101" s="76"/>
      <c r="B101" s="77">
        <v>43526</v>
      </c>
      <c r="C101" s="78" t="s">
        <v>192</v>
      </c>
      <c r="D101" s="78" t="s">
        <v>197</v>
      </c>
      <c r="E101" s="78" t="s">
        <v>199</v>
      </c>
      <c r="F101" s="79">
        <v>45</v>
      </c>
      <c r="G101" s="80">
        <f t="shared" si="2"/>
        <v>40.178571428571423</v>
      </c>
      <c r="H101" s="80">
        <f t="shared" si="3"/>
        <v>4.8214285714285703</v>
      </c>
      <c r="I101" t="s">
        <v>108</v>
      </c>
    </row>
    <row r="102" spans="1:9">
      <c r="A102" s="76"/>
      <c r="B102" s="77">
        <v>43527</v>
      </c>
      <c r="C102" s="78" t="s">
        <v>192</v>
      </c>
      <c r="D102" s="78" t="s">
        <v>197</v>
      </c>
      <c r="E102" s="78" t="s">
        <v>199</v>
      </c>
      <c r="F102" s="79">
        <v>45</v>
      </c>
      <c r="G102" s="80">
        <f t="shared" si="2"/>
        <v>40.178571428571423</v>
      </c>
      <c r="H102" s="80">
        <f t="shared" si="3"/>
        <v>4.8214285714285703</v>
      </c>
      <c r="I102" t="s">
        <v>108</v>
      </c>
    </row>
    <row r="103" spans="1:9">
      <c r="A103" s="76"/>
      <c r="B103" s="77">
        <v>43535</v>
      </c>
      <c r="C103" s="78" t="s">
        <v>192</v>
      </c>
      <c r="D103" s="78" t="s">
        <v>197</v>
      </c>
      <c r="E103" s="78" t="s">
        <v>199</v>
      </c>
      <c r="F103" s="79">
        <v>45</v>
      </c>
      <c r="G103" s="80">
        <f t="shared" si="2"/>
        <v>40.178571428571423</v>
      </c>
      <c r="H103" s="80">
        <f t="shared" si="3"/>
        <v>4.8214285714285703</v>
      </c>
      <c r="I103" t="s">
        <v>108</v>
      </c>
    </row>
    <row r="104" spans="1:9">
      <c r="A104" s="76"/>
      <c r="B104" s="77">
        <v>43539</v>
      </c>
      <c r="C104" s="78" t="s">
        <v>192</v>
      </c>
      <c r="D104" s="78" t="s">
        <v>197</v>
      </c>
      <c r="E104" s="78" t="s">
        <v>199</v>
      </c>
      <c r="F104" s="79">
        <v>45</v>
      </c>
      <c r="G104" s="80">
        <f t="shared" si="2"/>
        <v>40.178571428571423</v>
      </c>
      <c r="H104" s="80">
        <f t="shared" si="3"/>
        <v>4.8214285714285703</v>
      </c>
      <c r="I104" t="s">
        <v>108</v>
      </c>
    </row>
    <row r="105" spans="1:9">
      <c r="A105" s="76"/>
      <c r="B105" s="77">
        <v>43526</v>
      </c>
      <c r="C105" s="78" t="s">
        <v>192</v>
      </c>
      <c r="D105" s="78" t="s">
        <v>197</v>
      </c>
      <c r="E105" s="78" t="s">
        <v>199</v>
      </c>
      <c r="F105" s="79">
        <v>45</v>
      </c>
      <c r="G105" s="80">
        <f t="shared" si="2"/>
        <v>40.178571428571423</v>
      </c>
      <c r="H105" s="80">
        <f t="shared" si="3"/>
        <v>4.8214285714285703</v>
      </c>
      <c r="I105" t="s">
        <v>108</v>
      </c>
    </row>
    <row r="106" spans="1:9">
      <c r="A106" s="76"/>
      <c r="B106" s="77">
        <v>43526</v>
      </c>
      <c r="C106" s="78" t="s">
        <v>192</v>
      </c>
      <c r="D106" s="78" t="s">
        <v>197</v>
      </c>
      <c r="E106" s="78" t="s">
        <v>199</v>
      </c>
      <c r="F106" s="79">
        <v>45</v>
      </c>
      <c r="G106" s="80">
        <f t="shared" si="2"/>
        <v>40.178571428571423</v>
      </c>
      <c r="H106" s="80">
        <f t="shared" si="3"/>
        <v>4.8214285714285703</v>
      </c>
      <c r="I106" t="s">
        <v>108</v>
      </c>
    </row>
    <row r="107" spans="1:9">
      <c r="A107" s="76"/>
      <c r="B107" s="77">
        <v>43527</v>
      </c>
      <c r="C107" s="78" t="s">
        <v>192</v>
      </c>
      <c r="D107" s="78" t="s">
        <v>197</v>
      </c>
      <c r="E107" s="78" t="s">
        <v>199</v>
      </c>
      <c r="F107" s="79">
        <v>45</v>
      </c>
      <c r="G107" s="80">
        <f t="shared" si="2"/>
        <v>40.178571428571423</v>
      </c>
      <c r="H107" s="80">
        <f t="shared" si="3"/>
        <v>4.8214285714285703</v>
      </c>
      <c r="I107" t="s">
        <v>108</v>
      </c>
    </row>
    <row r="108" spans="1:9">
      <c r="A108" s="76"/>
      <c r="B108" s="77">
        <v>43527</v>
      </c>
      <c r="C108" s="78" t="s">
        <v>192</v>
      </c>
      <c r="D108" s="78" t="s">
        <v>197</v>
      </c>
      <c r="E108" s="78" t="s">
        <v>199</v>
      </c>
      <c r="F108" s="79">
        <v>45</v>
      </c>
      <c r="G108" s="80">
        <f t="shared" si="2"/>
        <v>40.178571428571423</v>
      </c>
      <c r="H108" s="80">
        <f t="shared" si="3"/>
        <v>4.8214285714285703</v>
      </c>
      <c r="I108" t="s">
        <v>108</v>
      </c>
    </row>
    <row r="109" spans="1:9">
      <c r="A109" s="76"/>
      <c r="B109" s="77">
        <v>43528</v>
      </c>
      <c r="C109" s="78" t="s">
        <v>192</v>
      </c>
      <c r="D109" s="78" t="s">
        <v>197</v>
      </c>
      <c r="E109" s="78" t="s">
        <v>199</v>
      </c>
      <c r="F109" s="79">
        <v>45</v>
      </c>
      <c r="G109" s="80">
        <f t="shared" si="2"/>
        <v>40.178571428571423</v>
      </c>
      <c r="H109" s="80">
        <f t="shared" si="3"/>
        <v>4.8214285714285703</v>
      </c>
      <c r="I109" t="s">
        <v>108</v>
      </c>
    </row>
    <row r="110" spans="1:9">
      <c r="A110" s="76"/>
      <c r="B110" s="77">
        <v>43530</v>
      </c>
      <c r="C110" s="78" t="s">
        <v>192</v>
      </c>
      <c r="D110" s="78" t="s">
        <v>197</v>
      </c>
      <c r="E110" s="78" t="s">
        <v>199</v>
      </c>
      <c r="F110" s="79">
        <v>45</v>
      </c>
      <c r="G110" s="80">
        <f t="shared" si="2"/>
        <v>40.178571428571423</v>
      </c>
      <c r="H110" s="80">
        <f t="shared" si="3"/>
        <v>4.8214285714285703</v>
      </c>
      <c r="I110" t="s">
        <v>108</v>
      </c>
    </row>
    <row r="111" spans="1:9">
      <c r="A111" s="76"/>
      <c r="B111" s="77">
        <v>43535</v>
      </c>
      <c r="C111" s="78" t="s">
        <v>192</v>
      </c>
      <c r="D111" s="78" t="s">
        <v>197</v>
      </c>
      <c r="E111" s="78" t="s">
        <v>199</v>
      </c>
      <c r="F111" s="79">
        <v>45</v>
      </c>
      <c r="G111" s="80">
        <f t="shared" si="2"/>
        <v>40.178571428571423</v>
      </c>
      <c r="H111" s="80">
        <f t="shared" si="3"/>
        <v>4.8214285714285703</v>
      </c>
      <c r="I111" t="s">
        <v>108</v>
      </c>
    </row>
    <row r="112" spans="1:9">
      <c r="A112" s="76"/>
      <c r="B112" s="77">
        <v>43539</v>
      </c>
      <c r="C112" s="78" t="s">
        <v>192</v>
      </c>
      <c r="D112" s="78" t="s">
        <v>197</v>
      </c>
      <c r="E112" s="78" t="s">
        <v>199</v>
      </c>
      <c r="F112" s="79">
        <v>45</v>
      </c>
      <c r="G112" s="80">
        <f t="shared" si="2"/>
        <v>40.178571428571423</v>
      </c>
      <c r="H112" s="80">
        <f t="shared" si="3"/>
        <v>4.8214285714285703</v>
      </c>
      <c r="I112" t="s">
        <v>108</v>
      </c>
    </row>
    <row r="113" spans="1:9">
      <c r="A113" s="76"/>
      <c r="B113" s="77">
        <v>43530</v>
      </c>
      <c r="C113" s="78" t="s">
        <v>200</v>
      </c>
      <c r="D113" s="78" t="s">
        <v>201</v>
      </c>
      <c r="E113" s="78" t="s">
        <v>202</v>
      </c>
      <c r="F113" s="79">
        <v>319</v>
      </c>
      <c r="G113" s="80">
        <f t="shared" si="2"/>
        <v>284.82142857142856</v>
      </c>
      <c r="H113" s="80">
        <f t="shared" si="3"/>
        <v>34.178571428571423</v>
      </c>
      <c r="I113" t="s">
        <v>90</v>
      </c>
    </row>
    <row r="114" spans="1:9">
      <c r="A114" s="76"/>
      <c r="B114" s="77">
        <v>43440</v>
      </c>
      <c r="C114" s="78" t="s">
        <v>203</v>
      </c>
      <c r="D114" s="81"/>
      <c r="E114" s="78" t="s">
        <v>204</v>
      </c>
      <c r="F114" s="79">
        <v>2840</v>
      </c>
      <c r="G114" s="80">
        <f t="shared" si="2"/>
        <v>2535.7142857142853</v>
      </c>
      <c r="H114" s="80">
        <f t="shared" si="3"/>
        <v>304.28571428571422</v>
      </c>
      <c r="I114" t="s">
        <v>205</v>
      </c>
    </row>
    <row r="115" spans="1:9">
      <c r="A115" s="76"/>
      <c r="B115" s="77">
        <v>43622</v>
      </c>
      <c r="C115" s="78" t="s">
        <v>206</v>
      </c>
      <c r="D115" s="78" t="s">
        <v>207</v>
      </c>
      <c r="E115" s="78" t="s">
        <v>208</v>
      </c>
      <c r="F115" s="82">
        <v>32715</v>
      </c>
      <c r="G115" s="80">
        <f t="shared" si="2"/>
        <v>29209.821428571428</v>
      </c>
      <c r="H115" s="80">
        <f t="shared" si="3"/>
        <v>3505.1785714285711</v>
      </c>
      <c r="I115" t="s">
        <v>86</v>
      </c>
    </row>
    <row r="116" spans="1:9">
      <c r="A116" s="76"/>
      <c r="B116" s="77">
        <v>43536</v>
      </c>
      <c r="C116" s="78" t="s">
        <v>209</v>
      </c>
      <c r="D116" s="78" t="s">
        <v>210</v>
      </c>
      <c r="E116" s="78" t="s">
        <v>211</v>
      </c>
      <c r="F116" s="79">
        <v>1000</v>
      </c>
      <c r="G116" s="80">
        <f t="shared" si="2"/>
        <v>892.85714285714278</v>
      </c>
      <c r="H116" s="80">
        <f t="shared" si="3"/>
        <v>107.14285714285712</v>
      </c>
      <c r="I116" t="s">
        <v>212</v>
      </c>
    </row>
    <row r="117" spans="1:9">
      <c r="A117" s="76"/>
      <c r="B117" s="77">
        <v>43536</v>
      </c>
      <c r="C117" s="78" t="s">
        <v>209</v>
      </c>
      <c r="D117" s="78" t="s">
        <v>210</v>
      </c>
      <c r="E117" s="78" t="s">
        <v>211</v>
      </c>
      <c r="F117" s="79">
        <v>1000</v>
      </c>
      <c r="G117" s="80">
        <f t="shared" si="2"/>
        <v>892.85714285714278</v>
      </c>
      <c r="H117" s="80">
        <f t="shared" si="3"/>
        <v>107.14285714285712</v>
      </c>
      <c r="I117" t="s">
        <v>212</v>
      </c>
    </row>
    <row r="118" spans="1:9">
      <c r="A118" s="76"/>
      <c r="B118" s="77">
        <v>43566</v>
      </c>
      <c r="C118" s="78" t="s">
        <v>213</v>
      </c>
      <c r="D118" s="78" t="s">
        <v>214</v>
      </c>
      <c r="E118" s="78" t="s">
        <v>215</v>
      </c>
      <c r="F118" s="83">
        <v>445</v>
      </c>
      <c r="G118" s="80">
        <f t="shared" si="2"/>
        <v>397.32142857142856</v>
      </c>
      <c r="H118" s="80">
        <f t="shared" si="3"/>
        <v>47.678571428571423</v>
      </c>
      <c r="I118" t="s">
        <v>90</v>
      </c>
    </row>
    <row r="119" spans="1:9">
      <c r="A119" s="76"/>
      <c r="B119" s="77">
        <v>43577</v>
      </c>
      <c r="C119" s="78" t="s">
        <v>216</v>
      </c>
      <c r="D119" s="78" t="s">
        <v>217</v>
      </c>
      <c r="E119" s="78" t="s">
        <v>218</v>
      </c>
      <c r="F119" s="83">
        <v>2440</v>
      </c>
      <c r="G119" s="80">
        <f t="shared" si="2"/>
        <v>2178.5714285714284</v>
      </c>
      <c r="H119" s="80">
        <f t="shared" si="3"/>
        <v>261.42857142857139</v>
      </c>
      <c r="I119" t="s">
        <v>86</v>
      </c>
    </row>
    <row r="120" spans="1:9">
      <c r="A120" s="76"/>
      <c r="B120" s="77">
        <v>43577</v>
      </c>
      <c r="C120" s="78" t="s">
        <v>219</v>
      </c>
      <c r="D120" s="84" t="s">
        <v>220</v>
      </c>
      <c r="E120" s="78" t="s">
        <v>218</v>
      </c>
      <c r="F120" s="83">
        <v>2440</v>
      </c>
      <c r="G120" s="80">
        <f t="shared" si="2"/>
        <v>2178.5714285714284</v>
      </c>
      <c r="H120" s="80">
        <f t="shared" si="3"/>
        <v>261.42857142857139</v>
      </c>
      <c r="I120" t="s">
        <v>86</v>
      </c>
    </row>
    <row r="121" spans="1:9">
      <c r="A121" s="76"/>
      <c r="B121" s="77">
        <v>43565</v>
      </c>
      <c r="C121" s="78" t="s">
        <v>221</v>
      </c>
      <c r="D121" s="78" t="s">
        <v>222</v>
      </c>
      <c r="E121" s="78" t="s">
        <v>223</v>
      </c>
      <c r="F121" s="83">
        <v>904.75</v>
      </c>
      <c r="G121" s="80">
        <f t="shared" si="2"/>
        <v>807.81249999999989</v>
      </c>
      <c r="H121" s="80">
        <f t="shared" si="3"/>
        <v>96.937499999999986</v>
      </c>
      <c r="I121" t="s">
        <v>205</v>
      </c>
    </row>
    <row r="122" spans="1:9">
      <c r="A122" s="76"/>
      <c r="B122" s="77">
        <v>43585</v>
      </c>
      <c r="C122" s="78" t="s">
        <v>224</v>
      </c>
      <c r="D122" s="78" t="s">
        <v>225</v>
      </c>
      <c r="E122" s="78" t="s">
        <v>226</v>
      </c>
      <c r="F122" s="83">
        <v>270</v>
      </c>
      <c r="G122" s="80">
        <f t="shared" si="2"/>
        <v>241.07142857142856</v>
      </c>
      <c r="H122" s="80">
        <f t="shared" si="3"/>
        <v>28.928571428571427</v>
      </c>
      <c r="I122" t="s">
        <v>108</v>
      </c>
    </row>
    <row r="123" spans="1:9">
      <c r="A123" s="76"/>
      <c r="B123" s="77">
        <v>43585</v>
      </c>
      <c r="C123" s="78" t="s">
        <v>227</v>
      </c>
      <c r="D123" s="84" t="s">
        <v>228</v>
      </c>
      <c r="E123" s="78" t="s">
        <v>226</v>
      </c>
      <c r="F123" s="83">
        <v>270</v>
      </c>
      <c r="G123" s="80">
        <f t="shared" si="2"/>
        <v>241.07142857142856</v>
      </c>
      <c r="H123" s="80">
        <f t="shared" si="3"/>
        <v>28.928571428571427</v>
      </c>
      <c r="I123" t="s">
        <v>108</v>
      </c>
    </row>
    <row r="124" spans="1:9">
      <c r="A124" s="76"/>
      <c r="B124" s="77">
        <v>43562</v>
      </c>
      <c r="C124" s="78" t="s">
        <v>229</v>
      </c>
      <c r="D124" s="78" t="s">
        <v>230</v>
      </c>
      <c r="E124" s="78" t="s">
        <v>231</v>
      </c>
      <c r="F124" s="83">
        <v>200</v>
      </c>
      <c r="G124" s="80">
        <f t="shared" si="2"/>
        <v>178.57142857142856</v>
      </c>
      <c r="H124" s="80">
        <f t="shared" si="3"/>
        <v>21.428571428571427</v>
      </c>
      <c r="I124" t="s">
        <v>108</v>
      </c>
    </row>
    <row r="125" spans="1:9">
      <c r="A125" s="76"/>
      <c r="B125" s="77">
        <v>43482</v>
      </c>
      <c r="C125" s="78" t="s">
        <v>232</v>
      </c>
      <c r="D125" s="78" t="s">
        <v>233</v>
      </c>
      <c r="E125" s="78" t="s">
        <v>234</v>
      </c>
      <c r="F125" s="82">
        <f>1161.88</f>
        <v>1161.8800000000001</v>
      </c>
      <c r="G125" s="80">
        <f t="shared" si="2"/>
        <v>1037.3928571428571</v>
      </c>
      <c r="H125" s="80">
        <f t="shared" si="3"/>
        <v>124.48714285714284</v>
      </c>
      <c r="I125" t="s">
        <v>86</v>
      </c>
    </row>
    <row r="126" spans="1:9">
      <c r="A126" s="76"/>
      <c r="B126" s="77">
        <v>43557</v>
      </c>
      <c r="C126" s="78" t="s">
        <v>235</v>
      </c>
      <c r="D126" s="78" t="s">
        <v>236</v>
      </c>
      <c r="E126" s="78" t="s">
        <v>237</v>
      </c>
      <c r="F126" s="83">
        <v>126</v>
      </c>
      <c r="G126" s="80">
        <f t="shared" si="2"/>
        <v>112.49999999999999</v>
      </c>
      <c r="H126" s="80">
        <f t="shared" si="3"/>
        <v>13.499999999999998</v>
      </c>
      <c r="I126" t="s">
        <v>90</v>
      </c>
    </row>
    <row r="127" spans="1:9">
      <c r="A127" s="76"/>
      <c r="B127" s="77">
        <v>43568</v>
      </c>
      <c r="C127" s="78" t="s">
        <v>238</v>
      </c>
      <c r="D127" s="78" t="s">
        <v>239</v>
      </c>
      <c r="E127" s="78" t="s">
        <v>240</v>
      </c>
      <c r="F127" s="83">
        <v>1085</v>
      </c>
      <c r="G127" s="80">
        <f t="shared" si="2"/>
        <v>968.74999999999989</v>
      </c>
      <c r="H127" s="80">
        <f t="shared" si="3"/>
        <v>116.24999999999999</v>
      </c>
      <c r="I127" t="s">
        <v>90</v>
      </c>
    </row>
    <row r="128" spans="1:9">
      <c r="A128" s="76"/>
      <c r="B128" s="77">
        <v>43551</v>
      </c>
      <c r="C128" s="78" t="s">
        <v>241</v>
      </c>
      <c r="D128" s="78" t="s">
        <v>242</v>
      </c>
      <c r="E128" s="78" t="s">
        <v>243</v>
      </c>
      <c r="F128" s="79">
        <v>244</v>
      </c>
      <c r="G128" s="80">
        <f t="shared" si="2"/>
        <v>217.85714285714283</v>
      </c>
      <c r="H128" s="80">
        <f t="shared" si="3"/>
        <v>26.142857142857139</v>
      </c>
      <c r="I128" t="s">
        <v>90</v>
      </c>
    </row>
    <row r="129" spans="1:9">
      <c r="A129" s="76"/>
      <c r="B129" s="77">
        <v>43560</v>
      </c>
      <c r="C129" s="78" t="s">
        <v>244</v>
      </c>
      <c r="D129" s="78" t="s">
        <v>245</v>
      </c>
      <c r="E129" s="78" t="s">
        <v>246</v>
      </c>
      <c r="F129" s="83">
        <v>20</v>
      </c>
      <c r="G129" s="80">
        <f t="shared" si="2"/>
        <v>17.857142857142854</v>
      </c>
      <c r="H129" s="80">
        <f t="shared" si="3"/>
        <v>2.1428571428571423</v>
      </c>
      <c r="I129" t="s">
        <v>90</v>
      </c>
    </row>
    <row r="130" spans="1:9">
      <c r="B130" s="77">
        <v>43560</v>
      </c>
      <c r="C130" s="78" t="s">
        <v>244</v>
      </c>
      <c r="D130" s="78" t="s">
        <v>245</v>
      </c>
      <c r="E130" s="78" t="s">
        <v>246</v>
      </c>
      <c r="F130" s="83">
        <v>130</v>
      </c>
      <c r="G130" s="80">
        <f t="shared" si="2"/>
        <v>116.07142857142856</v>
      </c>
      <c r="H130" s="80">
        <f t="shared" si="3"/>
        <v>13.928571428571425</v>
      </c>
      <c r="I130" t="s">
        <v>90</v>
      </c>
    </row>
    <row r="131" spans="1:9">
      <c r="B131" s="77">
        <v>43565</v>
      </c>
      <c r="C131" s="78" t="s">
        <v>247</v>
      </c>
      <c r="D131" s="78" t="s">
        <v>248</v>
      </c>
      <c r="E131" s="78" t="s">
        <v>249</v>
      </c>
      <c r="F131" s="83">
        <v>2249.38</v>
      </c>
      <c r="G131" s="80">
        <f t="shared" si="2"/>
        <v>2008.375</v>
      </c>
      <c r="H131" s="80">
        <f t="shared" si="3"/>
        <v>241.005</v>
      </c>
      <c r="I131" t="s">
        <v>101</v>
      </c>
    </row>
    <row r="132" spans="1:9">
      <c r="B132" s="77">
        <v>43538</v>
      </c>
      <c r="C132" s="78" t="s">
        <v>250</v>
      </c>
      <c r="D132" s="78" t="s">
        <v>251</v>
      </c>
      <c r="E132" s="78" t="s">
        <v>252</v>
      </c>
      <c r="F132" s="79">
        <v>89</v>
      </c>
      <c r="G132" s="80">
        <f t="shared" ref="G132:G195" si="4">F132/1.12</f>
        <v>79.464285714285708</v>
      </c>
      <c r="H132" s="80">
        <f t="shared" ref="H132:H195" si="5">G132*0.12</f>
        <v>9.5357142857142847</v>
      </c>
      <c r="I132" t="s">
        <v>90</v>
      </c>
    </row>
    <row r="133" spans="1:9">
      <c r="B133" s="77">
        <v>43538</v>
      </c>
      <c r="C133" s="78" t="s">
        <v>250</v>
      </c>
      <c r="D133" s="78" t="s">
        <v>251</v>
      </c>
      <c r="E133" s="78" t="s">
        <v>252</v>
      </c>
      <c r="F133" s="79">
        <v>89</v>
      </c>
      <c r="G133" s="80">
        <f t="shared" si="4"/>
        <v>79.464285714285708</v>
      </c>
      <c r="H133" s="80">
        <f t="shared" si="5"/>
        <v>9.5357142857142847</v>
      </c>
      <c r="I133" t="s">
        <v>90</v>
      </c>
    </row>
    <row r="134" spans="1:9">
      <c r="B134" s="77">
        <v>43564</v>
      </c>
      <c r="C134" s="78" t="s">
        <v>253</v>
      </c>
      <c r="D134" s="78" t="s">
        <v>254</v>
      </c>
      <c r="E134" s="78" t="s">
        <v>255</v>
      </c>
      <c r="F134" s="83">
        <v>1520</v>
      </c>
      <c r="G134" s="80">
        <f t="shared" si="4"/>
        <v>1357.1428571428571</v>
      </c>
      <c r="H134" s="80">
        <f t="shared" si="5"/>
        <v>162.85714285714286</v>
      </c>
      <c r="I134" t="s">
        <v>86</v>
      </c>
    </row>
    <row r="135" spans="1:9">
      <c r="B135" s="77">
        <v>43528</v>
      </c>
      <c r="C135" s="78" t="s">
        <v>256</v>
      </c>
      <c r="D135" s="78" t="s">
        <v>257</v>
      </c>
      <c r="E135" s="78" t="s">
        <v>258</v>
      </c>
      <c r="F135" s="79">
        <v>1810.38</v>
      </c>
      <c r="G135" s="80">
        <f t="shared" si="4"/>
        <v>1616.4107142857142</v>
      </c>
      <c r="H135" s="80">
        <f t="shared" si="5"/>
        <v>193.96928571428569</v>
      </c>
      <c r="I135" t="s">
        <v>86</v>
      </c>
    </row>
    <row r="136" spans="1:9">
      <c r="B136" s="77">
        <v>43528</v>
      </c>
      <c r="C136" s="78" t="s">
        <v>256</v>
      </c>
      <c r="D136" s="78" t="s">
        <v>257</v>
      </c>
      <c r="E136" s="78" t="s">
        <v>258</v>
      </c>
      <c r="F136" s="79">
        <v>1810.38</v>
      </c>
      <c r="G136" s="80">
        <f t="shared" si="4"/>
        <v>1616.4107142857142</v>
      </c>
      <c r="H136" s="80">
        <f t="shared" si="5"/>
        <v>193.96928571428569</v>
      </c>
      <c r="I136" t="s">
        <v>86</v>
      </c>
    </row>
    <row r="137" spans="1:9">
      <c r="B137" s="77">
        <v>43553</v>
      </c>
      <c r="C137" s="78" t="s">
        <v>259</v>
      </c>
      <c r="D137" s="78" t="s">
        <v>260</v>
      </c>
      <c r="E137" s="78" t="s">
        <v>261</v>
      </c>
      <c r="F137" s="79">
        <v>45</v>
      </c>
      <c r="G137" s="80">
        <f t="shared" si="4"/>
        <v>40.178571428571423</v>
      </c>
      <c r="H137" s="80">
        <f t="shared" si="5"/>
        <v>4.8214285714285703</v>
      </c>
      <c r="I137" t="s">
        <v>108</v>
      </c>
    </row>
    <row r="138" spans="1:9">
      <c r="B138" s="77">
        <v>43570</v>
      </c>
      <c r="C138" s="78" t="s">
        <v>262</v>
      </c>
      <c r="D138" s="78" t="s">
        <v>263</v>
      </c>
      <c r="E138" s="78" t="s">
        <v>264</v>
      </c>
      <c r="F138" s="83">
        <v>1000</v>
      </c>
      <c r="G138" s="80">
        <f t="shared" si="4"/>
        <v>892.85714285714278</v>
      </c>
      <c r="H138" s="80">
        <f t="shared" si="5"/>
        <v>107.14285714285712</v>
      </c>
      <c r="I138" t="s">
        <v>86</v>
      </c>
    </row>
    <row r="139" spans="1:9">
      <c r="B139" s="77">
        <v>43528</v>
      </c>
      <c r="C139" s="78" t="s">
        <v>265</v>
      </c>
      <c r="D139" s="78" t="s">
        <v>266</v>
      </c>
      <c r="E139" s="78" t="s">
        <v>267</v>
      </c>
      <c r="F139" s="79">
        <v>240</v>
      </c>
      <c r="G139" s="80">
        <f t="shared" si="4"/>
        <v>214.28571428571428</v>
      </c>
      <c r="H139" s="80">
        <f t="shared" si="5"/>
        <v>25.714285714285712</v>
      </c>
      <c r="I139" t="s">
        <v>205</v>
      </c>
    </row>
    <row r="140" spans="1:9">
      <c r="B140" s="77">
        <v>43528</v>
      </c>
      <c r="C140" s="78" t="s">
        <v>265</v>
      </c>
      <c r="D140" s="78" t="s">
        <v>266</v>
      </c>
      <c r="E140" s="78" t="s">
        <v>267</v>
      </c>
      <c r="F140" s="79">
        <v>240</v>
      </c>
      <c r="G140" s="80">
        <f t="shared" si="4"/>
        <v>214.28571428571428</v>
      </c>
      <c r="H140" s="80">
        <f t="shared" si="5"/>
        <v>25.714285714285712</v>
      </c>
      <c r="I140" t="s">
        <v>205</v>
      </c>
    </row>
    <row r="141" spans="1:9">
      <c r="B141" s="77">
        <v>43527</v>
      </c>
      <c r="C141" s="78" t="s">
        <v>268</v>
      </c>
      <c r="D141" s="78" t="s">
        <v>269</v>
      </c>
      <c r="E141" s="78" t="s">
        <v>270</v>
      </c>
      <c r="F141" s="79">
        <v>3800</v>
      </c>
      <c r="G141" s="80">
        <f t="shared" si="4"/>
        <v>3392.8571428571427</v>
      </c>
      <c r="H141" s="80">
        <f t="shared" si="5"/>
        <v>407.14285714285711</v>
      </c>
      <c r="I141" t="s">
        <v>86</v>
      </c>
    </row>
    <row r="142" spans="1:9">
      <c r="B142" s="77">
        <v>43527</v>
      </c>
      <c r="C142" s="78" t="s">
        <v>268</v>
      </c>
      <c r="D142" s="78" t="s">
        <v>269</v>
      </c>
      <c r="E142" s="78" t="s">
        <v>270</v>
      </c>
      <c r="F142" s="79">
        <v>3800</v>
      </c>
      <c r="G142" s="80">
        <f t="shared" si="4"/>
        <v>3392.8571428571427</v>
      </c>
      <c r="H142" s="80">
        <f t="shared" si="5"/>
        <v>407.14285714285711</v>
      </c>
      <c r="I142" t="s">
        <v>86</v>
      </c>
    </row>
    <row r="143" spans="1:9">
      <c r="B143" s="77">
        <v>43557</v>
      </c>
      <c r="C143" s="78" t="s">
        <v>271</v>
      </c>
      <c r="D143" s="78" t="s">
        <v>272</v>
      </c>
      <c r="E143" s="78" t="s">
        <v>273</v>
      </c>
      <c r="F143" s="83">
        <v>10500</v>
      </c>
      <c r="G143" s="80">
        <f t="shared" si="4"/>
        <v>9375</v>
      </c>
      <c r="H143" s="80">
        <f t="shared" si="5"/>
        <v>1125</v>
      </c>
      <c r="I143" t="s">
        <v>86</v>
      </c>
    </row>
    <row r="144" spans="1:9">
      <c r="B144" s="77">
        <v>43538</v>
      </c>
      <c r="C144" s="78" t="s">
        <v>274</v>
      </c>
      <c r="D144" s="78" t="s">
        <v>275</v>
      </c>
      <c r="E144" s="78" t="s">
        <v>276</v>
      </c>
      <c r="F144" s="79">
        <v>670</v>
      </c>
      <c r="G144" s="80">
        <f t="shared" si="4"/>
        <v>598.21428571428567</v>
      </c>
      <c r="H144" s="80">
        <f t="shared" si="5"/>
        <v>71.785714285714278</v>
      </c>
      <c r="I144" t="s">
        <v>90</v>
      </c>
    </row>
    <row r="145" spans="2:9">
      <c r="B145" s="77">
        <v>43538</v>
      </c>
      <c r="C145" s="78" t="s">
        <v>274</v>
      </c>
      <c r="D145" s="78" t="s">
        <v>275</v>
      </c>
      <c r="E145" s="78" t="s">
        <v>276</v>
      </c>
      <c r="F145" s="79">
        <v>670</v>
      </c>
      <c r="G145" s="80">
        <f t="shared" si="4"/>
        <v>598.21428571428567</v>
      </c>
      <c r="H145" s="80">
        <f t="shared" si="5"/>
        <v>71.785714285714278</v>
      </c>
      <c r="I145" t="s">
        <v>90</v>
      </c>
    </row>
    <row r="146" spans="2:9">
      <c r="B146" s="77">
        <v>43558</v>
      </c>
      <c r="C146" s="78" t="s">
        <v>277</v>
      </c>
      <c r="D146" s="78" t="s">
        <v>278</v>
      </c>
      <c r="E146" s="78" t="s">
        <v>279</v>
      </c>
      <c r="F146" s="83">
        <v>240</v>
      </c>
      <c r="G146" s="80">
        <f t="shared" si="4"/>
        <v>214.28571428571428</v>
      </c>
      <c r="H146" s="80">
        <f t="shared" si="5"/>
        <v>25.714285714285712</v>
      </c>
      <c r="I146" t="s">
        <v>90</v>
      </c>
    </row>
    <row r="147" spans="2:9">
      <c r="B147" s="77">
        <v>43552</v>
      </c>
      <c r="C147" s="78" t="s">
        <v>277</v>
      </c>
      <c r="D147" s="78" t="s">
        <v>280</v>
      </c>
      <c r="E147" s="78" t="s">
        <v>281</v>
      </c>
      <c r="F147" s="79">
        <v>89</v>
      </c>
      <c r="G147" s="80">
        <f t="shared" si="4"/>
        <v>79.464285714285708</v>
      </c>
      <c r="H147" s="80">
        <f t="shared" si="5"/>
        <v>9.5357142857142847</v>
      </c>
      <c r="I147" t="s">
        <v>90</v>
      </c>
    </row>
    <row r="148" spans="2:9">
      <c r="B148" s="77">
        <v>43567</v>
      </c>
      <c r="C148" s="78" t="s">
        <v>282</v>
      </c>
      <c r="D148" s="78" t="s">
        <v>283</v>
      </c>
      <c r="E148" s="78" t="s">
        <v>284</v>
      </c>
      <c r="F148" s="83">
        <v>220</v>
      </c>
      <c r="G148" s="80">
        <f t="shared" si="4"/>
        <v>196.42857142857142</v>
      </c>
      <c r="H148" s="80">
        <f t="shared" si="5"/>
        <v>23.571428571428569</v>
      </c>
      <c r="I148" t="s">
        <v>90</v>
      </c>
    </row>
    <row r="149" spans="2:9">
      <c r="B149" s="77">
        <v>43551</v>
      </c>
      <c r="C149" s="78" t="s">
        <v>282</v>
      </c>
      <c r="D149" s="78" t="s">
        <v>285</v>
      </c>
      <c r="E149" s="78" t="s">
        <v>284</v>
      </c>
      <c r="F149" s="79">
        <v>210</v>
      </c>
      <c r="G149" s="80">
        <f t="shared" si="4"/>
        <v>187.49999999999997</v>
      </c>
      <c r="H149" s="80">
        <f t="shared" si="5"/>
        <v>22.499999999999996</v>
      </c>
      <c r="I149" t="s">
        <v>90</v>
      </c>
    </row>
    <row r="150" spans="2:9">
      <c r="B150" s="77">
        <v>43556</v>
      </c>
      <c r="C150" s="78" t="s">
        <v>286</v>
      </c>
      <c r="D150" s="78" t="s">
        <v>287</v>
      </c>
      <c r="E150" s="78" t="s">
        <v>288</v>
      </c>
      <c r="F150" s="83">
        <v>615</v>
      </c>
      <c r="G150" s="80">
        <f t="shared" si="4"/>
        <v>549.10714285714278</v>
      </c>
      <c r="H150" s="80">
        <f t="shared" si="5"/>
        <v>65.892857142857125</v>
      </c>
      <c r="I150" t="s">
        <v>90</v>
      </c>
    </row>
    <row r="151" spans="2:9">
      <c r="B151" s="77">
        <v>43556</v>
      </c>
      <c r="C151" s="78" t="s">
        <v>286</v>
      </c>
      <c r="D151" s="78" t="s">
        <v>287</v>
      </c>
      <c r="E151" s="78" t="s">
        <v>288</v>
      </c>
      <c r="F151" s="83">
        <v>140</v>
      </c>
      <c r="G151" s="80">
        <f t="shared" si="4"/>
        <v>124.99999999999999</v>
      </c>
      <c r="H151" s="80">
        <f t="shared" si="5"/>
        <v>14.999999999999998</v>
      </c>
      <c r="I151" t="s">
        <v>90</v>
      </c>
    </row>
    <row r="152" spans="2:9">
      <c r="B152" s="77">
        <v>43556</v>
      </c>
      <c r="C152" s="78" t="s">
        <v>286</v>
      </c>
      <c r="D152" s="78" t="s">
        <v>287</v>
      </c>
      <c r="E152" s="78" t="s">
        <v>288</v>
      </c>
      <c r="F152" s="83">
        <v>171</v>
      </c>
      <c r="G152" s="80">
        <f t="shared" si="4"/>
        <v>152.67857142857142</v>
      </c>
      <c r="H152" s="80">
        <f t="shared" si="5"/>
        <v>18.321428571428569</v>
      </c>
      <c r="I152" t="s">
        <v>90</v>
      </c>
    </row>
    <row r="153" spans="2:9">
      <c r="B153" s="77">
        <v>43536</v>
      </c>
      <c r="C153" s="78" t="s">
        <v>289</v>
      </c>
      <c r="D153" s="78" t="s">
        <v>290</v>
      </c>
      <c r="E153" s="78" t="s">
        <v>288</v>
      </c>
      <c r="F153" s="79">
        <v>255</v>
      </c>
      <c r="G153" s="80">
        <f t="shared" si="4"/>
        <v>227.67857142857142</v>
      </c>
      <c r="H153" s="80">
        <f t="shared" si="5"/>
        <v>27.321428571428569</v>
      </c>
      <c r="I153" t="s">
        <v>90</v>
      </c>
    </row>
    <row r="154" spans="2:9">
      <c r="B154" s="77">
        <v>43536</v>
      </c>
      <c r="C154" s="78" t="s">
        <v>289</v>
      </c>
      <c r="D154" s="78" t="s">
        <v>290</v>
      </c>
      <c r="E154" s="78" t="s">
        <v>288</v>
      </c>
      <c r="F154" s="79">
        <v>255</v>
      </c>
      <c r="G154" s="80">
        <f t="shared" si="4"/>
        <v>227.67857142857142</v>
      </c>
      <c r="H154" s="80">
        <f t="shared" si="5"/>
        <v>27.321428571428569</v>
      </c>
      <c r="I154" t="s">
        <v>90</v>
      </c>
    </row>
    <row r="155" spans="2:9">
      <c r="B155" s="77">
        <v>43439</v>
      </c>
      <c r="C155" s="78" t="s">
        <v>291</v>
      </c>
      <c r="D155" s="81"/>
      <c r="E155" s="78" t="s">
        <v>292</v>
      </c>
      <c r="F155" s="79">
        <v>2598</v>
      </c>
      <c r="G155" s="80">
        <f t="shared" si="4"/>
        <v>2319.6428571428569</v>
      </c>
      <c r="H155" s="80">
        <f t="shared" si="5"/>
        <v>278.35714285714283</v>
      </c>
      <c r="I155" t="s">
        <v>86</v>
      </c>
    </row>
    <row r="156" spans="2:9">
      <c r="B156" s="77">
        <v>43563</v>
      </c>
      <c r="C156" s="78" t="s">
        <v>293</v>
      </c>
      <c r="D156" s="78" t="s">
        <v>294</v>
      </c>
      <c r="E156" s="78" t="s">
        <v>295</v>
      </c>
      <c r="F156" s="83">
        <v>10294</v>
      </c>
      <c r="G156" s="80">
        <f t="shared" si="4"/>
        <v>9191.0714285714275</v>
      </c>
      <c r="H156" s="80">
        <f t="shared" si="5"/>
        <v>1102.9285714285713</v>
      </c>
      <c r="I156" t="s">
        <v>86</v>
      </c>
    </row>
    <row r="157" spans="2:9">
      <c r="B157" s="77">
        <v>43558</v>
      </c>
      <c r="C157" s="78" t="s">
        <v>293</v>
      </c>
      <c r="D157" s="78" t="s">
        <v>140</v>
      </c>
      <c r="E157" s="78" t="s">
        <v>296</v>
      </c>
      <c r="F157" s="83">
        <v>2242.4</v>
      </c>
      <c r="G157" s="80">
        <f t="shared" si="4"/>
        <v>2002.1428571428571</v>
      </c>
      <c r="H157" s="80">
        <f t="shared" si="5"/>
        <v>240.25714285714284</v>
      </c>
      <c r="I157" t="s">
        <v>86</v>
      </c>
    </row>
    <row r="158" spans="2:9">
      <c r="B158" s="77">
        <v>43577</v>
      </c>
      <c r="C158" s="78" t="s">
        <v>297</v>
      </c>
      <c r="D158" s="78" t="s">
        <v>298</v>
      </c>
      <c r="E158" s="78" t="s">
        <v>299</v>
      </c>
      <c r="F158" s="83">
        <v>1690</v>
      </c>
      <c r="G158" s="80">
        <f t="shared" si="4"/>
        <v>1508.9285714285713</v>
      </c>
      <c r="H158" s="80">
        <f t="shared" si="5"/>
        <v>181.07142857142856</v>
      </c>
      <c r="I158" t="s">
        <v>86</v>
      </c>
    </row>
    <row r="159" spans="2:9">
      <c r="B159" s="77">
        <v>43577</v>
      </c>
      <c r="C159" s="78" t="s">
        <v>300</v>
      </c>
      <c r="D159" s="78" t="s">
        <v>301</v>
      </c>
      <c r="E159" s="78" t="s">
        <v>299</v>
      </c>
      <c r="F159" s="83">
        <v>1690</v>
      </c>
      <c r="G159" s="80">
        <f t="shared" si="4"/>
        <v>1508.9285714285713</v>
      </c>
      <c r="H159" s="80">
        <f t="shared" si="5"/>
        <v>181.07142857142856</v>
      </c>
      <c r="I159" t="s">
        <v>86</v>
      </c>
    </row>
    <row r="160" spans="2:9">
      <c r="B160" s="77">
        <v>43542</v>
      </c>
      <c r="C160" s="78" t="s">
        <v>302</v>
      </c>
      <c r="D160" s="78" t="s">
        <v>303</v>
      </c>
      <c r="E160" s="78" t="s">
        <v>304</v>
      </c>
      <c r="F160" s="79">
        <v>2930</v>
      </c>
      <c r="G160" s="80">
        <f t="shared" si="4"/>
        <v>2616.0714285714284</v>
      </c>
      <c r="H160" s="80">
        <f t="shared" si="5"/>
        <v>313.92857142857139</v>
      </c>
      <c r="I160" t="s">
        <v>86</v>
      </c>
    </row>
    <row r="161" spans="2:9">
      <c r="B161" s="77">
        <v>43542</v>
      </c>
      <c r="C161" s="78" t="s">
        <v>302</v>
      </c>
      <c r="D161" s="78" t="s">
        <v>303</v>
      </c>
      <c r="E161" s="78" t="s">
        <v>304</v>
      </c>
      <c r="F161" s="79">
        <v>20620</v>
      </c>
      <c r="G161" s="80">
        <f t="shared" si="4"/>
        <v>18410.714285714283</v>
      </c>
      <c r="H161" s="80">
        <f t="shared" si="5"/>
        <v>2209.2857142857138</v>
      </c>
      <c r="I161" t="s">
        <v>86</v>
      </c>
    </row>
    <row r="162" spans="2:9">
      <c r="B162" s="77">
        <v>43542</v>
      </c>
      <c r="C162" s="78" t="s">
        <v>302</v>
      </c>
      <c r="D162" s="78" t="s">
        <v>303</v>
      </c>
      <c r="E162" s="78" t="s">
        <v>304</v>
      </c>
      <c r="F162" s="79">
        <v>2930</v>
      </c>
      <c r="G162" s="80">
        <f t="shared" si="4"/>
        <v>2616.0714285714284</v>
      </c>
      <c r="H162" s="80">
        <f t="shared" si="5"/>
        <v>313.92857142857139</v>
      </c>
      <c r="I162" t="s">
        <v>86</v>
      </c>
    </row>
    <row r="163" spans="2:9">
      <c r="B163" s="77">
        <v>43542</v>
      </c>
      <c r="C163" s="78" t="s">
        <v>302</v>
      </c>
      <c r="D163" s="78" t="s">
        <v>303</v>
      </c>
      <c r="E163" s="78" t="s">
        <v>304</v>
      </c>
      <c r="F163" s="79">
        <v>20620</v>
      </c>
      <c r="G163" s="80">
        <f t="shared" si="4"/>
        <v>18410.714285714283</v>
      </c>
      <c r="H163" s="80">
        <f t="shared" si="5"/>
        <v>2209.2857142857138</v>
      </c>
      <c r="I163" t="s">
        <v>86</v>
      </c>
    </row>
    <row r="164" spans="2:9">
      <c r="B164" s="77">
        <v>43530</v>
      </c>
      <c r="C164" s="78" t="s">
        <v>305</v>
      </c>
      <c r="D164" s="78" t="s">
        <v>306</v>
      </c>
      <c r="E164" s="78" t="s">
        <v>307</v>
      </c>
      <c r="F164" s="79">
        <v>500</v>
      </c>
      <c r="G164" s="80">
        <f t="shared" si="4"/>
        <v>446.42857142857139</v>
      </c>
      <c r="H164" s="80">
        <f t="shared" si="5"/>
        <v>53.571428571428562</v>
      </c>
      <c r="I164" t="s">
        <v>308</v>
      </c>
    </row>
    <row r="165" spans="2:9">
      <c r="B165" s="77">
        <v>43530</v>
      </c>
      <c r="C165" s="78" t="s">
        <v>305</v>
      </c>
      <c r="D165" s="78" t="s">
        <v>306</v>
      </c>
      <c r="E165" s="78" t="s">
        <v>307</v>
      </c>
      <c r="F165" s="79">
        <v>500</v>
      </c>
      <c r="G165" s="80">
        <f t="shared" si="4"/>
        <v>446.42857142857139</v>
      </c>
      <c r="H165" s="80">
        <f t="shared" si="5"/>
        <v>53.571428571428562</v>
      </c>
      <c r="I165" t="s">
        <v>308</v>
      </c>
    </row>
    <row r="166" spans="2:9">
      <c r="B166" s="77">
        <v>43526</v>
      </c>
      <c r="C166" s="78" t="s">
        <v>305</v>
      </c>
      <c r="D166" s="78" t="s">
        <v>306</v>
      </c>
      <c r="E166" s="78" t="s">
        <v>309</v>
      </c>
      <c r="F166" s="79">
        <v>500</v>
      </c>
      <c r="G166" s="80">
        <f t="shared" si="4"/>
        <v>446.42857142857139</v>
      </c>
      <c r="H166" s="80">
        <f t="shared" si="5"/>
        <v>53.571428571428562</v>
      </c>
      <c r="I166" t="s">
        <v>308</v>
      </c>
    </row>
    <row r="167" spans="2:9">
      <c r="B167" s="77">
        <v>43526</v>
      </c>
      <c r="C167" s="78" t="s">
        <v>305</v>
      </c>
      <c r="D167" s="78" t="s">
        <v>306</v>
      </c>
      <c r="E167" s="78" t="s">
        <v>309</v>
      </c>
      <c r="F167" s="79">
        <v>500</v>
      </c>
      <c r="G167" s="80">
        <f t="shared" si="4"/>
        <v>446.42857142857139</v>
      </c>
      <c r="H167" s="80">
        <f t="shared" si="5"/>
        <v>53.571428571428562</v>
      </c>
      <c r="I167" t="s">
        <v>308</v>
      </c>
    </row>
    <row r="168" spans="2:9">
      <c r="B168" s="77">
        <v>43535</v>
      </c>
      <c r="C168" s="78" t="s">
        <v>310</v>
      </c>
      <c r="D168" s="78" t="s">
        <v>311</v>
      </c>
      <c r="E168" s="78" t="s">
        <v>312</v>
      </c>
      <c r="F168" s="79">
        <v>198</v>
      </c>
      <c r="G168" s="80">
        <f t="shared" si="4"/>
        <v>176.78571428571428</v>
      </c>
      <c r="H168" s="80">
        <f t="shared" si="5"/>
        <v>21.214285714285712</v>
      </c>
      <c r="I168" t="s">
        <v>90</v>
      </c>
    </row>
    <row r="169" spans="2:9">
      <c r="B169" s="77">
        <v>43535</v>
      </c>
      <c r="C169" s="78" t="s">
        <v>310</v>
      </c>
      <c r="D169" s="78" t="s">
        <v>311</v>
      </c>
      <c r="E169" s="78" t="s">
        <v>312</v>
      </c>
      <c r="F169" s="79">
        <v>198</v>
      </c>
      <c r="G169" s="80">
        <f t="shared" si="4"/>
        <v>176.78571428571428</v>
      </c>
      <c r="H169" s="80">
        <f t="shared" si="5"/>
        <v>21.214285714285712</v>
      </c>
      <c r="I169" t="s">
        <v>90</v>
      </c>
    </row>
    <row r="170" spans="2:9">
      <c r="B170" s="77">
        <v>43575</v>
      </c>
      <c r="C170" s="78" t="s">
        <v>313</v>
      </c>
      <c r="D170" s="78" t="s">
        <v>314</v>
      </c>
      <c r="E170" s="78" t="s">
        <v>315</v>
      </c>
      <c r="F170" s="83">
        <v>297</v>
      </c>
      <c r="G170" s="80">
        <f t="shared" si="4"/>
        <v>265.17857142857139</v>
      </c>
      <c r="H170" s="80">
        <f t="shared" si="5"/>
        <v>31.821428571428566</v>
      </c>
      <c r="I170" t="s">
        <v>90</v>
      </c>
    </row>
    <row r="171" spans="2:9">
      <c r="B171" s="77">
        <v>43551</v>
      </c>
      <c r="C171" s="78" t="s">
        <v>316</v>
      </c>
      <c r="D171" s="78" t="s">
        <v>317</v>
      </c>
      <c r="E171" s="78" t="s">
        <v>318</v>
      </c>
      <c r="F171" s="79">
        <v>212</v>
      </c>
      <c r="G171" s="80">
        <f t="shared" si="4"/>
        <v>189.28571428571428</v>
      </c>
      <c r="H171" s="80">
        <f t="shared" si="5"/>
        <v>22.714285714285712</v>
      </c>
      <c r="I171" t="s">
        <v>90</v>
      </c>
    </row>
    <row r="172" spans="2:9">
      <c r="B172" s="77">
        <v>43577</v>
      </c>
      <c r="C172" s="78" t="s">
        <v>319</v>
      </c>
      <c r="D172" s="78" t="s">
        <v>320</v>
      </c>
      <c r="E172" s="78" t="s">
        <v>321</v>
      </c>
      <c r="F172" s="83">
        <v>450</v>
      </c>
      <c r="G172" s="80">
        <f t="shared" si="4"/>
        <v>401.78571428571422</v>
      </c>
      <c r="H172" s="80">
        <f t="shared" si="5"/>
        <v>48.214285714285708</v>
      </c>
      <c r="I172" t="s">
        <v>86</v>
      </c>
    </row>
    <row r="173" spans="2:9">
      <c r="B173" s="77">
        <v>43577</v>
      </c>
      <c r="C173" s="78" t="s">
        <v>322</v>
      </c>
      <c r="D173" s="78" t="s">
        <v>323</v>
      </c>
      <c r="E173" s="78" t="s">
        <v>321</v>
      </c>
      <c r="F173" s="83">
        <v>450</v>
      </c>
      <c r="G173" s="80">
        <f t="shared" si="4"/>
        <v>401.78571428571422</v>
      </c>
      <c r="H173" s="80">
        <f t="shared" si="5"/>
        <v>48.214285714285708</v>
      </c>
      <c r="I173" t="s">
        <v>86</v>
      </c>
    </row>
    <row r="174" spans="2:9">
      <c r="B174" s="77">
        <v>43556</v>
      </c>
      <c r="C174" s="78" t="s">
        <v>324</v>
      </c>
      <c r="D174" s="78" t="s">
        <v>325</v>
      </c>
      <c r="E174" s="78" t="s">
        <v>326</v>
      </c>
      <c r="F174" s="83">
        <v>156</v>
      </c>
      <c r="G174" s="80">
        <f t="shared" si="4"/>
        <v>139.28571428571428</v>
      </c>
      <c r="H174" s="80">
        <f t="shared" si="5"/>
        <v>16.714285714285712</v>
      </c>
      <c r="I174" t="s">
        <v>150</v>
      </c>
    </row>
    <row r="175" spans="2:9">
      <c r="B175" s="77">
        <v>43559</v>
      </c>
      <c r="C175" s="78" t="s">
        <v>324</v>
      </c>
      <c r="D175" s="78" t="s">
        <v>325</v>
      </c>
      <c r="E175" s="78" t="s">
        <v>326</v>
      </c>
      <c r="F175" s="83">
        <v>312</v>
      </c>
      <c r="G175" s="80">
        <f t="shared" si="4"/>
        <v>278.57142857142856</v>
      </c>
      <c r="H175" s="80">
        <f t="shared" si="5"/>
        <v>33.428571428571423</v>
      </c>
      <c r="I175" t="s">
        <v>150</v>
      </c>
    </row>
    <row r="176" spans="2:9">
      <c r="B176" s="77">
        <v>43559</v>
      </c>
      <c r="C176" s="78" t="s">
        <v>324</v>
      </c>
      <c r="D176" s="78" t="s">
        <v>325</v>
      </c>
      <c r="E176" s="78" t="s">
        <v>326</v>
      </c>
      <c r="F176" s="83">
        <v>573</v>
      </c>
      <c r="G176" s="80">
        <f t="shared" si="4"/>
        <v>511.60714285714283</v>
      </c>
      <c r="H176" s="80">
        <f t="shared" si="5"/>
        <v>61.392857142857139</v>
      </c>
      <c r="I176" t="s">
        <v>150</v>
      </c>
    </row>
    <row r="177" spans="1:9">
      <c r="B177" s="77">
        <v>43533</v>
      </c>
      <c r="C177" s="78" t="s">
        <v>327</v>
      </c>
      <c r="D177" s="78" t="s">
        <v>328</v>
      </c>
      <c r="E177" s="78" t="s">
        <v>329</v>
      </c>
      <c r="F177" s="79">
        <v>500</v>
      </c>
      <c r="G177" s="80">
        <f t="shared" si="4"/>
        <v>446.42857142857139</v>
      </c>
      <c r="H177" s="80">
        <f t="shared" si="5"/>
        <v>53.571428571428562</v>
      </c>
      <c r="I177" t="s">
        <v>308</v>
      </c>
    </row>
    <row r="178" spans="1:9">
      <c r="B178" s="77">
        <v>43527</v>
      </c>
      <c r="C178" s="78" t="s">
        <v>330</v>
      </c>
      <c r="D178" s="78" t="s">
        <v>331</v>
      </c>
      <c r="E178" s="78" t="s">
        <v>332</v>
      </c>
      <c r="F178" s="79">
        <v>680.32</v>
      </c>
      <c r="G178" s="80">
        <f t="shared" si="4"/>
        <v>607.42857142857144</v>
      </c>
      <c r="H178" s="80">
        <f t="shared" si="5"/>
        <v>72.891428571428577</v>
      </c>
      <c r="I178" t="s">
        <v>150</v>
      </c>
    </row>
    <row r="179" spans="1:9">
      <c r="B179" s="77">
        <v>43527</v>
      </c>
      <c r="C179" s="78" t="s">
        <v>330</v>
      </c>
      <c r="D179" s="78" t="s">
        <v>331</v>
      </c>
      <c r="E179" s="78" t="s">
        <v>332</v>
      </c>
      <c r="F179" s="79">
        <v>680.32</v>
      </c>
      <c r="G179" s="80">
        <f t="shared" si="4"/>
        <v>607.42857142857144</v>
      </c>
      <c r="H179" s="80">
        <f t="shared" si="5"/>
        <v>72.891428571428577</v>
      </c>
      <c r="I179" t="s">
        <v>150</v>
      </c>
    </row>
    <row r="180" spans="1:9">
      <c r="B180" s="77">
        <v>43560</v>
      </c>
      <c r="C180" s="78" t="s">
        <v>333</v>
      </c>
      <c r="D180" s="78" t="s">
        <v>334</v>
      </c>
      <c r="E180" s="78" t="s">
        <v>335</v>
      </c>
      <c r="F180" s="83">
        <v>2300.2399999999998</v>
      </c>
      <c r="G180" s="80">
        <f t="shared" si="4"/>
        <v>2053.7857142857138</v>
      </c>
      <c r="H180" s="80">
        <f t="shared" si="5"/>
        <v>246.45428571428565</v>
      </c>
      <c r="I180" t="s">
        <v>308</v>
      </c>
    </row>
    <row r="181" spans="1:9">
      <c r="B181" s="77">
        <v>43550</v>
      </c>
      <c r="C181" s="78" t="s">
        <v>333</v>
      </c>
      <c r="D181" s="78" t="s">
        <v>336</v>
      </c>
      <c r="E181" s="78" t="s">
        <v>335</v>
      </c>
      <c r="F181" s="79">
        <v>2234.44</v>
      </c>
      <c r="G181" s="80">
        <f t="shared" si="4"/>
        <v>1995.0357142857142</v>
      </c>
      <c r="H181" s="80">
        <f t="shared" si="5"/>
        <v>239.40428571428569</v>
      </c>
      <c r="I181" t="s">
        <v>308</v>
      </c>
    </row>
    <row r="182" spans="1:9">
      <c r="B182" s="77">
        <v>43555</v>
      </c>
      <c r="C182" s="78" t="s">
        <v>337</v>
      </c>
      <c r="D182" s="78" t="s">
        <v>287</v>
      </c>
      <c r="E182" s="78" t="s">
        <v>335</v>
      </c>
      <c r="F182" s="79">
        <v>1557.66</v>
      </c>
      <c r="G182" s="80">
        <f t="shared" si="4"/>
        <v>1390.7678571428571</v>
      </c>
      <c r="H182" s="80">
        <f t="shared" si="5"/>
        <v>166.89214285714286</v>
      </c>
      <c r="I182" t="s">
        <v>308</v>
      </c>
    </row>
    <row r="183" spans="1:9">
      <c r="B183" s="77">
        <v>43530</v>
      </c>
      <c r="C183" s="78" t="s">
        <v>338</v>
      </c>
      <c r="D183" s="78" t="s">
        <v>339</v>
      </c>
      <c r="E183" s="78" t="s">
        <v>340</v>
      </c>
      <c r="F183" s="79">
        <v>4600</v>
      </c>
      <c r="G183" s="80">
        <f t="shared" si="4"/>
        <v>4107.1428571428569</v>
      </c>
      <c r="H183" s="80">
        <f t="shared" si="5"/>
        <v>492.85714285714283</v>
      </c>
      <c r="I183" t="s">
        <v>341</v>
      </c>
    </row>
    <row r="184" spans="1:9">
      <c r="B184" s="77">
        <v>43530</v>
      </c>
      <c r="C184" s="78" t="s">
        <v>338</v>
      </c>
      <c r="D184" s="78" t="s">
        <v>339</v>
      </c>
      <c r="E184" s="78" t="s">
        <v>340</v>
      </c>
      <c r="F184" s="79">
        <v>4600</v>
      </c>
      <c r="G184" s="80">
        <f t="shared" si="4"/>
        <v>4107.1428571428569</v>
      </c>
      <c r="H184" s="80">
        <f t="shared" si="5"/>
        <v>492.85714285714283</v>
      </c>
      <c r="I184" t="s">
        <v>341</v>
      </c>
    </row>
    <row r="185" spans="1:9">
      <c r="B185" s="77">
        <v>43535</v>
      </c>
      <c r="C185" s="78" t="s">
        <v>342</v>
      </c>
      <c r="D185" s="78" t="s">
        <v>343</v>
      </c>
      <c r="E185" s="78" t="s">
        <v>344</v>
      </c>
      <c r="F185" s="79">
        <v>120347.9</v>
      </c>
      <c r="G185" s="80">
        <f t="shared" si="4"/>
        <v>107453.48214285713</v>
      </c>
      <c r="H185" s="80">
        <f t="shared" si="5"/>
        <v>12894.417857142855</v>
      </c>
      <c r="I185" t="s">
        <v>86</v>
      </c>
    </row>
    <row r="186" spans="1:9">
      <c r="B186" s="77">
        <v>43579</v>
      </c>
      <c r="C186" s="78" t="s">
        <v>345</v>
      </c>
      <c r="D186" s="78" t="s">
        <v>346</v>
      </c>
      <c r="E186" s="78" t="s">
        <v>347</v>
      </c>
      <c r="F186" s="83">
        <v>2600</v>
      </c>
      <c r="G186" s="80">
        <f t="shared" si="4"/>
        <v>2321.4285714285711</v>
      </c>
      <c r="H186" s="80">
        <f t="shared" si="5"/>
        <v>278.5714285714285</v>
      </c>
      <c r="I186" t="s">
        <v>86</v>
      </c>
    </row>
    <row r="187" spans="1:9">
      <c r="B187" s="77">
        <v>43579</v>
      </c>
      <c r="C187" s="78" t="s">
        <v>345</v>
      </c>
      <c r="D187" s="78" t="s">
        <v>348</v>
      </c>
      <c r="E187" s="78" t="s">
        <v>347</v>
      </c>
      <c r="F187" s="83">
        <v>2600</v>
      </c>
      <c r="G187" s="80">
        <f t="shared" si="4"/>
        <v>2321.4285714285711</v>
      </c>
      <c r="H187" s="80">
        <f t="shared" si="5"/>
        <v>278.5714285714285</v>
      </c>
      <c r="I187" t="s">
        <v>86</v>
      </c>
    </row>
    <row r="188" spans="1:9">
      <c r="B188" s="77">
        <v>43527</v>
      </c>
      <c r="C188" s="78" t="s">
        <v>349</v>
      </c>
      <c r="D188" s="78" t="s">
        <v>350</v>
      </c>
      <c r="E188" s="78" t="s">
        <v>351</v>
      </c>
      <c r="F188" s="79">
        <v>500</v>
      </c>
      <c r="G188" s="80">
        <f t="shared" si="4"/>
        <v>446.42857142857139</v>
      </c>
      <c r="H188" s="80">
        <f t="shared" si="5"/>
        <v>53.571428571428562</v>
      </c>
      <c r="I188" t="s">
        <v>308</v>
      </c>
    </row>
    <row r="189" spans="1:9">
      <c r="A189" s="85">
        <v>43501</v>
      </c>
      <c r="B189" s="77">
        <v>43527</v>
      </c>
      <c r="C189" s="78" t="s">
        <v>349</v>
      </c>
      <c r="D189" s="78" t="s">
        <v>350</v>
      </c>
      <c r="E189" s="78" t="s">
        <v>351</v>
      </c>
      <c r="F189" s="79">
        <v>500</v>
      </c>
      <c r="G189" s="80">
        <f t="shared" si="4"/>
        <v>446.42857142857139</v>
      </c>
      <c r="H189" s="80">
        <f t="shared" si="5"/>
        <v>53.571428571428562</v>
      </c>
      <c r="I189" t="s">
        <v>308</v>
      </c>
    </row>
    <row r="190" spans="1:9">
      <c r="B190" s="77">
        <v>43528</v>
      </c>
      <c r="C190" s="78" t="s">
        <v>352</v>
      </c>
      <c r="D190" s="78" t="s">
        <v>353</v>
      </c>
      <c r="E190" s="78" t="s">
        <v>354</v>
      </c>
      <c r="F190" s="79">
        <v>500</v>
      </c>
      <c r="G190" s="80">
        <f t="shared" si="4"/>
        <v>446.42857142857139</v>
      </c>
      <c r="H190" s="80">
        <f t="shared" si="5"/>
        <v>53.571428571428562</v>
      </c>
      <c r="I190" t="s">
        <v>308</v>
      </c>
    </row>
    <row r="191" spans="1:9">
      <c r="B191" s="77">
        <v>43528</v>
      </c>
      <c r="C191" s="78" t="s">
        <v>352</v>
      </c>
      <c r="D191" s="78" t="s">
        <v>353</v>
      </c>
      <c r="E191" s="78" t="s">
        <v>354</v>
      </c>
      <c r="F191" s="79">
        <v>500</v>
      </c>
      <c r="G191" s="80">
        <f t="shared" si="4"/>
        <v>446.42857142857139</v>
      </c>
      <c r="H191" s="80">
        <f t="shared" si="5"/>
        <v>53.571428571428562</v>
      </c>
      <c r="I191" t="s">
        <v>308</v>
      </c>
    </row>
    <row r="192" spans="1:9">
      <c r="B192" s="77">
        <v>43559</v>
      </c>
      <c r="C192" s="78" t="s">
        <v>355</v>
      </c>
      <c r="D192" s="78"/>
      <c r="E192" s="78" t="s">
        <v>356</v>
      </c>
      <c r="F192" s="83">
        <v>180</v>
      </c>
      <c r="G192" s="80">
        <f t="shared" si="4"/>
        <v>160.71428571428569</v>
      </c>
      <c r="H192" s="80">
        <f t="shared" si="5"/>
        <v>19.285714285714281</v>
      </c>
      <c r="I192" t="s">
        <v>150</v>
      </c>
    </row>
    <row r="193" spans="2:9">
      <c r="B193" s="77">
        <v>43561</v>
      </c>
      <c r="C193" s="78" t="s">
        <v>357</v>
      </c>
      <c r="D193" s="78" t="s">
        <v>358</v>
      </c>
      <c r="E193" s="78" t="s">
        <v>359</v>
      </c>
      <c r="F193" s="83">
        <v>700</v>
      </c>
      <c r="G193" s="80">
        <f t="shared" si="4"/>
        <v>624.99999999999989</v>
      </c>
      <c r="H193" s="80">
        <f t="shared" si="5"/>
        <v>74.999999999999986</v>
      </c>
      <c r="I193" t="s">
        <v>308</v>
      </c>
    </row>
    <row r="194" spans="2:9">
      <c r="B194" s="77">
        <v>43549</v>
      </c>
      <c r="C194" s="78" t="s">
        <v>360</v>
      </c>
      <c r="D194" s="78" t="s">
        <v>361</v>
      </c>
      <c r="E194" s="78" t="s">
        <v>359</v>
      </c>
      <c r="F194" s="79">
        <v>1000</v>
      </c>
      <c r="G194" s="80">
        <f t="shared" si="4"/>
        <v>892.85714285714278</v>
      </c>
      <c r="H194" s="80">
        <f t="shared" si="5"/>
        <v>107.14285714285712</v>
      </c>
      <c r="I194" t="s">
        <v>308</v>
      </c>
    </row>
    <row r="195" spans="2:9">
      <c r="B195" s="77">
        <v>43551</v>
      </c>
      <c r="C195" s="78" t="s">
        <v>362</v>
      </c>
      <c r="D195" s="78" t="s">
        <v>363</v>
      </c>
      <c r="E195" s="78" t="s">
        <v>364</v>
      </c>
      <c r="F195" s="79">
        <v>120</v>
      </c>
      <c r="G195" s="80">
        <f t="shared" si="4"/>
        <v>107.14285714285714</v>
      </c>
      <c r="H195" s="80">
        <f t="shared" si="5"/>
        <v>12.857142857142856</v>
      </c>
      <c r="I195" t="s">
        <v>150</v>
      </c>
    </row>
    <row r="196" spans="2:9">
      <c r="B196" s="77">
        <v>43553</v>
      </c>
      <c r="C196" s="78" t="s">
        <v>365</v>
      </c>
      <c r="D196" s="78" t="s">
        <v>366</v>
      </c>
      <c r="E196" s="78" t="s">
        <v>367</v>
      </c>
      <c r="F196" s="79">
        <v>2429.29</v>
      </c>
      <c r="G196" s="80">
        <f t="shared" ref="G196:G259" si="6">F196/1.12</f>
        <v>2169.0089285714284</v>
      </c>
      <c r="H196" s="80">
        <f t="shared" ref="H196:H259" si="7">G196*0.12</f>
        <v>260.28107142857141</v>
      </c>
      <c r="I196" t="s">
        <v>308</v>
      </c>
    </row>
    <row r="197" spans="2:9">
      <c r="B197" s="77">
        <v>43443</v>
      </c>
      <c r="C197" s="78" t="s">
        <v>368</v>
      </c>
      <c r="D197" s="78"/>
      <c r="E197" s="78" t="s">
        <v>369</v>
      </c>
      <c r="F197" s="82">
        <v>270</v>
      </c>
      <c r="G197" s="80">
        <f t="shared" si="6"/>
        <v>241.07142857142856</v>
      </c>
      <c r="H197" s="80">
        <f t="shared" si="7"/>
        <v>28.928571428571427</v>
      </c>
      <c r="I197" t="s">
        <v>150</v>
      </c>
    </row>
    <row r="198" spans="2:9">
      <c r="B198" s="77">
        <v>43443</v>
      </c>
      <c r="C198" s="78" t="s">
        <v>368</v>
      </c>
      <c r="D198" s="78"/>
      <c r="E198" s="78" t="s">
        <v>369</v>
      </c>
      <c r="F198" s="82">
        <v>150</v>
      </c>
      <c r="G198" s="80">
        <f t="shared" si="6"/>
        <v>133.92857142857142</v>
      </c>
      <c r="H198" s="80">
        <f t="shared" si="7"/>
        <v>16.071428571428569</v>
      </c>
      <c r="I198" t="s">
        <v>150</v>
      </c>
    </row>
    <row r="199" spans="2:9">
      <c r="B199" s="77">
        <v>43443</v>
      </c>
      <c r="C199" s="78" t="s">
        <v>368</v>
      </c>
      <c r="D199" s="78"/>
      <c r="E199" s="78" t="s">
        <v>369</v>
      </c>
      <c r="F199" s="82">
        <v>95</v>
      </c>
      <c r="G199" s="80">
        <f t="shared" si="6"/>
        <v>84.821428571428569</v>
      </c>
      <c r="H199" s="80">
        <f t="shared" si="7"/>
        <v>10.178571428571429</v>
      </c>
      <c r="I199" t="s">
        <v>150</v>
      </c>
    </row>
    <row r="200" spans="2:9">
      <c r="B200" s="77">
        <v>43444</v>
      </c>
      <c r="C200" s="78" t="s">
        <v>368</v>
      </c>
      <c r="D200" s="78"/>
      <c r="E200" s="78" t="s">
        <v>369</v>
      </c>
      <c r="F200" s="82">
        <v>2880</v>
      </c>
      <c r="G200" s="80">
        <f t="shared" si="6"/>
        <v>2571.4285714285711</v>
      </c>
      <c r="H200" s="80">
        <f t="shared" si="7"/>
        <v>308.5714285714285</v>
      </c>
      <c r="I200" t="s">
        <v>150</v>
      </c>
    </row>
    <row r="201" spans="2:9">
      <c r="B201" s="77">
        <v>43447</v>
      </c>
      <c r="C201" s="78" t="s">
        <v>368</v>
      </c>
      <c r="D201" s="78"/>
      <c r="E201" s="78" t="s">
        <v>369</v>
      </c>
      <c r="F201" s="82">
        <v>300</v>
      </c>
      <c r="G201" s="80">
        <f t="shared" si="6"/>
        <v>267.85714285714283</v>
      </c>
      <c r="H201" s="80">
        <f t="shared" si="7"/>
        <v>32.142857142857139</v>
      </c>
      <c r="I201" t="s">
        <v>150</v>
      </c>
    </row>
    <row r="202" spans="2:9">
      <c r="B202" s="77">
        <v>43475</v>
      </c>
      <c r="C202" s="78" t="s">
        <v>368</v>
      </c>
      <c r="D202" s="78"/>
      <c r="E202" s="78" t="s">
        <v>369</v>
      </c>
      <c r="F202" s="82">
        <v>330</v>
      </c>
      <c r="G202" s="80">
        <f t="shared" si="6"/>
        <v>294.64285714285711</v>
      </c>
      <c r="H202" s="80">
        <f t="shared" si="7"/>
        <v>35.357142857142854</v>
      </c>
      <c r="I202" t="s">
        <v>150</v>
      </c>
    </row>
    <row r="203" spans="2:9">
      <c r="B203" s="77">
        <v>43455</v>
      </c>
      <c r="C203" s="78" t="s">
        <v>368</v>
      </c>
      <c r="D203" s="78"/>
      <c r="E203" s="78" t="s">
        <v>369</v>
      </c>
      <c r="F203" s="82">
        <v>2100</v>
      </c>
      <c r="G203" s="80">
        <f t="shared" si="6"/>
        <v>1874.9999999999998</v>
      </c>
      <c r="H203" s="80">
        <f t="shared" si="7"/>
        <v>224.99999999999997</v>
      </c>
      <c r="I203" t="s">
        <v>150</v>
      </c>
    </row>
    <row r="204" spans="2:9">
      <c r="B204" s="77">
        <v>43472</v>
      </c>
      <c r="C204" s="78" t="s">
        <v>368</v>
      </c>
      <c r="D204" s="78"/>
      <c r="E204" s="78" t="s">
        <v>369</v>
      </c>
      <c r="F204" s="82">
        <v>60</v>
      </c>
      <c r="G204" s="80">
        <f t="shared" si="6"/>
        <v>53.571428571428569</v>
      </c>
      <c r="H204" s="80">
        <f t="shared" si="7"/>
        <v>6.4285714285714279</v>
      </c>
      <c r="I204" t="s">
        <v>150</v>
      </c>
    </row>
    <row r="205" spans="2:9">
      <c r="B205" s="77">
        <v>43473</v>
      </c>
      <c r="C205" s="78" t="s">
        <v>368</v>
      </c>
      <c r="D205" s="78"/>
      <c r="E205" s="78" t="s">
        <v>369</v>
      </c>
      <c r="F205" s="82">
        <v>120</v>
      </c>
      <c r="G205" s="80">
        <f t="shared" si="6"/>
        <v>107.14285714285714</v>
      </c>
      <c r="H205" s="80">
        <f t="shared" si="7"/>
        <v>12.857142857142856</v>
      </c>
      <c r="I205" t="s">
        <v>150</v>
      </c>
    </row>
    <row r="206" spans="2:9">
      <c r="B206" s="77">
        <v>43566</v>
      </c>
      <c r="C206" s="78" t="s">
        <v>370</v>
      </c>
      <c r="D206" s="78" t="s">
        <v>371</v>
      </c>
      <c r="E206" s="78" t="s">
        <v>372</v>
      </c>
      <c r="F206" s="83">
        <v>5385</v>
      </c>
      <c r="G206" s="80">
        <f t="shared" si="6"/>
        <v>4808.0357142857138</v>
      </c>
      <c r="H206" s="80">
        <f t="shared" si="7"/>
        <v>576.96428571428567</v>
      </c>
      <c r="I206" t="s">
        <v>86</v>
      </c>
    </row>
    <row r="207" spans="2:9">
      <c r="B207" s="77">
        <v>43567</v>
      </c>
      <c r="C207" s="78" t="s">
        <v>370</v>
      </c>
      <c r="D207" s="78" t="s">
        <v>371</v>
      </c>
      <c r="E207" s="78" t="s">
        <v>372</v>
      </c>
      <c r="F207" s="83">
        <v>5980</v>
      </c>
      <c r="G207" s="80">
        <f t="shared" si="6"/>
        <v>5339.2857142857138</v>
      </c>
      <c r="H207" s="80">
        <f t="shared" si="7"/>
        <v>640.71428571428567</v>
      </c>
      <c r="I207" t="s">
        <v>86</v>
      </c>
    </row>
    <row r="208" spans="2:9">
      <c r="B208" s="77">
        <v>43530</v>
      </c>
      <c r="C208" s="78" t="s">
        <v>373</v>
      </c>
      <c r="D208" s="78" t="s">
        <v>374</v>
      </c>
      <c r="E208" s="78" t="s">
        <v>372</v>
      </c>
      <c r="F208" s="79">
        <v>5140</v>
      </c>
      <c r="G208" s="80">
        <f t="shared" si="6"/>
        <v>4589.2857142857138</v>
      </c>
      <c r="H208" s="80">
        <f t="shared" si="7"/>
        <v>550.71428571428567</v>
      </c>
      <c r="I208" t="s">
        <v>86</v>
      </c>
    </row>
    <row r="209" spans="2:9">
      <c r="B209" s="77">
        <v>43530</v>
      </c>
      <c r="C209" s="78" t="s">
        <v>373</v>
      </c>
      <c r="D209" s="78" t="s">
        <v>374</v>
      </c>
      <c r="E209" s="78" t="s">
        <v>372</v>
      </c>
      <c r="F209" s="79">
        <v>5140</v>
      </c>
      <c r="G209" s="80">
        <f t="shared" si="6"/>
        <v>4589.2857142857138</v>
      </c>
      <c r="H209" s="80">
        <f t="shared" si="7"/>
        <v>550.71428571428567</v>
      </c>
      <c r="I209" t="s">
        <v>86</v>
      </c>
    </row>
    <row r="210" spans="2:9">
      <c r="B210" s="77">
        <v>43568</v>
      </c>
      <c r="C210" s="78" t="s">
        <v>375</v>
      </c>
      <c r="D210" s="78" t="s">
        <v>376</v>
      </c>
      <c r="E210" s="78" t="s">
        <v>377</v>
      </c>
      <c r="F210" s="83">
        <v>11731</v>
      </c>
      <c r="G210" s="80">
        <f t="shared" si="6"/>
        <v>10474.107142857141</v>
      </c>
      <c r="H210" s="80">
        <f t="shared" si="7"/>
        <v>1256.8928571428569</v>
      </c>
      <c r="I210" t="s">
        <v>86</v>
      </c>
    </row>
    <row r="211" spans="2:9">
      <c r="B211" s="77">
        <v>43573</v>
      </c>
      <c r="C211" s="78" t="s">
        <v>378</v>
      </c>
      <c r="D211" s="78" t="s">
        <v>379</v>
      </c>
      <c r="E211" s="78" t="s">
        <v>380</v>
      </c>
      <c r="F211" s="83">
        <v>528.75</v>
      </c>
      <c r="G211" s="80">
        <f t="shared" si="6"/>
        <v>472.09821428571422</v>
      </c>
      <c r="H211" s="80">
        <f t="shared" si="7"/>
        <v>56.651785714285701</v>
      </c>
      <c r="I211" t="s">
        <v>150</v>
      </c>
    </row>
    <row r="212" spans="2:9">
      <c r="B212" s="77">
        <v>43564</v>
      </c>
      <c r="C212" s="78" t="s">
        <v>381</v>
      </c>
      <c r="D212" s="78" t="s">
        <v>382</v>
      </c>
      <c r="E212" s="78" t="s">
        <v>383</v>
      </c>
      <c r="F212" s="83">
        <v>19354.400000000001</v>
      </c>
      <c r="G212" s="80">
        <f t="shared" si="6"/>
        <v>17280.714285714286</v>
      </c>
      <c r="H212" s="80">
        <f t="shared" si="7"/>
        <v>2073.6857142857143</v>
      </c>
      <c r="I212" t="s">
        <v>86</v>
      </c>
    </row>
    <row r="213" spans="2:9">
      <c r="B213" s="77">
        <v>43564</v>
      </c>
      <c r="C213" s="78" t="s">
        <v>381</v>
      </c>
      <c r="D213" s="78" t="s">
        <v>382</v>
      </c>
      <c r="E213" t="s">
        <v>86</v>
      </c>
      <c r="F213" s="83">
        <v>1324.77</v>
      </c>
      <c r="G213" s="80">
        <f t="shared" si="6"/>
        <v>1182.8303571428571</v>
      </c>
      <c r="H213" s="80">
        <f t="shared" si="7"/>
        <v>141.93964285714284</v>
      </c>
      <c r="I213" t="s">
        <v>86</v>
      </c>
    </row>
    <row r="214" spans="2:9">
      <c r="B214" s="77">
        <v>43577</v>
      </c>
      <c r="C214" s="78" t="s">
        <v>384</v>
      </c>
      <c r="D214" s="78" t="s">
        <v>385</v>
      </c>
      <c r="E214" s="78" t="s">
        <v>386</v>
      </c>
      <c r="F214" s="83">
        <v>666</v>
      </c>
      <c r="G214" s="80">
        <f t="shared" si="6"/>
        <v>594.64285714285711</v>
      </c>
      <c r="H214" s="80">
        <f t="shared" si="7"/>
        <v>71.357142857142847</v>
      </c>
      <c r="I214" t="s">
        <v>387</v>
      </c>
    </row>
    <row r="215" spans="2:9">
      <c r="B215" s="77">
        <v>43577</v>
      </c>
      <c r="C215" s="78" t="s">
        <v>388</v>
      </c>
      <c r="D215" s="78" t="s">
        <v>389</v>
      </c>
      <c r="E215" s="78" t="s">
        <v>386</v>
      </c>
      <c r="F215" s="83">
        <v>666</v>
      </c>
      <c r="G215" s="80">
        <f t="shared" si="6"/>
        <v>594.64285714285711</v>
      </c>
      <c r="H215" s="80">
        <f t="shared" si="7"/>
        <v>71.357142857142847</v>
      </c>
      <c r="I215" t="s">
        <v>387</v>
      </c>
    </row>
    <row r="216" spans="2:9">
      <c r="B216" s="77">
        <v>43526</v>
      </c>
      <c r="C216" s="78" t="s">
        <v>390</v>
      </c>
      <c r="D216" s="78" t="s">
        <v>391</v>
      </c>
      <c r="E216" s="78" t="s">
        <v>392</v>
      </c>
      <c r="F216" s="79">
        <v>60</v>
      </c>
      <c r="G216" s="80">
        <f t="shared" si="6"/>
        <v>53.571428571428569</v>
      </c>
      <c r="H216" s="80">
        <f t="shared" si="7"/>
        <v>6.4285714285714279</v>
      </c>
      <c r="I216" t="s">
        <v>108</v>
      </c>
    </row>
    <row r="217" spans="2:9">
      <c r="B217" s="77">
        <v>43526</v>
      </c>
      <c r="C217" s="78" t="s">
        <v>390</v>
      </c>
      <c r="D217" s="78" t="s">
        <v>391</v>
      </c>
      <c r="E217" s="78" t="s">
        <v>392</v>
      </c>
      <c r="F217" s="79">
        <v>60</v>
      </c>
      <c r="G217" s="80">
        <f t="shared" si="6"/>
        <v>53.571428571428569</v>
      </c>
      <c r="H217" s="80">
        <f t="shared" si="7"/>
        <v>6.4285714285714279</v>
      </c>
      <c r="I217" t="s">
        <v>108</v>
      </c>
    </row>
    <row r="218" spans="2:9">
      <c r="B218" s="77">
        <v>43557</v>
      </c>
      <c r="C218" s="78" t="s">
        <v>393</v>
      </c>
      <c r="D218" s="78" t="s">
        <v>394</v>
      </c>
      <c r="E218" s="78" t="s">
        <v>395</v>
      </c>
      <c r="F218" s="83">
        <v>1512</v>
      </c>
      <c r="G218" s="80">
        <f t="shared" si="6"/>
        <v>1349.9999999999998</v>
      </c>
      <c r="H218" s="80">
        <f t="shared" si="7"/>
        <v>161.99999999999997</v>
      </c>
      <c r="I218" t="s">
        <v>308</v>
      </c>
    </row>
    <row r="219" spans="2:9">
      <c r="B219" s="77">
        <v>43565</v>
      </c>
      <c r="C219" s="78" t="s">
        <v>393</v>
      </c>
      <c r="D219" s="78" t="s">
        <v>394</v>
      </c>
      <c r="E219" s="78" t="s">
        <v>395</v>
      </c>
      <c r="F219" s="83">
        <v>3550</v>
      </c>
      <c r="G219" s="80">
        <f t="shared" si="6"/>
        <v>3169.6428571428569</v>
      </c>
      <c r="H219" s="80">
        <f t="shared" si="7"/>
        <v>380.35714285714283</v>
      </c>
      <c r="I219" t="s">
        <v>308</v>
      </c>
    </row>
    <row r="220" spans="2:9">
      <c r="B220" s="77">
        <v>43582</v>
      </c>
      <c r="C220" s="78" t="s">
        <v>70</v>
      </c>
      <c r="D220" s="78" t="s">
        <v>396</v>
      </c>
      <c r="E220" s="78" t="s">
        <v>395</v>
      </c>
      <c r="F220" s="83">
        <v>2034</v>
      </c>
      <c r="G220" s="80">
        <f t="shared" si="6"/>
        <v>1816.0714285714284</v>
      </c>
      <c r="H220" s="80">
        <f t="shared" si="7"/>
        <v>217.92857142857142</v>
      </c>
      <c r="I220" t="s">
        <v>308</v>
      </c>
    </row>
    <row r="221" spans="2:9">
      <c r="B221" s="77">
        <v>43582</v>
      </c>
      <c r="C221" s="78" t="s">
        <v>393</v>
      </c>
      <c r="D221" s="78" t="s">
        <v>394</v>
      </c>
      <c r="E221" s="78" t="s">
        <v>395</v>
      </c>
      <c r="F221" s="83">
        <v>2034</v>
      </c>
      <c r="G221" s="80">
        <f t="shared" si="6"/>
        <v>1816.0714285714284</v>
      </c>
      <c r="H221" s="80">
        <f t="shared" si="7"/>
        <v>217.92857142857142</v>
      </c>
      <c r="I221" t="s">
        <v>308</v>
      </c>
    </row>
    <row r="222" spans="2:9">
      <c r="B222" s="77">
        <v>43531</v>
      </c>
      <c r="C222" s="78" t="s">
        <v>70</v>
      </c>
      <c r="D222" s="78" t="s">
        <v>396</v>
      </c>
      <c r="E222" s="78" t="s">
        <v>395</v>
      </c>
      <c r="F222" s="79">
        <v>2188</v>
      </c>
      <c r="G222" s="80">
        <f t="shared" si="6"/>
        <v>1953.5714285714284</v>
      </c>
      <c r="H222" s="80">
        <f t="shared" si="7"/>
        <v>234.42857142857142</v>
      </c>
      <c r="I222" t="s">
        <v>308</v>
      </c>
    </row>
    <row r="223" spans="2:9">
      <c r="B223" s="77">
        <v>43556</v>
      </c>
      <c r="C223" s="78" t="s">
        <v>69</v>
      </c>
      <c r="D223" s="78" t="s">
        <v>397</v>
      </c>
      <c r="E223" s="78" t="s">
        <v>398</v>
      </c>
      <c r="F223" s="83">
        <v>35</v>
      </c>
      <c r="G223" s="80">
        <f t="shared" si="6"/>
        <v>31.249999999999996</v>
      </c>
      <c r="H223" s="80">
        <f t="shared" si="7"/>
        <v>3.7499999999999996</v>
      </c>
      <c r="I223" t="s">
        <v>108</v>
      </c>
    </row>
    <row r="224" spans="2:9">
      <c r="B224" s="77">
        <v>43556</v>
      </c>
      <c r="C224" s="78" t="s">
        <v>69</v>
      </c>
      <c r="D224" s="78" t="s">
        <v>397</v>
      </c>
      <c r="E224" s="78" t="s">
        <v>398</v>
      </c>
      <c r="F224" s="83">
        <v>24</v>
      </c>
      <c r="G224" s="80">
        <f t="shared" si="6"/>
        <v>21.428571428571427</v>
      </c>
      <c r="H224" s="80">
        <f t="shared" si="7"/>
        <v>2.5714285714285712</v>
      </c>
      <c r="I224" t="s">
        <v>108</v>
      </c>
    </row>
    <row r="225" spans="2:9">
      <c r="B225" s="77">
        <v>43557</v>
      </c>
      <c r="C225" s="78" t="s">
        <v>69</v>
      </c>
      <c r="D225" s="78" t="s">
        <v>397</v>
      </c>
      <c r="E225" s="78" t="s">
        <v>398</v>
      </c>
      <c r="F225" s="83">
        <v>193</v>
      </c>
      <c r="G225" s="80">
        <f t="shared" si="6"/>
        <v>172.32142857142856</v>
      </c>
      <c r="H225" s="80">
        <f t="shared" si="7"/>
        <v>20.678571428571427</v>
      </c>
      <c r="I225" t="s">
        <v>108</v>
      </c>
    </row>
    <row r="226" spans="2:9">
      <c r="B226" s="77">
        <v>43561</v>
      </c>
      <c r="C226" s="78" t="s">
        <v>69</v>
      </c>
      <c r="D226" s="78" t="s">
        <v>397</v>
      </c>
      <c r="E226" s="78" t="s">
        <v>398</v>
      </c>
      <c r="F226" s="83">
        <v>193</v>
      </c>
      <c r="G226" s="80">
        <f t="shared" si="6"/>
        <v>172.32142857142856</v>
      </c>
      <c r="H226" s="80">
        <f t="shared" si="7"/>
        <v>20.678571428571427</v>
      </c>
      <c r="I226" t="s">
        <v>108</v>
      </c>
    </row>
    <row r="227" spans="2:9">
      <c r="B227" s="77">
        <v>43562</v>
      </c>
      <c r="C227" s="78" t="s">
        <v>69</v>
      </c>
      <c r="D227" s="78" t="s">
        <v>397</v>
      </c>
      <c r="E227" s="78" t="s">
        <v>398</v>
      </c>
      <c r="F227" s="83">
        <v>19</v>
      </c>
      <c r="G227" s="80">
        <f t="shared" si="6"/>
        <v>16.964285714285712</v>
      </c>
      <c r="H227" s="80">
        <f t="shared" si="7"/>
        <v>2.0357142857142851</v>
      </c>
      <c r="I227" t="s">
        <v>108</v>
      </c>
    </row>
    <row r="228" spans="2:9">
      <c r="B228" s="77">
        <v>43545</v>
      </c>
      <c r="C228" s="78" t="s">
        <v>69</v>
      </c>
      <c r="D228" s="78" t="s">
        <v>397</v>
      </c>
      <c r="E228" s="78" t="s">
        <v>398</v>
      </c>
      <c r="F228" s="79">
        <v>19</v>
      </c>
      <c r="G228" s="80">
        <f t="shared" si="6"/>
        <v>16.964285714285712</v>
      </c>
      <c r="H228" s="80">
        <f t="shared" si="7"/>
        <v>2.0357142857142851</v>
      </c>
      <c r="I228" t="s">
        <v>108</v>
      </c>
    </row>
    <row r="229" spans="2:9">
      <c r="B229" s="77">
        <v>43545</v>
      </c>
      <c r="C229" s="78" t="s">
        <v>69</v>
      </c>
      <c r="D229" s="78" t="s">
        <v>397</v>
      </c>
      <c r="E229" s="78" t="s">
        <v>398</v>
      </c>
      <c r="F229" s="79">
        <v>19</v>
      </c>
      <c r="G229" s="80">
        <f t="shared" si="6"/>
        <v>16.964285714285712</v>
      </c>
      <c r="H229" s="80">
        <f t="shared" si="7"/>
        <v>2.0357142857142851</v>
      </c>
      <c r="I229" t="s">
        <v>108</v>
      </c>
    </row>
    <row r="230" spans="2:9">
      <c r="B230" s="77">
        <v>43545</v>
      </c>
      <c r="C230" s="78" t="s">
        <v>69</v>
      </c>
      <c r="D230" s="78" t="s">
        <v>397</v>
      </c>
      <c r="E230" s="78" t="s">
        <v>398</v>
      </c>
      <c r="F230" s="79">
        <v>175</v>
      </c>
      <c r="G230" s="80">
        <f t="shared" si="6"/>
        <v>156.24999999999997</v>
      </c>
      <c r="H230" s="80">
        <f t="shared" si="7"/>
        <v>18.749999999999996</v>
      </c>
      <c r="I230" t="s">
        <v>108</v>
      </c>
    </row>
    <row r="231" spans="2:9">
      <c r="B231" s="77">
        <v>43545</v>
      </c>
      <c r="C231" s="78" t="s">
        <v>69</v>
      </c>
      <c r="D231" s="78" t="s">
        <v>397</v>
      </c>
      <c r="E231" s="78" t="s">
        <v>398</v>
      </c>
      <c r="F231" s="79">
        <v>19</v>
      </c>
      <c r="G231" s="80">
        <f t="shared" si="6"/>
        <v>16.964285714285712</v>
      </c>
      <c r="H231" s="80">
        <f t="shared" si="7"/>
        <v>2.0357142857142851</v>
      </c>
      <c r="I231" t="s">
        <v>108</v>
      </c>
    </row>
    <row r="232" spans="2:9">
      <c r="B232" s="77">
        <v>43545</v>
      </c>
      <c r="C232" s="78" t="s">
        <v>69</v>
      </c>
      <c r="D232" s="78" t="s">
        <v>397</v>
      </c>
      <c r="E232" s="78" t="s">
        <v>398</v>
      </c>
      <c r="F232" s="79">
        <v>19</v>
      </c>
      <c r="G232" s="80">
        <f t="shared" si="6"/>
        <v>16.964285714285712</v>
      </c>
      <c r="H232" s="80">
        <f t="shared" si="7"/>
        <v>2.0357142857142851</v>
      </c>
      <c r="I232" t="s">
        <v>108</v>
      </c>
    </row>
    <row r="233" spans="2:9">
      <c r="B233" s="77">
        <v>43546</v>
      </c>
      <c r="C233" s="78" t="s">
        <v>69</v>
      </c>
      <c r="D233" s="78" t="s">
        <v>397</v>
      </c>
      <c r="E233" s="78" t="s">
        <v>398</v>
      </c>
      <c r="F233" s="79">
        <v>19</v>
      </c>
      <c r="G233" s="80">
        <f t="shared" si="6"/>
        <v>16.964285714285712</v>
      </c>
      <c r="H233" s="80">
        <f t="shared" si="7"/>
        <v>2.0357142857142851</v>
      </c>
      <c r="I233" t="s">
        <v>108</v>
      </c>
    </row>
    <row r="234" spans="2:9">
      <c r="B234" s="77">
        <v>43546</v>
      </c>
      <c r="C234" s="78" t="s">
        <v>69</v>
      </c>
      <c r="D234" s="78" t="s">
        <v>397</v>
      </c>
      <c r="E234" s="78" t="s">
        <v>398</v>
      </c>
      <c r="F234" s="79">
        <v>19</v>
      </c>
      <c r="G234" s="80">
        <f t="shared" si="6"/>
        <v>16.964285714285712</v>
      </c>
      <c r="H234" s="80">
        <f t="shared" si="7"/>
        <v>2.0357142857142851</v>
      </c>
      <c r="I234" t="s">
        <v>108</v>
      </c>
    </row>
    <row r="235" spans="2:9">
      <c r="B235" s="77">
        <v>43546</v>
      </c>
      <c r="C235" s="78" t="s">
        <v>69</v>
      </c>
      <c r="D235" s="78" t="s">
        <v>397</v>
      </c>
      <c r="E235" s="78" t="s">
        <v>398</v>
      </c>
      <c r="F235" s="79">
        <v>21</v>
      </c>
      <c r="G235" s="80">
        <f t="shared" si="6"/>
        <v>18.749999999999996</v>
      </c>
      <c r="H235" s="80">
        <f t="shared" si="7"/>
        <v>2.2499999999999996</v>
      </c>
      <c r="I235" t="s">
        <v>108</v>
      </c>
    </row>
    <row r="236" spans="2:9">
      <c r="B236" s="77">
        <v>43546</v>
      </c>
      <c r="C236" s="78" t="s">
        <v>69</v>
      </c>
      <c r="D236" s="78" t="s">
        <v>397</v>
      </c>
      <c r="E236" s="78" t="s">
        <v>398</v>
      </c>
      <c r="F236" s="79">
        <v>6</v>
      </c>
      <c r="G236" s="80">
        <f t="shared" si="6"/>
        <v>5.3571428571428568</v>
      </c>
      <c r="H236" s="80">
        <f t="shared" si="7"/>
        <v>0.64285714285714279</v>
      </c>
      <c r="I236" t="s">
        <v>108</v>
      </c>
    </row>
    <row r="237" spans="2:9">
      <c r="B237" s="77">
        <v>43546</v>
      </c>
      <c r="C237" s="78" t="s">
        <v>69</v>
      </c>
      <c r="D237" s="78" t="s">
        <v>397</v>
      </c>
      <c r="E237" s="78" t="s">
        <v>398</v>
      </c>
      <c r="F237" s="79">
        <v>175</v>
      </c>
      <c r="G237" s="80">
        <f t="shared" si="6"/>
        <v>156.24999999999997</v>
      </c>
      <c r="H237" s="80">
        <f t="shared" si="7"/>
        <v>18.749999999999996</v>
      </c>
      <c r="I237" t="s">
        <v>108</v>
      </c>
    </row>
    <row r="238" spans="2:9">
      <c r="B238" s="77">
        <v>43546</v>
      </c>
      <c r="C238" s="78" t="s">
        <v>69</v>
      </c>
      <c r="D238" s="78" t="s">
        <v>397</v>
      </c>
      <c r="E238" s="78" t="s">
        <v>398</v>
      </c>
      <c r="F238" s="79">
        <v>6</v>
      </c>
      <c r="G238" s="80">
        <f t="shared" si="6"/>
        <v>5.3571428571428568</v>
      </c>
      <c r="H238" s="80">
        <f t="shared" si="7"/>
        <v>0.64285714285714279</v>
      </c>
      <c r="I238" t="s">
        <v>108</v>
      </c>
    </row>
    <row r="239" spans="2:9">
      <c r="B239" s="77">
        <v>43547</v>
      </c>
      <c r="C239" s="78" t="s">
        <v>69</v>
      </c>
      <c r="D239" s="78" t="s">
        <v>397</v>
      </c>
      <c r="E239" s="78" t="s">
        <v>398</v>
      </c>
      <c r="F239" s="79">
        <v>21</v>
      </c>
      <c r="G239" s="80">
        <f t="shared" si="6"/>
        <v>18.749999999999996</v>
      </c>
      <c r="H239" s="80">
        <f t="shared" si="7"/>
        <v>2.2499999999999996</v>
      </c>
      <c r="I239" t="s">
        <v>108</v>
      </c>
    </row>
    <row r="240" spans="2:9">
      <c r="B240" s="77">
        <v>43548</v>
      </c>
      <c r="C240" s="78" t="s">
        <v>69</v>
      </c>
      <c r="D240" s="78" t="s">
        <v>397</v>
      </c>
      <c r="E240" s="78" t="s">
        <v>398</v>
      </c>
      <c r="F240" s="79">
        <v>19</v>
      </c>
      <c r="G240" s="80">
        <f t="shared" si="6"/>
        <v>16.964285714285712</v>
      </c>
      <c r="H240" s="80">
        <f t="shared" si="7"/>
        <v>2.0357142857142851</v>
      </c>
      <c r="I240" t="s">
        <v>108</v>
      </c>
    </row>
    <row r="241" spans="2:9">
      <c r="B241" s="77">
        <v>43551</v>
      </c>
      <c r="C241" s="78" t="s">
        <v>69</v>
      </c>
      <c r="D241" s="78" t="s">
        <v>397</v>
      </c>
      <c r="E241" s="78" t="s">
        <v>398</v>
      </c>
      <c r="F241" s="79">
        <v>19</v>
      </c>
      <c r="G241" s="80">
        <f t="shared" si="6"/>
        <v>16.964285714285712</v>
      </c>
      <c r="H241" s="80">
        <f t="shared" si="7"/>
        <v>2.0357142857142851</v>
      </c>
      <c r="I241" t="s">
        <v>108</v>
      </c>
    </row>
    <row r="242" spans="2:9">
      <c r="B242" s="77">
        <v>43551</v>
      </c>
      <c r="C242" s="78" t="s">
        <v>69</v>
      </c>
      <c r="D242" s="78" t="s">
        <v>397</v>
      </c>
      <c r="E242" s="78" t="s">
        <v>398</v>
      </c>
      <c r="F242" s="79">
        <v>193</v>
      </c>
      <c r="G242" s="80">
        <f t="shared" si="6"/>
        <v>172.32142857142856</v>
      </c>
      <c r="H242" s="80">
        <f t="shared" si="7"/>
        <v>20.678571428571427</v>
      </c>
      <c r="I242" t="s">
        <v>108</v>
      </c>
    </row>
    <row r="243" spans="2:9">
      <c r="B243" s="77">
        <v>43552</v>
      </c>
      <c r="C243" s="78" t="s">
        <v>69</v>
      </c>
      <c r="D243" s="78" t="s">
        <v>397</v>
      </c>
      <c r="E243" s="78" t="s">
        <v>398</v>
      </c>
      <c r="F243" s="79">
        <v>21</v>
      </c>
      <c r="G243" s="80">
        <f t="shared" si="6"/>
        <v>18.749999999999996</v>
      </c>
      <c r="H243" s="80">
        <f t="shared" si="7"/>
        <v>2.2499999999999996</v>
      </c>
      <c r="I243" t="s">
        <v>108</v>
      </c>
    </row>
    <row r="244" spans="2:9">
      <c r="B244" s="77">
        <v>43553</v>
      </c>
      <c r="C244" s="78" t="s">
        <v>69</v>
      </c>
      <c r="D244" s="78" t="s">
        <v>397</v>
      </c>
      <c r="E244" s="78" t="s">
        <v>398</v>
      </c>
      <c r="F244" s="79">
        <v>19</v>
      </c>
      <c r="G244" s="80">
        <f t="shared" si="6"/>
        <v>16.964285714285712</v>
      </c>
      <c r="H244" s="80">
        <f t="shared" si="7"/>
        <v>2.0357142857142851</v>
      </c>
      <c r="I244" t="s">
        <v>108</v>
      </c>
    </row>
    <row r="245" spans="2:9">
      <c r="B245" s="77">
        <v>43553</v>
      </c>
      <c r="C245" s="78" t="s">
        <v>69</v>
      </c>
      <c r="D245" s="78" t="s">
        <v>397</v>
      </c>
      <c r="E245" s="78" t="s">
        <v>398</v>
      </c>
      <c r="F245" s="79">
        <v>193</v>
      </c>
      <c r="G245" s="80">
        <f t="shared" si="6"/>
        <v>172.32142857142856</v>
      </c>
      <c r="H245" s="80">
        <f t="shared" si="7"/>
        <v>20.678571428571427</v>
      </c>
      <c r="I245" t="s">
        <v>108</v>
      </c>
    </row>
    <row r="246" spans="2:9">
      <c r="B246" s="77">
        <v>43554</v>
      </c>
      <c r="C246" s="78" t="s">
        <v>69</v>
      </c>
      <c r="D246" s="78" t="s">
        <v>397</v>
      </c>
      <c r="E246" s="78" t="s">
        <v>398</v>
      </c>
      <c r="F246" s="79">
        <v>6</v>
      </c>
      <c r="G246" s="80">
        <f t="shared" si="6"/>
        <v>5.3571428571428568</v>
      </c>
      <c r="H246" s="80">
        <f t="shared" si="7"/>
        <v>0.64285714285714279</v>
      </c>
      <c r="I246" t="s">
        <v>108</v>
      </c>
    </row>
    <row r="247" spans="2:9">
      <c r="B247" s="77">
        <v>43554</v>
      </c>
      <c r="C247" s="78" t="s">
        <v>69</v>
      </c>
      <c r="D247" s="78" t="s">
        <v>397</v>
      </c>
      <c r="E247" s="78" t="s">
        <v>398</v>
      </c>
      <c r="F247" s="79">
        <v>6</v>
      </c>
      <c r="G247" s="80">
        <f t="shared" si="6"/>
        <v>5.3571428571428568</v>
      </c>
      <c r="H247" s="80">
        <f t="shared" si="7"/>
        <v>0.64285714285714279</v>
      </c>
      <c r="I247" t="s">
        <v>108</v>
      </c>
    </row>
    <row r="248" spans="2:9">
      <c r="B248" s="77">
        <v>43554</v>
      </c>
      <c r="C248" s="78" t="s">
        <v>69</v>
      </c>
      <c r="D248" s="78" t="s">
        <v>397</v>
      </c>
      <c r="E248" s="78" t="s">
        <v>398</v>
      </c>
      <c r="F248" s="79">
        <v>19</v>
      </c>
      <c r="G248" s="80">
        <f t="shared" si="6"/>
        <v>16.964285714285712</v>
      </c>
      <c r="H248" s="80">
        <f t="shared" si="7"/>
        <v>2.0357142857142851</v>
      </c>
      <c r="I248" t="s">
        <v>108</v>
      </c>
    </row>
    <row r="249" spans="2:9">
      <c r="B249" s="77">
        <v>43554</v>
      </c>
      <c r="C249" s="78" t="s">
        <v>69</v>
      </c>
      <c r="D249" s="78" t="s">
        <v>397</v>
      </c>
      <c r="E249" s="78" t="s">
        <v>398</v>
      </c>
      <c r="F249" s="79">
        <v>6</v>
      </c>
      <c r="G249" s="80">
        <f t="shared" si="6"/>
        <v>5.3571428571428568</v>
      </c>
      <c r="H249" s="80">
        <f t="shared" si="7"/>
        <v>0.64285714285714279</v>
      </c>
      <c r="I249" t="s">
        <v>108</v>
      </c>
    </row>
    <row r="250" spans="2:9">
      <c r="B250" s="77">
        <v>43554</v>
      </c>
      <c r="C250" s="78" t="s">
        <v>69</v>
      </c>
      <c r="D250" s="78" t="s">
        <v>397</v>
      </c>
      <c r="E250" s="78" t="s">
        <v>398</v>
      </c>
      <c r="F250" s="79">
        <v>21</v>
      </c>
      <c r="G250" s="80">
        <f t="shared" si="6"/>
        <v>18.749999999999996</v>
      </c>
      <c r="H250" s="80">
        <f t="shared" si="7"/>
        <v>2.2499999999999996</v>
      </c>
      <c r="I250" t="s">
        <v>108</v>
      </c>
    </row>
    <row r="251" spans="2:9">
      <c r="B251" s="77">
        <v>43554</v>
      </c>
      <c r="C251" s="78" t="s">
        <v>69</v>
      </c>
      <c r="D251" s="78" t="s">
        <v>397</v>
      </c>
      <c r="E251" s="78" t="s">
        <v>398</v>
      </c>
      <c r="F251" s="79">
        <v>126</v>
      </c>
      <c r="G251" s="80">
        <f t="shared" si="6"/>
        <v>112.49999999999999</v>
      </c>
      <c r="H251" s="80">
        <f t="shared" si="7"/>
        <v>13.499999999999998</v>
      </c>
      <c r="I251" t="s">
        <v>108</v>
      </c>
    </row>
    <row r="252" spans="2:9">
      <c r="B252" s="77">
        <v>43555</v>
      </c>
      <c r="C252" s="78" t="s">
        <v>69</v>
      </c>
      <c r="D252" s="78" t="s">
        <v>397</v>
      </c>
      <c r="E252" s="78" t="s">
        <v>398</v>
      </c>
      <c r="F252" s="79">
        <v>6</v>
      </c>
      <c r="G252" s="80">
        <f t="shared" si="6"/>
        <v>5.3571428571428568</v>
      </c>
      <c r="H252" s="80">
        <f t="shared" si="7"/>
        <v>0.64285714285714279</v>
      </c>
      <c r="I252" t="s">
        <v>108</v>
      </c>
    </row>
    <row r="253" spans="2:9">
      <c r="B253" s="77">
        <v>43555</v>
      </c>
      <c r="C253" s="78" t="s">
        <v>69</v>
      </c>
      <c r="D253" s="78" t="s">
        <v>397</v>
      </c>
      <c r="E253" s="78" t="s">
        <v>398</v>
      </c>
      <c r="F253" s="79">
        <v>6</v>
      </c>
      <c r="G253" s="80">
        <f t="shared" si="6"/>
        <v>5.3571428571428568</v>
      </c>
      <c r="H253" s="80">
        <f t="shared" si="7"/>
        <v>0.64285714285714279</v>
      </c>
      <c r="I253" t="s">
        <v>108</v>
      </c>
    </row>
    <row r="254" spans="2:9">
      <c r="B254" s="77">
        <v>43555</v>
      </c>
      <c r="C254" s="78" t="s">
        <v>69</v>
      </c>
      <c r="D254" s="78" t="s">
        <v>397</v>
      </c>
      <c r="E254" s="78" t="s">
        <v>398</v>
      </c>
      <c r="F254" s="79">
        <v>19</v>
      </c>
      <c r="G254" s="80">
        <f t="shared" si="6"/>
        <v>16.964285714285712</v>
      </c>
      <c r="H254" s="80">
        <f t="shared" si="7"/>
        <v>2.0357142857142851</v>
      </c>
      <c r="I254" t="s">
        <v>108</v>
      </c>
    </row>
    <row r="255" spans="2:9">
      <c r="B255" s="77">
        <v>43536</v>
      </c>
      <c r="C255" s="78" t="s">
        <v>69</v>
      </c>
      <c r="D255" s="78" t="s">
        <v>399</v>
      </c>
      <c r="E255" s="78" t="s">
        <v>398</v>
      </c>
      <c r="F255" s="79">
        <v>193</v>
      </c>
      <c r="G255" s="80">
        <f t="shared" si="6"/>
        <v>172.32142857142856</v>
      </c>
      <c r="H255" s="80">
        <f t="shared" si="7"/>
        <v>20.678571428571427</v>
      </c>
      <c r="I255" t="s">
        <v>108</v>
      </c>
    </row>
    <row r="256" spans="2:9">
      <c r="B256" s="77">
        <v>43536</v>
      </c>
      <c r="C256" s="78" t="s">
        <v>69</v>
      </c>
      <c r="D256" s="78" t="s">
        <v>399</v>
      </c>
      <c r="E256" s="78" t="s">
        <v>398</v>
      </c>
      <c r="F256" s="79">
        <v>193</v>
      </c>
      <c r="G256" s="80">
        <f t="shared" si="6"/>
        <v>172.32142857142856</v>
      </c>
      <c r="H256" s="80">
        <f t="shared" si="7"/>
        <v>20.678571428571427</v>
      </c>
      <c r="I256" t="s">
        <v>108</v>
      </c>
    </row>
    <row r="257" spans="2:9">
      <c r="B257" s="77">
        <v>43526</v>
      </c>
      <c r="C257" s="78" t="s">
        <v>400</v>
      </c>
      <c r="D257" s="78" t="s">
        <v>401</v>
      </c>
      <c r="E257" s="78" t="s">
        <v>402</v>
      </c>
      <c r="F257" s="79">
        <v>1700</v>
      </c>
      <c r="G257" s="80">
        <f t="shared" si="6"/>
        <v>1517.8571428571427</v>
      </c>
      <c r="H257" s="80">
        <f t="shared" si="7"/>
        <v>182.14285714285711</v>
      </c>
      <c r="I257" t="s">
        <v>150</v>
      </c>
    </row>
    <row r="258" spans="2:9">
      <c r="B258" s="77">
        <v>43526</v>
      </c>
      <c r="C258" s="78" t="s">
        <v>400</v>
      </c>
      <c r="D258" s="78" t="s">
        <v>401</v>
      </c>
      <c r="E258" s="78" t="s">
        <v>402</v>
      </c>
      <c r="F258" s="79">
        <v>1700</v>
      </c>
      <c r="G258" s="80">
        <f t="shared" si="6"/>
        <v>1517.8571428571427</v>
      </c>
      <c r="H258" s="80">
        <f t="shared" si="7"/>
        <v>182.14285714285711</v>
      </c>
      <c r="I258" t="s">
        <v>150</v>
      </c>
    </row>
    <row r="259" spans="2:9">
      <c r="B259" s="77">
        <v>43554</v>
      </c>
      <c r="C259" s="78" t="s">
        <v>403</v>
      </c>
      <c r="D259" s="78" t="s">
        <v>404</v>
      </c>
      <c r="E259" s="78" t="s">
        <v>405</v>
      </c>
      <c r="F259" s="79">
        <v>30</v>
      </c>
      <c r="G259" s="80">
        <f t="shared" si="6"/>
        <v>26.785714285714285</v>
      </c>
      <c r="H259" s="80">
        <f t="shared" si="7"/>
        <v>3.214285714285714</v>
      </c>
      <c r="I259" t="s">
        <v>205</v>
      </c>
    </row>
    <row r="260" spans="2:9">
      <c r="B260" s="77">
        <v>43539</v>
      </c>
      <c r="C260" s="78" t="s">
        <v>406</v>
      </c>
      <c r="D260" s="78" t="s">
        <v>407</v>
      </c>
      <c r="E260" s="78" t="s">
        <v>408</v>
      </c>
      <c r="F260" s="79">
        <v>1260</v>
      </c>
      <c r="G260" s="80">
        <f t="shared" ref="G260:G323" si="8">F260/1.12</f>
        <v>1125</v>
      </c>
      <c r="H260" s="80">
        <f t="shared" ref="H260:H323" si="9">G260*0.12</f>
        <v>135</v>
      </c>
      <c r="I260" t="s">
        <v>150</v>
      </c>
    </row>
    <row r="261" spans="2:9">
      <c r="B261" s="77">
        <v>43539</v>
      </c>
      <c r="C261" s="78" t="s">
        <v>406</v>
      </c>
      <c r="D261" s="78" t="s">
        <v>407</v>
      </c>
      <c r="E261" s="78" t="s">
        <v>408</v>
      </c>
      <c r="F261" s="79">
        <v>1260</v>
      </c>
      <c r="G261" s="80">
        <f t="shared" si="8"/>
        <v>1125</v>
      </c>
      <c r="H261" s="80">
        <f t="shared" si="9"/>
        <v>135</v>
      </c>
      <c r="I261" t="s">
        <v>150</v>
      </c>
    </row>
    <row r="262" spans="2:9">
      <c r="B262" s="77">
        <v>43552</v>
      </c>
      <c r="C262" s="78" t="s">
        <v>409</v>
      </c>
      <c r="D262" s="78" t="s">
        <v>410</v>
      </c>
      <c r="E262" s="78" t="s">
        <v>411</v>
      </c>
      <c r="F262" s="79">
        <v>1800</v>
      </c>
      <c r="G262" s="80">
        <f t="shared" si="8"/>
        <v>1607.1428571428569</v>
      </c>
      <c r="H262" s="80">
        <f t="shared" si="9"/>
        <v>192.85714285714283</v>
      </c>
      <c r="I262" t="s">
        <v>150</v>
      </c>
    </row>
    <row r="263" spans="2:9">
      <c r="B263" s="77">
        <v>43456</v>
      </c>
      <c r="C263" s="78" t="s">
        <v>412</v>
      </c>
      <c r="D263" s="81"/>
      <c r="E263" s="78" t="s">
        <v>413</v>
      </c>
      <c r="F263" s="79">
        <v>2640.75</v>
      </c>
      <c r="G263" s="80">
        <f t="shared" si="8"/>
        <v>2357.8125</v>
      </c>
      <c r="H263" s="80">
        <f t="shared" si="9"/>
        <v>282.9375</v>
      </c>
      <c r="I263" t="s">
        <v>101</v>
      </c>
    </row>
    <row r="264" spans="2:9">
      <c r="B264" s="77">
        <v>43530</v>
      </c>
      <c r="C264" s="78" t="s">
        <v>414</v>
      </c>
      <c r="D264" s="78" t="s">
        <v>415</v>
      </c>
      <c r="E264" s="78" t="s">
        <v>416</v>
      </c>
      <c r="F264" s="79">
        <v>1000</v>
      </c>
      <c r="G264" s="80">
        <f t="shared" si="8"/>
        <v>892.85714285714278</v>
      </c>
      <c r="H264" s="80">
        <f t="shared" si="9"/>
        <v>107.14285714285712</v>
      </c>
      <c r="I264" t="s">
        <v>308</v>
      </c>
    </row>
    <row r="265" spans="2:9">
      <c r="B265" s="77">
        <v>43530</v>
      </c>
      <c r="C265" s="78" t="s">
        <v>414</v>
      </c>
      <c r="D265" s="78" t="s">
        <v>415</v>
      </c>
      <c r="E265" s="78" t="s">
        <v>416</v>
      </c>
      <c r="F265" s="79">
        <v>1000</v>
      </c>
      <c r="G265" s="80">
        <f t="shared" si="8"/>
        <v>892.85714285714278</v>
      </c>
      <c r="H265" s="80">
        <f t="shared" si="9"/>
        <v>107.14285714285712</v>
      </c>
      <c r="I265" t="s">
        <v>308</v>
      </c>
    </row>
    <row r="266" spans="2:9">
      <c r="B266" s="77">
        <v>43527</v>
      </c>
      <c r="C266" s="78" t="s">
        <v>417</v>
      </c>
      <c r="D266" s="78" t="s">
        <v>418</v>
      </c>
      <c r="E266" s="78" t="s">
        <v>419</v>
      </c>
      <c r="F266" s="79">
        <v>120</v>
      </c>
      <c r="G266" s="80">
        <f t="shared" si="8"/>
        <v>107.14285714285714</v>
      </c>
      <c r="H266" s="80">
        <f t="shared" si="9"/>
        <v>12.857142857142856</v>
      </c>
      <c r="I266" t="s">
        <v>108</v>
      </c>
    </row>
    <row r="267" spans="2:9">
      <c r="B267" s="77">
        <v>43527</v>
      </c>
      <c r="C267" s="78" t="s">
        <v>417</v>
      </c>
      <c r="D267" s="78" t="s">
        <v>418</v>
      </c>
      <c r="E267" s="78" t="s">
        <v>419</v>
      </c>
      <c r="F267" s="79">
        <v>120</v>
      </c>
      <c r="G267" s="80">
        <f t="shared" si="8"/>
        <v>107.14285714285714</v>
      </c>
      <c r="H267" s="80">
        <f t="shared" si="9"/>
        <v>12.857142857142856</v>
      </c>
      <c r="I267" t="s">
        <v>108</v>
      </c>
    </row>
    <row r="268" spans="2:9">
      <c r="B268" s="77">
        <v>43567</v>
      </c>
      <c r="C268" s="78" t="s">
        <v>337</v>
      </c>
      <c r="D268" s="78" t="s">
        <v>420</v>
      </c>
      <c r="E268" s="78" t="s">
        <v>421</v>
      </c>
      <c r="F268" s="83">
        <v>2521.9499999999998</v>
      </c>
      <c r="G268" s="80">
        <f t="shared" si="8"/>
        <v>2251.7410714285711</v>
      </c>
      <c r="H268" s="80">
        <f t="shared" si="9"/>
        <v>270.20892857142854</v>
      </c>
      <c r="I268" t="s">
        <v>308</v>
      </c>
    </row>
    <row r="269" spans="2:9">
      <c r="B269" s="77">
        <v>43526</v>
      </c>
      <c r="C269" s="78" t="s">
        <v>422</v>
      </c>
      <c r="D269" s="78" t="s">
        <v>423</v>
      </c>
      <c r="E269" s="78" t="s">
        <v>424</v>
      </c>
      <c r="F269" s="79">
        <v>1861</v>
      </c>
      <c r="G269" s="80">
        <f t="shared" si="8"/>
        <v>1661.6071428571427</v>
      </c>
      <c r="H269" s="80">
        <f t="shared" si="9"/>
        <v>199.39285714285711</v>
      </c>
      <c r="I269" t="s">
        <v>90</v>
      </c>
    </row>
    <row r="270" spans="2:9">
      <c r="B270" s="77">
        <v>43529</v>
      </c>
      <c r="C270" s="78" t="s">
        <v>425</v>
      </c>
      <c r="D270" s="78" t="s">
        <v>426</v>
      </c>
      <c r="E270" s="78" t="s">
        <v>424</v>
      </c>
      <c r="F270" s="79">
        <v>350</v>
      </c>
      <c r="G270" s="80">
        <f t="shared" si="8"/>
        <v>312.49999999999994</v>
      </c>
      <c r="H270" s="80">
        <f t="shared" si="9"/>
        <v>37.499999999999993</v>
      </c>
      <c r="I270" t="s">
        <v>90</v>
      </c>
    </row>
    <row r="271" spans="2:9">
      <c r="B271" s="77">
        <v>43535</v>
      </c>
      <c r="C271" s="78" t="s">
        <v>427</v>
      </c>
      <c r="D271" s="78" t="s">
        <v>428</v>
      </c>
      <c r="E271" s="78" t="s">
        <v>424</v>
      </c>
      <c r="F271" s="79">
        <v>598</v>
      </c>
      <c r="G271" s="80">
        <f t="shared" si="8"/>
        <v>533.92857142857133</v>
      </c>
      <c r="H271" s="80">
        <f t="shared" si="9"/>
        <v>64.071428571428555</v>
      </c>
      <c r="I271" t="s">
        <v>90</v>
      </c>
    </row>
    <row r="272" spans="2:9">
      <c r="B272" s="77">
        <v>43526</v>
      </c>
      <c r="C272" s="78" t="s">
        <v>422</v>
      </c>
      <c r="D272" s="78" t="s">
        <v>423</v>
      </c>
      <c r="E272" s="78" t="s">
        <v>424</v>
      </c>
      <c r="F272" s="79">
        <v>1861</v>
      </c>
      <c r="G272" s="80">
        <f t="shared" si="8"/>
        <v>1661.6071428571427</v>
      </c>
      <c r="H272" s="80">
        <f t="shared" si="9"/>
        <v>199.39285714285711</v>
      </c>
      <c r="I272" t="s">
        <v>90</v>
      </c>
    </row>
    <row r="273" spans="2:9">
      <c r="B273" s="77">
        <v>43529</v>
      </c>
      <c r="C273" s="78" t="s">
        <v>425</v>
      </c>
      <c r="D273" s="78" t="s">
        <v>426</v>
      </c>
      <c r="E273" s="78" t="s">
        <v>424</v>
      </c>
      <c r="F273" s="79">
        <v>350</v>
      </c>
      <c r="G273" s="80">
        <f t="shared" si="8"/>
        <v>312.49999999999994</v>
      </c>
      <c r="H273" s="80">
        <f t="shared" si="9"/>
        <v>37.499999999999993</v>
      </c>
      <c r="I273" t="s">
        <v>90</v>
      </c>
    </row>
    <row r="274" spans="2:9">
      <c r="B274" s="77">
        <v>43535</v>
      </c>
      <c r="C274" s="78" t="s">
        <v>427</v>
      </c>
      <c r="D274" s="78" t="s">
        <v>428</v>
      </c>
      <c r="E274" s="78" t="s">
        <v>424</v>
      </c>
      <c r="F274" s="79">
        <v>598</v>
      </c>
      <c r="G274" s="80">
        <f t="shared" si="8"/>
        <v>533.92857142857133</v>
      </c>
      <c r="H274" s="80">
        <f t="shared" si="9"/>
        <v>64.071428571428555</v>
      </c>
      <c r="I274" t="s">
        <v>90</v>
      </c>
    </row>
    <row r="275" spans="2:9">
      <c r="B275" s="77">
        <v>43573</v>
      </c>
      <c r="C275" s="78" t="s">
        <v>429</v>
      </c>
      <c r="D275" s="78" t="s">
        <v>430</v>
      </c>
      <c r="E275" s="78" t="s">
        <v>431</v>
      </c>
      <c r="F275" s="83">
        <v>1000</v>
      </c>
      <c r="G275" s="80">
        <f t="shared" si="8"/>
        <v>892.85714285714278</v>
      </c>
      <c r="H275" s="80">
        <f t="shared" si="9"/>
        <v>107.14285714285712</v>
      </c>
      <c r="I275" t="s">
        <v>308</v>
      </c>
    </row>
    <row r="276" spans="2:9">
      <c r="B276" s="77">
        <v>43536</v>
      </c>
      <c r="C276" s="78" t="s">
        <v>432</v>
      </c>
      <c r="D276" s="78" t="s">
        <v>433</v>
      </c>
      <c r="E276" s="78" t="s">
        <v>434</v>
      </c>
      <c r="F276" s="79">
        <v>3110</v>
      </c>
      <c r="G276" s="80">
        <f t="shared" si="8"/>
        <v>2776.7857142857142</v>
      </c>
      <c r="H276" s="80">
        <f t="shared" si="9"/>
        <v>333.21428571428572</v>
      </c>
      <c r="I276" t="s">
        <v>86</v>
      </c>
    </row>
    <row r="277" spans="2:9">
      <c r="B277" s="77">
        <v>43536</v>
      </c>
      <c r="C277" s="78" t="s">
        <v>432</v>
      </c>
      <c r="D277" s="78" t="s">
        <v>433</v>
      </c>
      <c r="E277" s="78" t="s">
        <v>434</v>
      </c>
      <c r="F277" s="79">
        <v>3110</v>
      </c>
      <c r="G277" s="80">
        <f t="shared" si="8"/>
        <v>2776.7857142857142</v>
      </c>
      <c r="H277" s="80">
        <f t="shared" si="9"/>
        <v>333.21428571428572</v>
      </c>
      <c r="I277" t="s">
        <v>86</v>
      </c>
    </row>
    <row r="278" spans="2:9">
      <c r="B278" s="77">
        <v>43567</v>
      </c>
      <c r="C278" s="78" t="s">
        <v>435</v>
      </c>
      <c r="D278" s="78" t="s">
        <v>436</v>
      </c>
      <c r="E278" s="78" t="s">
        <v>437</v>
      </c>
      <c r="F278" s="83">
        <v>71586.48</v>
      </c>
      <c r="G278" s="80">
        <f t="shared" si="8"/>
        <v>63916.499999999993</v>
      </c>
      <c r="H278" s="80">
        <f t="shared" si="9"/>
        <v>7669.9799999999987</v>
      </c>
      <c r="I278" t="s">
        <v>86</v>
      </c>
    </row>
    <row r="279" spans="2:9">
      <c r="B279" s="77">
        <v>43453</v>
      </c>
      <c r="C279" s="78" t="s">
        <v>438</v>
      </c>
      <c r="D279" s="81"/>
      <c r="E279" s="77" t="s">
        <v>437</v>
      </c>
      <c r="F279" s="79">
        <v>8357</v>
      </c>
      <c r="G279" s="80">
        <f t="shared" si="8"/>
        <v>7461.6071428571422</v>
      </c>
      <c r="H279" s="80">
        <f t="shared" si="9"/>
        <v>895.392857142857</v>
      </c>
      <c r="I279" t="s">
        <v>86</v>
      </c>
    </row>
    <row r="280" spans="2:9">
      <c r="B280" s="77">
        <v>43554</v>
      </c>
      <c r="C280" s="78" t="s">
        <v>439</v>
      </c>
      <c r="D280" s="78" t="s">
        <v>440</v>
      </c>
      <c r="E280" s="78" t="s">
        <v>441</v>
      </c>
      <c r="F280" s="79">
        <v>3509.75</v>
      </c>
      <c r="G280" s="80">
        <f t="shared" si="8"/>
        <v>3133.7053571428569</v>
      </c>
      <c r="H280" s="80">
        <f t="shared" si="9"/>
        <v>376.04464285714283</v>
      </c>
      <c r="I280" t="s">
        <v>86</v>
      </c>
    </row>
    <row r="281" spans="2:9">
      <c r="B281" s="77">
        <v>43554</v>
      </c>
      <c r="C281" s="78" t="s">
        <v>439</v>
      </c>
      <c r="D281" s="78" t="s">
        <v>440</v>
      </c>
      <c r="E281" s="78" t="s">
        <v>441</v>
      </c>
      <c r="F281" s="79">
        <v>20530.53</v>
      </c>
      <c r="G281" s="80">
        <f t="shared" si="8"/>
        <v>18330.830357142855</v>
      </c>
      <c r="H281" s="80">
        <f t="shared" si="9"/>
        <v>2199.6996428571424</v>
      </c>
      <c r="I281" t="s">
        <v>86</v>
      </c>
    </row>
    <row r="282" spans="2:9">
      <c r="B282" s="77">
        <v>43554</v>
      </c>
      <c r="C282" s="78" t="s">
        <v>439</v>
      </c>
      <c r="D282" s="78" t="s">
        <v>440</v>
      </c>
      <c r="E282" s="78" t="s">
        <v>441</v>
      </c>
      <c r="F282" s="79">
        <v>1441.4</v>
      </c>
      <c r="G282" s="80">
        <f t="shared" si="8"/>
        <v>1286.9642857142858</v>
      </c>
      <c r="H282" s="80">
        <f t="shared" si="9"/>
        <v>154.43571428571428</v>
      </c>
      <c r="I282" t="s">
        <v>86</v>
      </c>
    </row>
    <row r="283" spans="2:9">
      <c r="B283" s="77">
        <v>43551</v>
      </c>
      <c r="C283" s="78" t="s">
        <v>442</v>
      </c>
      <c r="D283" s="78" t="s">
        <v>363</v>
      </c>
      <c r="E283" s="78" t="s">
        <v>443</v>
      </c>
      <c r="F283" s="79">
        <v>530</v>
      </c>
      <c r="G283" s="80">
        <f t="shared" si="8"/>
        <v>473.21428571428567</v>
      </c>
      <c r="H283" s="80">
        <f t="shared" si="9"/>
        <v>56.785714285714278</v>
      </c>
      <c r="I283" t="s">
        <v>150</v>
      </c>
    </row>
    <row r="284" spans="2:9">
      <c r="B284" s="77">
        <v>43528</v>
      </c>
      <c r="C284" s="78" t="s">
        <v>444</v>
      </c>
      <c r="D284" s="78" t="s">
        <v>445</v>
      </c>
      <c r="E284" s="78" t="s">
        <v>446</v>
      </c>
      <c r="F284" s="79">
        <v>665</v>
      </c>
      <c r="G284" s="80">
        <f t="shared" si="8"/>
        <v>593.75</v>
      </c>
      <c r="H284" s="80">
        <f t="shared" si="9"/>
        <v>71.25</v>
      </c>
      <c r="I284" t="s">
        <v>205</v>
      </c>
    </row>
    <row r="285" spans="2:9">
      <c r="B285" s="77">
        <v>43528</v>
      </c>
      <c r="C285" s="78" t="s">
        <v>444</v>
      </c>
      <c r="D285" s="78" t="s">
        <v>445</v>
      </c>
      <c r="E285" s="78" t="s">
        <v>446</v>
      </c>
      <c r="F285" s="79">
        <v>665</v>
      </c>
      <c r="G285" s="80">
        <f t="shared" si="8"/>
        <v>593.75</v>
      </c>
      <c r="H285" s="80">
        <f t="shared" si="9"/>
        <v>71.25</v>
      </c>
      <c r="I285" t="s">
        <v>205</v>
      </c>
    </row>
    <row r="286" spans="2:9">
      <c r="B286" s="77">
        <v>43552</v>
      </c>
      <c r="C286" s="78" t="s">
        <v>447</v>
      </c>
      <c r="D286" s="78" t="s">
        <v>448</v>
      </c>
      <c r="E286" s="78" t="s">
        <v>449</v>
      </c>
      <c r="F286" s="79">
        <v>1000</v>
      </c>
      <c r="G286" s="80">
        <f t="shared" si="8"/>
        <v>892.85714285714278</v>
      </c>
      <c r="H286" s="80">
        <f t="shared" si="9"/>
        <v>107.14285714285712</v>
      </c>
      <c r="I286" t="s">
        <v>450</v>
      </c>
    </row>
    <row r="287" spans="2:9">
      <c r="B287" s="77">
        <v>43531</v>
      </c>
      <c r="C287" s="78" t="s">
        <v>451</v>
      </c>
      <c r="D287" s="78" t="s">
        <v>452</v>
      </c>
      <c r="E287" s="78" t="s">
        <v>449</v>
      </c>
      <c r="F287" s="79">
        <v>1000</v>
      </c>
      <c r="G287" s="80">
        <f t="shared" si="8"/>
        <v>892.85714285714278</v>
      </c>
      <c r="H287" s="80">
        <f t="shared" si="9"/>
        <v>107.14285714285712</v>
      </c>
      <c r="I287" t="s">
        <v>450</v>
      </c>
    </row>
    <row r="288" spans="2:9">
      <c r="B288" s="77">
        <v>43535</v>
      </c>
      <c r="C288" s="78" t="s">
        <v>453</v>
      </c>
      <c r="D288" s="78" t="s">
        <v>454</v>
      </c>
      <c r="E288" s="78" t="s">
        <v>455</v>
      </c>
      <c r="F288" s="79">
        <v>115900</v>
      </c>
      <c r="G288" s="80">
        <f t="shared" si="8"/>
        <v>103482.14285714284</v>
      </c>
      <c r="H288" s="80">
        <f t="shared" si="9"/>
        <v>12417.857142857141</v>
      </c>
      <c r="I288" t="s">
        <v>86</v>
      </c>
    </row>
    <row r="289" spans="2:9">
      <c r="B289" s="77">
        <v>43551</v>
      </c>
      <c r="C289" s="78" t="s">
        <v>456</v>
      </c>
      <c r="D289" s="78" t="s">
        <v>457</v>
      </c>
      <c r="E289" s="78" t="s">
        <v>458</v>
      </c>
      <c r="F289" s="79">
        <v>35</v>
      </c>
      <c r="G289" s="80">
        <f t="shared" si="8"/>
        <v>31.249999999999996</v>
      </c>
      <c r="H289" s="80">
        <f t="shared" si="9"/>
        <v>3.7499999999999996</v>
      </c>
      <c r="I289" t="s">
        <v>108</v>
      </c>
    </row>
    <row r="290" spans="2:9">
      <c r="B290" s="77">
        <v>43563</v>
      </c>
      <c r="C290" s="78" t="s">
        <v>459</v>
      </c>
      <c r="D290" s="78" t="s">
        <v>460</v>
      </c>
      <c r="E290" s="78" t="s">
        <v>461</v>
      </c>
      <c r="F290" s="83">
        <v>180</v>
      </c>
      <c r="G290" s="80">
        <f t="shared" si="8"/>
        <v>160.71428571428569</v>
      </c>
      <c r="H290" s="80">
        <f t="shared" si="9"/>
        <v>19.285714285714281</v>
      </c>
      <c r="I290" t="s">
        <v>205</v>
      </c>
    </row>
    <row r="291" spans="2:9">
      <c r="B291" s="77">
        <v>43539</v>
      </c>
      <c r="C291" s="78" t="s">
        <v>462</v>
      </c>
      <c r="D291" s="78" t="s">
        <v>463</v>
      </c>
      <c r="E291" s="78" t="s">
        <v>464</v>
      </c>
      <c r="F291" s="79">
        <v>10120</v>
      </c>
      <c r="G291" s="80">
        <f t="shared" si="8"/>
        <v>9035.7142857142844</v>
      </c>
      <c r="H291" s="80">
        <f t="shared" si="9"/>
        <v>1084.285714285714</v>
      </c>
      <c r="I291" t="s">
        <v>86</v>
      </c>
    </row>
    <row r="292" spans="2:9">
      <c r="B292" s="77">
        <v>43539</v>
      </c>
      <c r="C292" s="78" t="s">
        <v>462</v>
      </c>
      <c r="D292" s="78" t="s">
        <v>463</v>
      </c>
      <c r="E292" s="78" t="s">
        <v>464</v>
      </c>
      <c r="F292" s="79">
        <v>10120</v>
      </c>
      <c r="G292" s="80">
        <f t="shared" si="8"/>
        <v>9035.7142857142844</v>
      </c>
      <c r="H292" s="80">
        <f t="shared" si="9"/>
        <v>1084.285714285714</v>
      </c>
      <c r="I292" t="s">
        <v>86</v>
      </c>
    </row>
    <row r="293" spans="2:9">
      <c r="B293" s="77">
        <v>43582</v>
      </c>
      <c r="C293" s="78" t="s">
        <v>465</v>
      </c>
      <c r="D293" s="78" t="s">
        <v>466</v>
      </c>
      <c r="E293" s="78" t="s">
        <v>467</v>
      </c>
      <c r="F293" s="83">
        <v>1000</v>
      </c>
      <c r="G293" s="80">
        <f t="shared" si="8"/>
        <v>892.85714285714278</v>
      </c>
      <c r="H293" s="80">
        <f t="shared" si="9"/>
        <v>107.14285714285712</v>
      </c>
      <c r="I293" t="s">
        <v>308</v>
      </c>
    </row>
    <row r="294" spans="2:9">
      <c r="B294" s="77">
        <v>43530</v>
      </c>
      <c r="C294" s="78" t="s">
        <v>468</v>
      </c>
      <c r="D294" s="78" t="s">
        <v>469</v>
      </c>
      <c r="E294" s="78" t="s">
        <v>470</v>
      </c>
      <c r="F294" s="79">
        <v>16500</v>
      </c>
      <c r="G294" s="80">
        <f t="shared" si="8"/>
        <v>14732.142857142855</v>
      </c>
      <c r="H294" s="80">
        <f t="shared" si="9"/>
        <v>1767.8571428571424</v>
      </c>
      <c r="I294" t="s">
        <v>86</v>
      </c>
    </row>
    <row r="295" spans="2:9">
      <c r="B295" s="77">
        <v>43530</v>
      </c>
      <c r="C295" s="78" t="s">
        <v>468</v>
      </c>
      <c r="D295" s="78" t="s">
        <v>469</v>
      </c>
      <c r="E295" s="78" t="s">
        <v>470</v>
      </c>
      <c r="F295" s="79">
        <v>16500</v>
      </c>
      <c r="G295" s="80">
        <f t="shared" si="8"/>
        <v>14732.142857142855</v>
      </c>
      <c r="H295" s="80">
        <f t="shared" si="9"/>
        <v>1767.8571428571424</v>
      </c>
      <c r="I295" t="s">
        <v>86</v>
      </c>
    </row>
    <row r="296" spans="2:9">
      <c r="B296" s="77">
        <v>43553</v>
      </c>
      <c r="C296" s="78" t="s">
        <v>471</v>
      </c>
      <c r="D296" s="78" t="s">
        <v>472</v>
      </c>
      <c r="E296" s="78" t="s">
        <v>473</v>
      </c>
      <c r="F296" s="79">
        <v>1200</v>
      </c>
      <c r="G296" s="80">
        <f t="shared" si="8"/>
        <v>1071.4285714285713</v>
      </c>
      <c r="H296" s="80">
        <f t="shared" si="9"/>
        <v>128.57142857142856</v>
      </c>
      <c r="I296" t="s">
        <v>86</v>
      </c>
    </row>
    <row r="297" spans="2:9">
      <c r="B297" s="77">
        <v>43551</v>
      </c>
      <c r="C297" s="78" t="s">
        <v>474</v>
      </c>
      <c r="D297" s="78" t="s">
        <v>475</v>
      </c>
      <c r="E297" s="78" t="s">
        <v>476</v>
      </c>
      <c r="F297" s="79">
        <v>1000</v>
      </c>
      <c r="G297" s="80">
        <f t="shared" si="8"/>
        <v>892.85714285714278</v>
      </c>
      <c r="H297" s="80">
        <f t="shared" si="9"/>
        <v>107.14285714285712</v>
      </c>
      <c r="I297" t="s">
        <v>86</v>
      </c>
    </row>
    <row r="298" spans="2:9">
      <c r="B298" s="77">
        <v>43410</v>
      </c>
      <c r="C298" s="78" t="s">
        <v>477</v>
      </c>
      <c r="D298" s="78"/>
      <c r="E298" s="78" t="s">
        <v>478</v>
      </c>
      <c r="F298" s="82">
        <v>41000</v>
      </c>
      <c r="G298" s="80">
        <f t="shared" si="8"/>
        <v>36607.142857142855</v>
      </c>
      <c r="H298" s="80">
        <f t="shared" si="9"/>
        <v>4392.8571428571422</v>
      </c>
      <c r="I298" t="s">
        <v>86</v>
      </c>
    </row>
    <row r="299" spans="2:9">
      <c r="B299" s="77">
        <v>43468</v>
      </c>
      <c r="C299" s="78" t="s">
        <v>479</v>
      </c>
      <c r="D299" s="78"/>
      <c r="E299" s="78" t="s">
        <v>480</v>
      </c>
      <c r="F299" s="82">
        <v>3879</v>
      </c>
      <c r="G299" s="80">
        <f t="shared" si="8"/>
        <v>3463.3928571428569</v>
      </c>
      <c r="H299" s="80">
        <f t="shared" si="9"/>
        <v>415.60714285714283</v>
      </c>
      <c r="I299" t="s">
        <v>101</v>
      </c>
    </row>
    <row r="300" spans="2:9">
      <c r="B300" s="77">
        <v>43566</v>
      </c>
      <c r="C300" s="78" t="s">
        <v>481</v>
      </c>
      <c r="D300" s="78" t="s">
        <v>482</v>
      </c>
      <c r="E300" s="78" t="s">
        <v>483</v>
      </c>
      <c r="F300" s="83">
        <v>21040</v>
      </c>
      <c r="G300" s="80">
        <f t="shared" si="8"/>
        <v>18785.714285714283</v>
      </c>
      <c r="H300" s="80">
        <f t="shared" si="9"/>
        <v>2254.2857142857138</v>
      </c>
      <c r="I300" t="s">
        <v>86</v>
      </c>
    </row>
    <row r="301" spans="2:9">
      <c r="B301" s="77">
        <v>43567</v>
      </c>
      <c r="C301" s="78" t="s">
        <v>481</v>
      </c>
      <c r="D301" s="78" t="s">
        <v>482</v>
      </c>
      <c r="E301" s="78" t="s">
        <v>483</v>
      </c>
      <c r="F301" s="83">
        <v>5450</v>
      </c>
      <c r="G301" s="80">
        <f t="shared" si="8"/>
        <v>4866.0714285714284</v>
      </c>
      <c r="H301" s="80">
        <f t="shared" si="9"/>
        <v>583.92857142857144</v>
      </c>
      <c r="I301" t="s">
        <v>86</v>
      </c>
    </row>
    <row r="302" spans="2:9">
      <c r="B302" s="77">
        <v>43528</v>
      </c>
      <c r="C302" s="78" t="s">
        <v>481</v>
      </c>
      <c r="D302" s="78" t="s">
        <v>484</v>
      </c>
      <c r="E302" s="78" t="s">
        <v>483</v>
      </c>
      <c r="F302" s="79">
        <v>6900</v>
      </c>
      <c r="G302" s="80">
        <f t="shared" si="8"/>
        <v>6160.7142857142853</v>
      </c>
      <c r="H302" s="80">
        <f t="shared" si="9"/>
        <v>739.28571428571422</v>
      </c>
      <c r="I302" t="s">
        <v>86</v>
      </c>
    </row>
    <row r="303" spans="2:9">
      <c r="B303" s="77">
        <v>43528</v>
      </c>
      <c r="C303" s="78" t="s">
        <v>481</v>
      </c>
      <c r="D303" s="78" t="s">
        <v>484</v>
      </c>
      <c r="E303" s="78" t="s">
        <v>483</v>
      </c>
      <c r="F303" s="79">
        <v>6900</v>
      </c>
      <c r="G303" s="80">
        <f t="shared" si="8"/>
        <v>6160.7142857142853</v>
      </c>
      <c r="H303" s="80">
        <f t="shared" si="9"/>
        <v>739.28571428571422</v>
      </c>
      <c r="I303" t="s">
        <v>86</v>
      </c>
    </row>
    <row r="304" spans="2:9">
      <c r="B304" s="77">
        <v>43536</v>
      </c>
      <c r="C304" s="78" t="s">
        <v>485</v>
      </c>
      <c r="D304" s="78" t="s">
        <v>486</v>
      </c>
      <c r="E304" s="78" t="s">
        <v>487</v>
      </c>
      <c r="F304" s="79">
        <v>198</v>
      </c>
      <c r="G304" s="80">
        <f t="shared" si="8"/>
        <v>176.78571428571428</v>
      </c>
      <c r="H304" s="80">
        <f t="shared" si="9"/>
        <v>21.214285714285712</v>
      </c>
      <c r="I304" t="s">
        <v>90</v>
      </c>
    </row>
    <row r="305" spans="2:9">
      <c r="B305" s="77">
        <v>43536</v>
      </c>
      <c r="C305" s="78" t="s">
        <v>485</v>
      </c>
      <c r="D305" s="78" t="s">
        <v>486</v>
      </c>
      <c r="E305" s="78" t="s">
        <v>487</v>
      </c>
      <c r="F305" s="79">
        <v>198</v>
      </c>
      <c r="G305" s="80">
        <f t="shared" si="8"/>
        <v>176.78571428571428</v>
      </c>
      <c r="H305" s="80">
        <f t="shared" si="9"/>
        <v>21.214285714285712</v>
      </c>
      <c r="I305" t="s">
        <v>90</v>
      </c>
    </row>
    <row r="306" spans="2:9">
      <c r="B306" s="77">
        <v>43562</v>
      </c>
      <c r="C306" s="78" t="s">
        <v>488</v>
      </c>
      <c r="D306" s="78" t="s">
        <v>489</v>
      </c>
      <c r="E306" s="78" t="s">
        <v>490</v>
      </c>
      <c r="F306" s="83">
        <v>300</v>
      </c>
      <c r="G306" s="80">
        <f t="shared" si="8"/>
        <v>267.85714285714283</v>
      </c>
      <c r="H306" s="80">
        <f t="shared" si="9"/>
        <v>32.142857142857139</v>
      </c>
      <c r="I306" t="s">
        <v>150</v>
      </c>
    </row>
    <row r="307" spans="2:9">
      <c r="B307" s="77">
        <v>43562</v>
      </c>
      <c r="C307" s="78" t="s">
        <v>488</v>
      </c>
      <c r="D307" s="78" t="s">
        <v>489</v>
      </c>
      <c r="E307" s="78" t="s">
        <v>490</v>
      </c>
      <c r="F307" s="83">
        <v>280</v>
      </c>
      <c r="G307" s="80">
        <f t="shared" si="8"/>
        <v>249.99999999999997</v>
      </c>
      <c r="H307" s="80">
        <f t="shared" si="9"/>
        <v>29.999999999999996</v>
      </c>
      <c r="I307" t="s">
        <v>150</v>
      </c>
    </row>
    <row r="308" spans="2:9">
      <c r="B308" s="77">
        <v>43451</v>
      </c>
      <c r="C308" s="78" t="s">
        <v>491</v>
      </c>
      <c r="D308" s="78"/>
      <c r="E308" s="78" t="s">
        <v>492</v>
      </c>
      <c r="F308" s="82">
        <v>540</v>
      </c>
      <c r="G308" s="80">
        <f t="shared" si="8"/>
        <v>482.14285714285711</v>
      </c>
      <c r="H308" s="80">
        <f t="shared" si="9"/>
        <v>57.857142857142854</v>
      </c>
      <c r="I308" t="s">
        <v>150</v>
      </c>
    </row>
    <row r="309" spans="2:9">
      <c r="B309" s="77">
        <v>43559</v>
      </c>
      <c r="C309" s="78" t="s">
        <v>493</v>
      </c>
      <c r="D309" s="78" t="s">
        <v>494</v>
      </c>
      <c r="E309" s="78" t="s">
        <v>495</v>
      </c>
      <c r="F309" s="83">
        <v>455</v>
      </c>
      <c r="G309" s="80">
        <f t="shared" si="8"/>
        <v>406.24999999999994</v>
      </c>
      <c r="H309" s="80">
        <f t="shared" si="9"/>
        <v>48.749999999999993</v>
      </c>
      <c r="I309" t="s">
        <v>150</v>
      </c>
    </row>
    <row r="310" spans="2:9">
      <c r="B310" s="77">
        <v>43559</v>
      </c>
      <c r="C310" s="78" t="s">
        <v>493</v>
      </c>
      <c r="D310" s="78" t="s">
        <v>494</v>
      </c>
      <c r="E310" s="78" t="s">
        <v>495</v>
      </c>
      <c r="F310" s="83">
        <v>200</v>
      </c>
      <c r="G310" s="80">
        <f t="shared" si="8"/>
        <v>178.57142857142856</v>
      </c>
      <c r="H310" s="80">
        <f t="shared" si="9"/>
        <v>21.428571428571427</v>
      </c>
      <c r="I310" t="s">
        <v>150</v>
      </c>
    </row>
    <row r="311" spans="2:9">
      <c r="B311" s="77">
        <v>43549</v>
      </c>
      <c r="C311" s="78" t="s">
        <v>493</v>
      </c>
      <c r="D311" s="78" t="s">
        <v>494</v>
      </c>
      <c r="E311" s="78" t="s">
        <v>495</v>
      </c>
      <c r="F311" s="79">
        <v>40</v>
      </c>
      <c r="G311" s="80">
        <f t="shared" si="8"/>
        <v>35.714285714285708</v>
      </c>
      <c r="H311" s="80">
        <f t="shared" si="9"/>
        <v>4.2857142857142847</v>
      </c>
      <c r="I311" t="s">
        <v>150</v>
      </c>
    </row>
    <row r="312" spans="2:9">
      <c r="B312" s="77">
        <v>43550</v>
      </c>
      <c r="C312" s="78" t="s">
        <v>493</v>
      </c>
      <c r="D312" s="78" t="s">
        <v>494</v>
      </c>
      <c r="E312" s="78" t="s">
        <v>495</v>
      </c>
      <c r="F312" s="79">
        <v>35</v>
      </c>
      <c r="G312" s="80">
        <f t="shared" si="8"/>
        <v>31.249999999999996</v>
      </c>
      <c r="H312" s="80">
        <f t="shared" si="9"/>
        <v>3.7499999999999996</v>
      </c>
      <c r="I312" t="s">
        <v>150</v>
      </c>
    </row>
    <row r="313" spans="2:9">
      <c r="B313" s="77">
        <v>43551</v>
      </c>
      <c r="C313" s="78" t="s">
        <v>493</v>
      </c>
      <c r="D313" s="78" t="s">
        <v>494</v>
      </c>
      <c r="E313" s="78" t="s">
        <v>495</v>
      </c>
      <c r="F313" s="79">
        <v>40</v>
      </c>
      <c r="G313" s="80">
        <f t="shared" si="8"/>
        <v>35.714285714285708</v>
      </c>
      <c r="H313" s="80">
        <f t="shared" si="9"/>
        <v>4.2857142857142847</v>
      </c>
      <c r="I313" t="s">
        <v>150</v>
      </c>
    </row>
    <row r="314" spans="2:9">
      <c r="B314" s="77">
        <v>43629</v>
      </c>
      <c r="C314" s="78" t="s">
        <v>496</v>
      </c>
      <c r="D314" s="78" t="s">
        <v>497</v>
      </c>
      <c r="E314" s="78" t="s">
        <v>498</v>
      </c>
      <c r="F314" s="82">
        <v>28800</v>
      </c>
      <c r="G314" s="80">
        <f t="shared" si="8"/>
        <v>25714.28571428571</v>
      </c>
      <c r="H314" s="80">
        <f t="shared" si="9"/>
        <v>3085.7142857142853</v>
      </c>
      <c r="I314" t="s">
        <v>86</v>
      </c>
    </row>
    <row r="315" spans="2:9">
      <c r="B315" s="77">
        <v>43438</v>
      </c>
      <c r="C315" s="78" t="s">
        <v>499</v>
      </c>
      <c r="D315" s="78"/>
      <c r="E315" s="78" t="s">
        <v>500</v>
      </c>
      <c r="F315" s="82">
        <v>14440</v>
      </c>
      <c r="G315" s="80">
        <f t="shared" si="8"/>
        <v>12892.857142857141</v>
      </c>
      <c r="H315" s="80">
        <f t="shared" si="9"/>
        <v>1547.1428571428569</v>
      </c>
      <c r="I315" t="s">
        <v>86</v>
      </c>
    </row>
    <row r="316" spans="2:9">
      <c r="B316" s="77">
        <v>43443</v>
      </c>
      <c r="C316" s="78" t="s">
        <v>499</v>
      </c>
      <c r="D316" s="78"/>
      <c r="E316" s="78" t="s">
        <v>500</v>
      </c>
      <c r="F316" s="82">
        <v>4550</v>
      </c>
      <c r="G316" s="80">
        <f t="shared" si="8"/>
        <v>4062.4999999999995</v>
      </c>
      <c r="H316" s="80">
        <f t="shared" si="9"/>
        <v>487.49999999999994</v>
      </c>
      <c r="I316" t="s">
        <v>86</v>
      </c>
    </row>
    <row r="317" spans="2:9">
      <c r="B317" s="77">
        <v>43443</v>
      </c>
      <c r="C317" s="78" t="s">
        <v>499</v>
      </c>
      <c r="D317" s="78"/>
      <c r="E317" s="78" t="s">
        <v>500</v>
      </c>
      <c r="F317" s="82">
        <v>14200</v>
      </c>
      <c r="G317" s="80">
        <f t="shared" si="8"/>
        <v>12678.571428571428</v>
      </c>
      <c r="H317" s="80">
        <f t="shared" si="9"/>
        <v>1521.4285714285713</v>
      </c>
      <c r="I317" t="s">
        <v>86</v>
      </c>
    </row>
    <row r="318" spans="2:9">
      <c r="B318" s="77">
        <v>43443</v>
      </c>
      <c r="C318" s="78" t="s">
        <v>499</v>
      </c>
      <c r="D318" s="78"/>
      <c r="E318" s="78" t="s">
        <v>500</v>
      </c>
      <c r="F318" s="82">
        <v>1360</v>
      </c>
      <c r="G318" s="80">
        <f t="shared" si="8"/>
        <v>1214.2857142857142</v>
      </c>
      <c r="H318" s="80">
        <f t="shared" si="9"/>
        <v>145.71428571428569</v>
      </c>
      <c r="I318" t="s">
        <v>86</v>
      </c>
    </row>
    <row r="319" spans="2:9">
      <c r="B319" s="77">
        <v>43444</v>
      </c>
      <c r="C319" s="78" t="s">
        <v>499</v>
      </c>
      <c r="D319" s="78"/>
      <c r="E319" s="78" t="s">
        <v>500</v>
      </c>
      <c r="F319" s="82">
        <v>70</v>
      </c>
      <c r="G319" s="80">
        <f t="shared" si="8"/>
        <v>62.499999999999993</v>
      </c>
      <c r="H319" s="80">
        <f t="shared" si="9"/>
        <v>7.4999999999999991</v>
      </c>
      <c r="I319" t="s">
        <v>86</v>
      </c>
    </row>
    <row r="320" spans="2:9">
      <c r="B320" s="77">
        <v>43445</v>
      </c>
      <c r="C320" s="78" t="s">
        <v>499</v>
      </c>
      <c r="D320" s="78"/>
      <c r="E320" s="78" t="s">
        <v>500</v>
      </c>
      <c r="F320" s="82">
        <v>1550</v>
      </c>
      <c r="G320" s="80">
        <f t="shared" si="8"/>
        <v>1383.9285714285713</v>
      </c>
      <c r="H320" s="80">
        <f t="shared" si="9"/>
        <v>166.07142857142856</v>
      </c>
      <c r="I320" t="s">
        <v>86</v>
      </c>
    </row>
    <row r="321" spans="2:9">
      <c r="B321" s="77">
        <v>43447</v>
      </c>
      <c r="C321" s="78" t="s">
        <v>499</v>
      </c>
      <c r="D321" s="78"/>
      <c r="E321" s="78" t="s">
        <v>500</v>
      </c>
      <c r="F321" s="82">
        <v>1700</v>
      </c>
      <c r="G321" s="80">
        <f t="shared" si="8"/>
        <v>1517.8571428571427</v>
      </c>
      <c r="H321" s="80">
        <f t="shared" si="9"/>
        <v>182.14285714285711</v>
      </c>
      <c r="I321" t="s">
        <v>86</v>
      </c>
    </row>
    <row r="322" spans="2:9">
      <c r="B322" s="77">
        <v>43447</v>
      </c>
      <c r="C322" s="78" t="s">
        <v>499</v>
      </c>
      <c r="D322" s="78"/>
      <c r="E322" s="78" t="s">
        <v>500</v>
      </c>
      <c r="F322" s="82">
        <v>1700</v>
      </c>
      <c r="G322" s="80">
        <f t="shared" si="8"/>
        <v>1517.8571428571427</v>
      </c>
      <c r="H322" s="80">
        <f t="shared" si="9"/>
        <v>182.14285714285711</v>
      </c>
      <c r="I322" t="s">
        <v>86</v>
      </c>
    </row>
    <row r="323" spans="2:9">
      <c r="B323" s="77">
        <v>43451</v>
      </c>
      <c r="C323" s="78" t="s">
        <v>499</v>
      </c>
      <c r="D323" s="78"/>
      <c r="E323" s="78" t="s">
        <v>500</v>
      </c>
      <c r="F323" s="82">
        <v>500</v>
      </c>
      <c r="G323" s="80">
        <f t="shared" si="8"/>
        <v>446.42857142857139</v>
      </c>
      <c r="H323" s="80">
        <f t="shared" si="9"/>
        <v>53.571428571428562</v>
      </c>
      <c r="I323" t="s">
        <v>86</v>
      </c>
    </row>
    <row r="324" spans="2:9">
      <c r="B324" s="77">
        <v>43455</v>
      </c>
      <c r="C324" s="78" t="s">
        <v>499</v>
      </c>
      <c r="D324" s="78"/>
      <c r="E324" s="78" t="s">
        <v>500</v>
      </c>
      <c r="F324" s="82">
        <v>3949</v>
      </c>
      <c r="G324" s="80">
        <f t="shared" ref="G324:G341" si="10">F324/1.12</f>
        <v>3525.8928571428569</v>
      </c>
      <c r="H324" s="80">
        <f t="shared" ref="H324:H341" si="11">G324*0.12</f>
        <v>423.10714285714283</v>
      </c>
      <c r="I324" t="s">
        <v>86</v>
      </c>
    </row>
    <row r="325" spans="2:9">
      <c r="B325" s="77">
        <v>43549</v>
      </c>
      <c r="C325" s="78" t="s">
        <v>501</v>
      </c>
      <c r="D325" s="78" t="s">
        <v>88</v>
      </c>
      <c r="E325" s="78" t="s">
        <v>502</v>
      </c>
      <c r="F325" s="79">
        <v>754</v>
      </c>
      <c r="G325" s="80">
        <f t="shared" si="10"/>
        <v>673.21428571428567</v>
      </c>
      <c r="H325" s="80">
        <f t="shared" si="11"/>
        <v>80.785714285714278</v>
      </c>
      <c r="I325" t="s">
        <v>90</v>
      </c>
    </row>
    <row r="326" spans="2:9">
      <c r="B326" s="77">
        <v>43557</v>
      </c>
      <c r="C326" s="78" t="s">
        <v>503</v>
      </c>
      <c r="D326" s="78" t="s">
        <v>278</v>
      </c>
      <c r="E326" s="78" t="s">
        <v>504</v>
      </c>
      <c r="F326" s="83">
        <v>320</v>
      </c>
      <c r="G326" s="80">
        <f t="shared" si="10"/>
        <v>285.71428571428567</v>
      </c>
      <c r="H326" s="80">
        <f t="shared" si="11"/>
        <v>34.285714285714278</v>
      </c>
      <c r="I326" t="s">
        <v>150</v>
      </c>
    </row>
    <row r="327" spans="2:9">
      <c r="B327" s="77">
        <v>43557</v>
      </c>
      <c r="C327" s="78" t="s">
        <v>505</v>
      </c>
      <c r="D327" s="78" t="s">
        <v>506</v>
      </c>
      <c r="E327" s="78" t="s">
        <v>507</v>
      </c>
      <c r="F327" s="83">
        <v>730</v>
      </c>
      <c r="G327" s="80">
        <f t="shared" si="10"/>
        <v>651.78571428571422</v>
      </c>
      <c r="H327" s="80">
        <f t="shared" si="11"/>
        <v>78.214285714285708</v>
      </c>
      <c r="I327" t="s">
        <v>205</v>
      </c>
    </row>
    <row r="328" spans="2:9">
      <c r="B328" s="77">
        <v>43546</v>
      </c>
      <c r="C328" s="78" t="s">
        <v>508</v>
      </c>
      <c r="D328" s="78" t="s">
        <v>509</v>
      </c>
      <c r="E328" s="78" t="s">
        <v>507</v>
      </c>
      <c r="F328" s="79">
        <v>1255</v>
      </c>
      <c r="G328" s="80">
        <f t="shared" si="10"/>
        <v>1120.5357142857142</v>
      </c>
      <c r="H328" s="80">
        <f t="shared" si="11"/>
        <v>134.46428571428569</v>
      </c>
      <c r="I328" t="s">
        <v>205</v>
      </c>
    </row>
    <row r="329" spans="2:9">
      <c r="B329" s="77">
        <v>43529</v>
      </c>
      <c r="C329" s="78" t="s">
        <v>510</v>
      </c>
      <c r="D329" s="86" t="s">
        <v>511</v>
      </c>
      <c r="E329" s="78" t="s">
        <v>507</v>
      </c>
      <c r="F329" s="79">
        <v>1000</v>
      </c>
      <c r="G329" s="80">
        <f t="shared" si="10"/>
        <v>892.85714285714278</v>
      </c>
      <c r="H329" s="80">
        <f t="shared" si="11"/>
        <v>107.14285714285712</v>
      </c>
      <c r="I329" t="s">
        <v>86</v>
      </c>
    </row>
    <row r="330" spans="2:9">
      <c r="B330" s="76">
        <v>43544</v>
      </c>
      <c r="C330" s="78" t="s">
        <v>505</v>
      </c>
      <c r="D330" s="78" t="s">
        <v>506</v>
      </c>
      <c r="E330" s="78" t="s">
        <v>507</v>
      </c>
      <c r="F330" s="79">
        <v>700</v>
      </c>
      <c r="G330" s="80">
        <f t="shared" si="10"/>
        <v>624.99999999999989</v>
      </c>
      <c r="H330" s="80">
        <f t="shared" si="11"/>
        <v>74.999999999999986</v>
      </c>
      <c r="I330" t="s">
        <v>205</v>
      </c>
    </row>
    <row r="331" spans="2:9">
      <c r="B331" s="76">
        <v>43529</v>
      </c>
      <c r="C331" s="78" t="s">
        <v>510</v>
      </c>
      <c r="D331" s="78" t="s">
        <v>511</v>
      </c>
      <c r="E331" s="78" t="s">
        <v>507</v>
      </c>
      <c r="F331" s="79">
        <v>1000</v>
      </c>
      <c r="G331" s="80">
        <f t="shared" si="10"/>
        <v>892.85714285714278</v>
      </c>
      <c r="H331" s="80">
        <f t="shared" si="11"/>
        <v>107.14285714285712</v>
      </c>
      <c r="I331" t="s">
        <v>86</v>
      </c>
    </row>
    <row r="332" spans="2:9">
      <c r="B332" s="77">
        <v>43544</v>
      </c>
      <c r="C332" s="78" t="s">
        <v>505</v>
      </c>
      <c r="D332" s="78" t="s">
        <v>506</v>
      </c>
      <c r="E332" s="78" t="s">
        <v>507</v>
      </c>
      <c r="F332" s="79">
        <v>700</v>
      </c>
      <c r="G332" s="80">
        <f t="shared" si="10"/>
        <v>624.99999999999989</v>
      </c>
      <c r="H332" s="80">
        <f t="shared" si="11"/>
        <v>74.999999999999986</v>
      </c>
      <c r="I332" t="s">
        <v>205</v>
      </c>
    </row>
    <row r="333" spans="2:9">
      <c r="B333" s="77">
        <v>43559</v>
      </c>
      <c r="C333" s="78" t="s">
        <v>512</v>
      </c>
      <c r="D333" s="78" t="s">
        <v>287</v>
      </c>
      <c r="E333" s="78" t="s">
        <v>513</v>
      </c>
      <c r="F333" s="83">
        <v>436</v>
      </c>
      <c r="G333" s="80">
        <f t="shared" si="10"/>
        <v>389.28571428571422</v>
      </c>
      <c r="H333" s="80">
        <f t="shared" si="11"/>
        <v>46.714285714285708</v>
      </c>
      <c r="I333" t="s">
        <v>150</v>
      </c>
    </row>
    <row r="334" spans="2:9">
      <c r="B334" s="77">
        <v>43553</v>
      </c>
      <c r="C334" s="78" t="s">
        <v>514</v>
      </c>
      <c r="D334" s="78" t="s">
        <v>515</v>
      </c>
      <c r="E334" s="78" t="s">
        <v>516</v>
      </c>
      <c r="F334" s="79">
        <v>500</v>
      </c>
      <c r="G334" s="80">
        <f t="shared" si="10"/>
        <v>446.42857142857139</v>
      </c>
      <c r="H334" s="80">
        <f t="shared" si="11"/>
        <v>53.571428571428562</v>
      </c>
      <c r="I334" t="s">
        <v>308</v>
      </c>
    </row>
    <row r="335" spans="2:9">
      <c r="B335" s="77">
        <v>43535</v>
      </c>
      <c r="C335" s="78" t="s">
        <v>505</v>
      </c>
      <c r="D335" s="78" t="s">
        <v>517</v>
      </c>
      <c r="E335" s="78" t="s">
        <v>518</v>
      </c>
      <c r="F335" s="79">
        <v>25</v>
      </c>
      <c r="G335" s="80">
        <f t="shared" si="10"/>
        <v>22.321428571428569</v>
      </c>
      <c r="H335" s="80">
        <f t="shared" si="11"/>
        <v>2.6785714285714284</v>
      </c>
      <c r="I335" t="s">
        <v>205</v>
      </c>
    </row>
    <row r="336" spans="2:9">
      <c r="B336" s="77">
        <v>43544</v>
      </c>
      <c r="C336" s="78" t="s">
        <v>505</v>
      </c>
      <c r="D336" s="78" t="s">
        <v>517</v>
      </c>
      <c r="E336" s="78" t="s">
        <v>518</v>
      </c>
      <c r="F336" s="79">
        <v>700</v>
      </c>
      <c r="G336" s="80">
        <f t="shared" si="10"/>
        <v>624.99999999999989</v>
      </c>
      <c r="H336" s="80">
        <f t="shared" si="11"/>
        <v>74.999999999999986</v>
      </c>
      <c r="I336" t="s">
        <v>205</v>
      </c>
    </row>
    <row r="337" spans="2:9">
      <c r="B337" s="77">
        <v>43535</v>
      </c>
      <c r="C337" s="78" t="s">
        <v>505</v>
      </c>
      <c r="D337" s="78" t="s">
        <v>517</v>
      </c>
      <c r="E337" s="78" t="s">
        <v>518</v>
      </c>
      <c r="F337" s="79">
        <v>25</v>
      </c>
      <c r="G337" s="80">
        <f t="shared" si="10"/>
        <v>22.321428571428569</v>
      </c>
      <c r="H337" s="80">
        <f t="shared" si="11"/>
        <v>2.6785714285714284</v>
      </c>
      <c r="I337" t="s">
        <v>205</v>
      </c>
    </row>
    <row r="338" spans="2:9">
      <c r="B338" s="87">
        <v>43544</v>
      </c>
      <c r="C338" s="78" t="s">
        <v>505</v>
      </c>
      <c r="D338" s="78" t="s">
        <v>517</v>
      </c>
      <c r="E338" s="78" t="s">
        <v>518</v>
      </c>
      <c r="F338" s="79">
        <v>700</v>
      </c>
      <c r="G338" s="80">
        <f t="shared" si="10"/>
        <v>624.99999999999989</v>
      </c>
      <c r="H338" s="80">
        <f t="shared" si="11"/>
        <v>74.999999999999986</v>
      </c>
      <c r="I338" t="s">
        <v>205</v>
      </c>
    </row>
    <row r="339" spans="2:9">
      <c r="B339" s="87">
        <v>43550</v>
      </c>
      <c r="C339" s="78" t="s">
        <v>519</v>
      </c>
      <c r="D339" s="78" t="s">
        <v>520</v>
      </c>
      <c r="E339" s="78" t="s">
        <v>521</v>
      </c>
      <c r="F339" s="79">
        <v>6000</v>
      </c>
      <c r="G339" s="80">
        <f t="shared" si="10"/>
        <v>5357.1428571428569</v>
      </c>
      <c r="H339" s="80">
        <f t="shared" si="11"/>
        <v>642.85714285714278</v>
      </c>
      <c r="I339" t="s">
        <v>150</v>
      </c>
    </row>
    <row r="340" spans="2:9">
      <c r="B340" s="87">
        <v>43563</v>
      </c>
      <c r="C340" s="78" t="s">
        <v>522</v>
      </c>
      <c r="D340" s="78" t="s">
        <v>523</v>
      </c>
      <c r="E340" s="78"/>
      <c r="F340" s="83">
        <v>115</v>
      </c>
      <c r="G340" s="80">
        <f t="shared" si="10"/>
        <v>102.67857142857142</v>
      </c>
      <c r="H340" s="80">
        <f t="shared" si="11"/>
        <v>12.321428571428569</v>
      </c>
      <c r="I340" t="s">
        <v>205</v>
      </c>
    </row>
    <row r="341" spans="2:9">
      <c r="B341" s="77">
        <v>43567</v>
      </c>
      <c r="C341" s="78" t="s">
        <v>524</v>
      </c>
      <c r="D341" s="78"/>
      <c r="E341" s="78"/>
      <c r="F341" s="83">
        <v>6140</v>
      </c>
      <c r="G341" s="80">
        <f t="shared" si="10"/>
        <v>5482.1428571428569</v>
      </c>
      <c r="H341" s="80">
        <f t="shared" si="11"/>
        <v>657.85714285714278</v>
      </c>
      <c r="I341" t="s">
        <v>86</v>
      </c>
    </row>
    <row r="342" spans="2:9">
      <c r="B342" s="76"/>
      <c r="C342" s="86"/>
      <c r="D342" s="86"/>
      <c r="E342" s="86"/>
      <c r="F342" s="88"/>
      <c r="G342" s="89"/>
      <c r="H342" s="89"/>
    </row>
    <row r="343" spans="2:9">
      <c r="B343" s="76"/>
      <c r="C343" s="86"/>
      <c r="D343" s="86"/>
      <c r="E343" s="86"/>
      <c r="F343" s="88"/>
      <c r="G343" s="89"/>
      <c r="H343" s="89"/>
    </row>
    <row r="344" spans="2:9">
      <c r="F344" s="90">
        <f>SUM(F4:F341)</f>
        <v>1484009.13</v>
      </c>
      <c r="G344" s="90">
        <f>SUM(G4:G341)</f>
        <v>1325008.1517857143</v>
      </c>
      <c r="H344" s="90">
        <f>SUM(H4:H341)</f>
        <v>159000.97821428569</v>
      </c>
    </row>
    <row r="345" spans="2:9">
      <c r="F345" s="73">
        <f>[2]Sheet1!H13</f>
        <v>1484009.1279999998</v>
      </c>
      <c r="G345" s="73">
        <f>[2]Sheet1!H14</f>
        <v>1325008.1499999999</v>
      </c>
      <c r="H345" s="73">
        <f>[2]Sheet1!H15</f>
        <v>159000.97799999997</v>
      </c>
    </row>
    <row r="346" spans="2:9">
      <c r="F346" s="73">
        <f>F345-F344</f>
        <v>-2.0000000949949026E-3</v>
      </c>
      <c r="G346" s="73">
        <f>G345-G344</f>
        <v>-1.7857144121080637E-3</v>
      </c>
      <c r="H346" s="73">
        <f>H345-H344</f>
        <v>-2.1428571199066937E-4</v>
      </c>
    </row>
    <row r="350" spans="2:9">
      <c r="E350" t="s">
        <v>108</v>
      </c>
      <c r="F350" s="73">
        <f>SUMIF(I4:I341,E350,F4:F341)</f>
        <v>8867</v>
      </c>
      <c r="G350" s="117">
        <f t="shared" ref="G350:G363" si="12">F350/1.12</f>
        <v>7916.9642857142853</v>
      </c>
    </row>
    <row r="351" spans="2:9">
      <c r="E351" t="s">
        <v>101</v>
      </c>
      <c r="F351" s="73">
        <f>SUMIF(I4:I341,E351,F4:F341)</f>
        <v>13006.470000000001</v>
      </c>
      <c r="G351" s="91">
        <f t="shared" si="12"/>
        <v>11612.919642857143</v>
      </c>
    </row>
    <row r="352" spans="2:9">
      <c r="E352" t="s">
        <v>90</v>
      </c>
      <c r="F352" s="73">
        <f>SUMIF(I4:I341,E352,F4:F341)</f>
        <v>17391</v>
      </c>
      <c r="G352" s="117">
        <f t="shared" si="12"/>
        <v>15527.678571428571</v>
      </c>
    </row>
    <row r="353" spans="5:7">
      <c r="E353" t="s">
        <v>150</v>
      </c>
      <c r="F353" s="73">
        <f>SUMIF(I4:I341,E353,F4:F341)</f>
        <v>32103.89</v>
      </c>
      <c r="G353" s="117">
        <f t="shared" si="12"/>
        <v>28664.187499999996</v>
      </c>
    </row>
    <row r="354" spans="5:7">
      <c r="E354" t="s">
        <v>308</v>
      </c>
      <c r="F354" s="73">
        <f>SUMIF(I4:I341,E354,F4:F341)</f>
        <v>33061.58</v>
      </c>
      <c r="G354" s="117">
        <f t="shared" si="12"/>
        <v>29519.267857142855</v>
      </c>
    </row>
    <row r="355" spans="5:7">
      <c r="E355" t="s">
        <v>205</v>
      </c>
      <c r="F355" s="73">
        <f>SUMIF(I4:I341,E355,F4:F341)</f>
        <v>10714.75</v>
      </c>
      <c r="G355" s="117">
        <f t="shared" si="12"/>
        <v>9566.7410714285706</v>
      </c>
    </row>
    <row r="356" spans="5:7">
      <c r="E356" t="s">
        <v>86</v>
      </c>
      <c r="F356" s="73">
        <f>SUMIF(I4:I341,E356,F4:F341)</f>
        <v>1246631.27</v>
      </c>
      <c r="G356" s="117">
        <f t="shared" si="12"/>
        <v>1113063.6339285714</v>
      </c>
    </row>
    <row r="357" spans="5:7">
      <c r="E357" t="s">
        <v>9</v>
      </c>
      <c r="F357" s="73">
        <f>SUMIF(I4:I341,E357,F4:F341)</f>
        <v>9122.49</v>
      </c>
      <c r="G357" s="117">
        <f t="shared" si="12"/>
        <v>8145.080357142856</v>
      </c>
    </row>
    <row r="358" spans="5:7">
      <c r="E358" t="s">
        <v>8</v>
      </c>
      <c r="F358" s="73">
        <f>SUMIF(I4:I341,E358,F4:F341)</f>
        <v>97154.18</v>
      </c>
      <c r="G358" s="117">
        <f t="shared" si="12"/>
        <v>86744.803571428551</v>
      </c>
    </row>
    <row r="359" spans="5:7">
      <c r="E359" t="s">
        <v>387</v>
      </c>
      <c r="F359" s="73">
        <f>SUMIF(I4:I341,E359,F4:F341)</f>
        <v>1332</v>
      </c>
      <c r="G359" s="117">
        <f t="shared" si="12"/>
        <v>1189.2857142857142</v>
      </c>
    </row>
    <row r="360" spans="5:7">
      <c r="E360" t="s">
        <v>341</v>
      </c>
      <c r="F360" s="73">
        <f>SUMIF(I4:I341,E360,F4:F341)</f>
        <v>9200</v>
      </c>
      <c r="G360" s="91">
        <f t="shared" si="12"/>
        <v>8214.2857142857138</v>
      </c>
    </row>
    <row r="361" spans="5:7">
      <c r="E361" t="s">
        <v>212</v>
      </c>
      <c r="F361" s="73">
        <f>SUMIF(I4:I341,E361,F4:F341)</f>
        <v>2000</v>
      </c>
      <c r="G361" s="91">
        <f t="shared" si="12"/>
        <v>1785.7142857142856</v>
      </c>
    </row>
    <row r="362" spans="5:7">
      <c r="E362" t="s">
        <v>132</v>
      </c>
      <c r="F362" s="73">
        <f>SUMIF(I4:I341,E362,F4:F341)</f>
        <v>1424.5</v>
      </c>
      <c r="G362" s="91">
        <f t="shared" si="12"/>
        <v>1271.8749999999998</v>
      </c>
    </row>
    <row r="363" spans="5:7">
      <c r="E363" t="s">
        <v>450</v>
      </c>
      <c r="F363" s="73">
        <f>SUMIF(I4:I341,E363,F4:F341)</f>
        <v>2000</v>
      </c>
      <c r="G363" s="117">
        <f t="shared" si="12"/>
        <v>1785.7142857142856</v>
      </c>
    </row>
    <row r="364" spans="5:7">
      <c r="F364" s="90">
        <f>SUM(F350:F363)</f>
        <v>1484009.13</v>
      </c>
      <c r="G364" s="90">
        <f>SUM(G350:G363)</f>
        <v>1325008.1517857143</v>
      </c>
    </row>
    <row r="365" spans="5:7">
      <c r="F365" s="73">
        <f>F344-F364</f>
        <v>0</v>
      </c>
      <c r="G365" s="73">
        <f>G344-G364</f>
        <v>0</v>
      </c>
    </row>
  </sheetData>
  <autoFilter ref="B3:H3">
    <sortState ref="B4:H341">
      <sortCondition ref="E3"/>
    </sortState>
  </autoFilter>
  <mergeCells count="1">
    <mergeCell ref="B1:C1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07"/>
  <sheetViews>
    <sheetView topLeftCell="B123" workbookViewId="0">
      <selection activeCell="G138" sqref="G138"/>
    </sheetView>
  </sheetViews>
  <sheetFormatPr defaultRowHeight="15"/>
  <cols>
    <col min="1" max="1" width="15" hidden="1" customWidth="1"/>
    <col min="2" max="2" width="12.85546875" customWidth="1"/>
    <col min="3" max="3" width="51.28515625" style="93" customWidth="1"/>
    <col min="4" max="4" width="65.42578125" style="93" hidden="1" customWidth="1"/>
    <col min="5" max="5" width="18.140625" style="93" customWidth="1"/>
    <col min="6" max="8" width="15.42578125" style="94" customWidth="1"/>
  </cols>
  <sheetData>
    <row r="1" spans="1:9" ht="16.5">
      <c r="B1" s="119" t="s">
        <v>525</v>
      </c>
      <c r="C1" s="119"/>
      <c r="D1" s="92"/>
    </row>
    <row r="2" spans="1:9" ht="16.5">
      <c r="B2" s="72"/>
      <c r="C2" s="92"/>
      <c r="D2" s="92"/>
    </row>
    <row r="3" spans="1:9" ht="16.5">
      <c r="B3" s="74" t="s">
        <v>77</v>
      </c>
      <c r="C3" s="74" t="s">
        <v>78</v>
      </c>
      <c r="D3" s="74" t="s">
        <v>0</v>
      </c>
      <c r="E3" s="74" t="s">
        <v>79</v>
      </c>
      <c r="F3" s="95" t="s">
        <v>80</v>
      </c>
      <c r="G3" s="95" t="s">
        <v>81</v>
      </c>
      <c r="H3" s="95" t="s">
        <v>82</v>
      </c>
    </row>
    <row r="4" spans="1:9">
      <c r="A4" s="77"/>
      <c r="B4" s="77">
        <v>43615</v>
      </c>
      <c r="C4" s="78" t="s">
        <v>526</v>
      </c>
      <c r="D4" s="78" t="s">
        <v>527</v>
      </c>
      <c r="E4" s="78" t="s">
        <v>528</v>
      </c>
      <c r="F4" s="96">
        <v>484.5</v>
      </c>
      <c r="G4" s="80">
        <f t="shared" ref="G4:G67" si="0">F4/1.12</f>
        <v>432.58928571428567</v>
      </c>
      <c r="H4" s="80">
        <f t="shared" ref="H4:H67" si="1">G4*0.12</f>
        <v>51.910714285714278</v>
      </c>
      <c r="I4" t="s">
        <v>205</v>
      </c>
    </row>
    <row r="5" spans="1:9">
      <c r="A5" s="77"/>
      <c r="B5" s="77">
        <v>43605</v>
      </c>
      <c r="C5" s="78" t="s">
        <v>529</v>
      </c>
      <c r="D5" s="78" t="s">
        <v>530</v>
      </c>
      <c r="E5" s="78" t="s">
        <v>531</v>
      </c>
      <c r="F5" s="96">
        <v>280</v>
      </c>
      <c r="G5" s="80">
        <f t="shared" si="0"/>
        <v>249.99999999999997</v>
      </c>
      <c r="H5" s="80">
        <f t="shared" si="1"/>
        <v>29.999999999999996</v>
      </c>
      <c r="I5" t="s">
        <v>205</v>
      </c>
    </row>
    <row r="6" spans="1:9">
      <c r="A6" s="77"/>
      <c r="B6" s="77">
        <v>43534</v>
      </c>
      <c r="C6" s="78" t="s">
        <v>102</v>
      </c>
      <c r="D6" s="78" t="s">
        <v>103</v>
      </c>
      <c r="E6" s="78" t="s">
        <v>104</v>
      </c>
      <c r="F6" s="97">
        <f>1535.15-31.19</f>
        <v>1503.96</v>
      </c>
      <c r="G6" s="80">
        <f t="shared" si="0"/>
        <v>1342.8214285714284</v>
      </c>
      <c r="H6" s="80">
        <f t="shared" si="1"/>
        <v>161.1385714285714</v>
      </c>
      <c r="I6" t="s">
        <v>101</v>
      </c>
    </row>
    <row r="7" spans="1:9">
      <c r="A7" s="77"/>
      <c r="B7" s="77">
        <v>43616</v>
      </c>
      <c r="C7" s="78" t="s">
        <v>532</v>
      </c>
      <c r="D7" s="78" t="s">
        <v>533</v>
      </c>
      <c r="E7" s="78" t="s">
        <v>534</v>
      </c>
      <c r="F7" s="96">
        <v>114300</v>
      </c>
      <c r="G7" s="80">
        <f t="shared" si="0"/>
        <v>102053.57142857142</v>
      </c>
      <c r="H7" s="80">
        <f t="shared" si="1"/>
        <v>12246.428571428571</v>
      </c>
      <c r="I7" t="s">
        <v>535</v>
      </c>
    </row>
    <row r="8" spans="1:9">
      <c r="A8" s="77"/>
      <c r="B8" s="77">
        <v>43607</v>
      </c>
      <c r="C8" s="78" t="s">
        <v>536</v>
      </c>
      <c r="D8" s="78" t="s">
        <v>537</v>
      </c>
      <c r="E8" s="78" t="s">
        <v>538</v>
      </c>
      <c r="F8" s="96">
        <v>408</v>
      </c>
      <c r="G8" s="80">
        <f t="shared" si="0"/>
        <v>364.28571428571428</v>
      </c>
      <c r="H8" s="80">
        <f t="shared" si="1"/>
        <v>43.714285714285708</v>
      </c>
      <c r="I8" t="s">
        <v>7</v>
      </c>
    </row>
    <row r="9" spans="1:9">
      <c r="A9" s="77"/>
      <c r="B9" s="77">
        <v>43588</v>
      </c>
      <c r="C9" s="78" t="s">
        <v>539</v>
      </c>
      <c r="D9" s="78" t="s">
        <v>122</v>
      </c>
      <c r="E9" s="78" t="s">
        <v>123</v>
      </c>
      <c r="F9" s="96">
        <v>260</v>
      </c>
      <c r="G9" s="80">
        <f t="shared" si="0"/>
        <v>232.14285714285711</v>
      </c>
      <c r="H9" s="80">
        <f t="shared" si="1"/>
        <v>27.857142857142851</v>
      </c>
      <c r="I9" t="s">
        <v>90</v>
      </c>
    </row>
    <row r="10" spans="1:9">
      <c r="A10" s="77"/>
      <c r="B10" s="77">
        <v>43588</v>
      </c>
      <c r="C10" s="78" t="s">
        <v>540</v>
      </c>
      <c r="D10" s="78" t="s">
        <v>541</v>
      </c>
      <c r="E10" s="78" t="s">
        <v>123</v>
      </c>
      <c r="F10" s="96">
        <v>195</v>
      </c>
      <c r="G10" s="80">
        <f t="shared" si="0"/>
        <v>174.10714285714283</v>
      </c>
      <c r="H10" s="80">
        <f t="shared" si="1"/>
        <v>20.892857142857139</v>
      </c>
      <c r="I10" t="s">
        <v>90</v>
      </c>
    </row>
    <row r="11" spans="1:9">
      <c r="A11" s="77"/>
      <c r="B11" s="77">
        <v>43588</v>
      </c>
      <c r="C11" s="78" t="s">
        <v>540</v>
      </c>
      <c r="D11" s="78" t="s">
        <v>541</v>
      </c>
      <c r="E11" s="78" t="s">
        <v>123</v>
      </c>
      <c r="F11" s="96">
        <v>260</v>
      </c>
      <c r="G11" s="80">
        <f t="shared" si="0"/>
        <v>232.14285714285711</v>
      </c>
      <c r="H11" s="80">
        <f t="shared" si="1"/>
        <v>27.857142857142851</v>
      </c>
      <c r="I11" t="s">
        <v>90</v>
      </c>
    </row>
    <row r="12" spans="1:9">
      <c r="A12" s="77"/>
      <c r="B12" s="77">
        <v>43607</v>
      </c>
      <c r="C12" s="78" t="s">
        <v>542</v>
      </c>
      <c r="D12" s="78" t="s">
        <v>543</v>
      </c>
      <c r="E12" s="78" t="s">
        <v>129</v>
      </c>
      <c r="F12" s="96">
        <v>16800</v>
      </c>
      <c r="G12" s="80">
        <f t="shared" si="0"/>
        <v>14999.999999999998</v>
      </c>
      <c r="H12" s="80">
        <f t="shared" si="1"/>
        <v>1799.9999999999998</v>
      </c>
      <c r="I12" t="s">
        <v>535</v>
      </c>
    </row>
    <row r="13" spans="1:9">
      <c r="A13" s="77"/>
      <c r="B13" s="77">
        <v>43588</v>
      </c>
      <c r="C13" s="78" t="s">
        <v>145</v>
      </c>
      <c r="D13" s="78" t="s">
        <v>544</v>
      </c>
      <c r="E13" s="78" t="s">
        <v>144</v>
      </c>
      <c r="F13" s="96">
        <v>124</v>
      </c>
      <c r="G13" s="80">
        <f t="shared" si="0"/>
        <v>110.71428571428571</v>
      </c>
      <c r="H13" s="80">
        <f t="shared" si="1"/>
        <v>13.285714285714285</v>
      </c>
      <c r="I13" t="s">
        <v>90</v>
      </c>
    </row>
    <row r="14" spans="1:9">
      <c r="A14" s="77"/>
      <c r="B14" s="77">
        <v>43588</v>
      </c>
      <c r="C14" s="78" t="s">
        <v>145</v>
      </c>
      <c r="D14" s="78" t="s">
        <v>544</v>
      </c>
      <c r="E14" s="78" t="s">
        <v>144</v>
      </c>
      <c r="F14" s="96">
        <v>124</v>
      </c>
      <c r="G14" s="80">
        <f t="shared" si="0"/>
        <v>110.71428571428571</v>
      </c>
      <c r="H14" s="80">
        <f t="shared" si="1"/>
        <v>13.285714285714285</v>
      </c>
      <c r="I14" t="s">
        <v>90</v>
      </c>
    </row>
    <row r="15" spans="1:9">
      <c r="A15" s="77"/>
      <c r="B15" s="77">
        <v>43607</v>
      </c>
      <c r="C15" s="78" t="s">
        <v>545</v>
      </c>
      <c r="D15" s="78" t="s">
        <v>546</v>
      </c>
      <c r="E15" s="78" t="s">
        <v>547</v>
      </c>
      <c r="F15" s="96">
        <v>3156</v>
      </c>
      <c r="G15" s="80">
        <f t="shared" si="0"/>
        <v>2817.8571428571427</v>
      </c>
      <c r="H15" s="80">
        <f t="shared" si="1"/>
        <v>338.14285714285711</v>
      </c>
      <c r="I15" t="s">
        <v>205</v>
      </c>
    </row>
    <row r="16" spans="1:9">
      <c r="A16" s="77"/>
      <c r="B16" s="77">
        <v>43611</v>
      </c>
      <c r="C16" s="78" t="s">
        <v>548</v>
      </c>
      <c r="D16" s="78" t="s">
        <v>140</v>
      </c>
      <c r="E16" s="78" t="s">
        <v>549</v>
      </c>
      <c r="F16" s="96">
        <v>60</v>
      </c>
      <c r="G16" s="80">
        <f t="shared" si="0"/>
        <v>53.571428571428569</v>
      </c>
      <c r="H16" s="80">
        <f t="shared" si="1"/>
        <v>6.4285714285714279</v>
      </c>
      <c r="I16" t="s">
        <v>205</v>
      </c>
    </row>
    <row r="17" spans="1:9">
      <c r="A17" s="77"/>
      <c r="B17" s="77">
        <v>43603</v>
      </c>
      <c r="C17" s="78" t="s">
        <v>550</v>
      </c>
      <c r="D17" s="78" t="s">
        <v>551</v>
      </c>
      <c r="E17" s="78" t="s">
        <v>552</v>
      </c>
      <c r="F17" s="96">
        <v>1411</v>
      </c>
      <c r="G17" s="80">
        <f t="shared" si="0"/>
        <v>1259.8214285714284</v>
      </c>
      <c r="H17" s="80">
        <f t="shared" si="1"/>
        <v>151.17857142857142</v>
      </c>
      <c r="I17" t="s">
        <v>205</v>
      </c>
    </row>
    <row r="18" spans="1:9">
      <c r="A18" s="77"/>
      <c r="B18" s="77">
        <v>43588</v>
      </c>
      <c r="C18" s="78" t="s">
        <v>553</v>
      </c>
      <c r="D18" s="78" t="s">
        <v>554</v>
      </c>
      <c r="E18" s="78" t="s">
        <v>185</v>
      </c>
      <c r="F18" s="96">
        <v>186</v>
      </c>
      <c r="G18" s="80">
        <f t="shared" si="0"/>
        <v>166.07142857142856</v>
      </c>
      <c r="H18" s="80">
        <f t="shared" si="1"/>
        <v>19.928571428571427</v>
      </c>
      <c r="I18" t="s">
        <v>108</v>
      </c>
    </row>
    <row r="19" spans="1:9">
      <c r="A19" s="77"/>
      <c r="B19" s="77">
        <v>43593</v>
      </c>
      <c r="C19" s="78" t="s">
        <v>553</v>
      </c>
      <c r="D19" s="78" t="s">
        <v>554</v>
      </c>
      <c r="E19" s="78" t="s">
        <v>185</v>
      </c>
      <c r="F19" s="96">
        <v>49</v>
      </c>
      <c r="G19" s="80">
        <f t="shared" si="0"/>
        <v>43.749999999999993</v>
      </c>
      <c r="H19" s="80">
        <f t="shared" si="1"/>
        <v>5.2499999999999991</v>
      </c>
      <c r="I19" t="s">
        <v>108</v>
      </c>
    </row>
    <row r="20" spans="1:9">
      <c r="A20" s="77"/>
      <c r="B20" s="77">
        <v>43601</v>
      </c>
      <c r="C20" s="78" t="s">
        <v>553</v>
      </c>
      <c r="D20" s="78" t="s">
        <v>554</v>
      </c>
      <c r="E20" s="78" t="s">
        <v>185</v>
      </c>
      <c r="F20" s="96">
        <v>102</v>
      </c>
      <c r="G20" s="80">
        <f t="shared" si="0"/>
        <v>91.071428571428569</v>
      </c>
      <c r="H20" s="80">
        <f t="shared" si="1"/>
        <v>10.928571428571427</v>
      </c>
      <c r="I20" t="s">
        <v>108</v>
      </c>
    </row>
    <row r="21" spans="1:9">
      <c r="A21" s="77"/>
      <c r="B21" s="77">
        <v>43588</v>
      </c>
      <c r="C21" s="78" t="s">
        <v>6</v>
      </c>
      <c r="D21" s="78" t="s">
        <v>555</v>
      </c>
      <c r="E21" s="78" t="s">
        <v>185</v>
      </c>
      <c r="F21" s="96">
        <v>186</v>
      </c>
      <c r="G21" s="80">
        <f t="shared" si="0"/>
        <v>166.07142857142856</v>
      </c>
      <c r="H21" s="80">
        <f t="shared" si="1"/>
        <v>19.928571428571427</v>
      </c>
      <c r="I21" t="s">
        <v>108</v>
      </c>
    </row>
    <row r="22" spans="1:9">
      <c r="A22" s="77"/>
      <c r="B22" s="77">
        <v>43596</v>
      </c>
      <c r="C22" s="78" t="s">
        <v>192</v>
      </c>
      <c r="D22" s="78" t="s">
        <v>193</v>
      </c>
      <c r="E22" s="78" t="s">
        <v>194</v>
      </c>
      <c r="F22" s="96">
        <v>45</v>
      </c>
      <c r="G22" s="80">
        <f t="shared" si="0"/>
        <v>40.178571428571423</v>
      </c>
      <c r="H22" s="80">
        <f t="shared" si="1"/>
        <v>4.8214285714285703</v>
      </c>
      <c r="I22" t="s">
        <v>108</v>
      </c>
    </row>
    <row r="23" spans="1:9">
      <c r="A23" s="77"/>
      <c r="B23" s="77">
        <v>43527</v>
      </c>
      <c r="C23" s="78" t="s">
        <v>192</v>
      </c>
      <c r="D23" s="78" t="s">
        <v>197</v>
      </c>
      <c r="E23" s="78" t="s">
        <v>199</v>
      </c>
      <c r="F23" s="97">
        <v>45</v>
      </c>
      <c r="G23" s="80">
        <f t="shared" si="0"/>
        <v>40.178571428571423</v>
      </c>
      <c r="H23" s="80">
        <f t="shared" si="1"/>
        <v>4.8214285714285703</v>
      </c>
      <c r="I23" t="s">
        <v>108</v>
      </c>
    </row>
    <row r="24" spans="1:9">
      <c r="A24" s="77"/>
      <c r="B24" s="77">
        <v>43528</v>
      </c>
      <c r="C24" s="78" t="s">
        <v>192</v>
      </c>
      <c r="D24" s="78" t="s">
        <v>197</v>
      </c>
      <c r="E24" s="78" t="s">
        <v>199</v>
      </c>
      <c r="F24" s="97">
        <v>45</v>
      </c>
      <c r="G24" s="80">
        <f t="shared" si="0"/>
        <v>40.178571428571423</v>
      </c>
      <c r="H24" s="80">
        <f t="shared" si="1"/>
        <v>4.8214285714285703</v>
      </c>
      <c r="I24" t="s">
        <v>108</v>
      </c>
    </row>
    <row r="25" spans="1:9">
      <c r="A25" s="77"/>
      <c r="B25" s="77">
        <v>43530</v>
      </c>
      <c r="C25" s="78" t="s">
        <v>192</v>
      </c>
      <c r="D25" s="78" t="s">
        <v>197</v>
      </c>
      <c r="E25" s="78" t="s">
        <v>199</v>
      </c>
      <c r="F25" s="97">
        <v>45</v>
      </c>
      <c r="G25" s="80">
        <f t="shared" si="0"/>
        <v>40.178571428571423</v>
      </c>
      <c r="H25" s="80">
        <f t="shared" si="1"/>
        <v>4.8214285714285703</v>
      </c>
      <c r="I25" t="s">
        <v>108</v>
      </c>
    </row>
    <row r="26" spans="1:9">
      <c r="A26" s="77"/>
      <c r="B26" s="77">
        <v>43610</v>
      </c>
      <c r="C26" s="78" t="s">
        <v>192</v>
      </c>
      <c r="D26" s="78" t="s">
        <v>193</v>
      </c>
      <c r="E26" s="78" t="s">
        <v>556</v>
      </c>
      <c r="F26" s="96">
        <v>54</v>
      </c>
      <c r="G26" s="80">
        <f t="shared" si="0"/>
        <v>48.214285714285708</v>
      </c>
      <c r="H26" s="80">
        <f t="shared" si="1"/>
        <v>5.7857142857142847</v>
      </c>
      <c r="I26" t="s">
        <v>108</v>
      </c>
    </row>
    <row r="27" spans="1:9">
      <c r="A27" s="77"/>
      <c r="B27" s="77">
        <v>43605</v>
      </c>
      <c r="C27" s="78" t="s">
        <v>557</v>
      </c>
      <c r="D27" s="78" t="s">
        <v>558</v>
      </c>
      <c r="E27" s="78" t="s">
        <v>559</v>
      </c>
      <c r="F27" s="96">
        <v>160</v>
      </c>
      <c r="G27" s="80">
        <f t="shared" si="0"/>
        <v>142.85714285714283</v>
      </c>
      <c r="H27" s="80">
        <f t="shared" si="1"/>
        <v>17.142857142857139</v>
      </c>
      <c r="I27" t="s">
        <v>90</v>
      </c>
    </row>
    <row r="28" spans="1:9">
      <c r="A28" s="77"/>
      <c r="B28" s="77">
        <v>43609</v>
      </c>
      <c r="C28" s="78" t="s">
        <v>560</v>
      </c>
      <c r="D28" s="78" t="s">
        <v>561</v>
      </c>
      <c r="E28" s="78" t="s">
        <v>562</v>
      </c>
      <c r="F28" s="96">
        <v>95</v>
      </c>
      <c r="G28" s="80">
        <f t="shared" si="0"/>
        <v>84.821428571428569</v>
      </c>
      <c r="H28" s="80">
        <f t="shared" si="1"/>
        <v>10.178571428571429</v>
      </c>
      <c r="I28" t="s">
        <v>108</v>
      </c>
    </row>
    <row r="29" spans="1:9">
      <c r="A29" s="77"/>
      <c r="B29" s="77">
        <v>43605</v>
      </c>
      <c r="C29" s="78" t="s">
        <v>563</v>
      </c>
      <c r="D29" s="78" t="s">
        <v>564</v>
      </c>
      <c r="E29" s="78" t="s">
        <v>565</v>
      </c>
      <c r="F29" s="96">
        <v>346</v>
      </c>
      <c r="G29" s="80">
        <f t="shared" si="0"/>
        <v>308.92857142857139</v>
      </c>
      <c r="H29" s="80">
        <f t="shared" si="1"/>
        <v>37.071428571428562</v>
      </c>
      <c r="I29" t="s">
        <v>90</v>
      </c>
    </row>
    <row r="30" spans="1:9">
      <c r="A30" s="77"/>
      <c r="B30" s="77">
        <v>43611</v>
      </c>
      <c r="C30" s="98" t="s">
        <v>566</v>
      </c>
      <c r="D30" s="78"/>
      <c r="E30" s="78" t="s">
        <v>567</v>
      </c>
      <c r="F30" s="96">
        <v>75</v>
      </c>
      <c r="G30" s="80">
        <f t="shared" si="0"/>
        <v>66.964285714285708</v>
      </c>
      <c r="H30" s="80">
        <f t="shared" si="1"/>
        <v>8.0357142857142847</v>
      </c>
      <c r="I30" t="s">
        <v>205</v>
      </c>
    </row>
    <row r="31" spans="1:9">
      <c r="A31" s="77"/>
      <c r="B31" s="77">
        <v>43611</v>
      </c>
      <c r="C31" s="98" t="s">
        <v>566</v>
      </c>
      <c r="D31" s="78"/>
      <c r="E31" s="78" t="s">
        <v>567</v>
      </c>
      <c r="F31" s="96">
        <v>642</v>
      </c>
      <c r="G31" s="80">
        <f t="shared" si="0"/>
        <v>573.21428571428567</v>
      </c>
      <c r="H31" s="80">
        <f t="shared" si="1"/>
        <v>68.785714285714278</v>
      </c>
      <c r="I31" t="s">
        <v>205</v>
      </c>
    </row>
    <row r="32" spans="1:9">
      <c r="A32" s="77"/>
      <c r="B32" s="77">
        <v>43613</v>
      </c>
      <c r="C32" s="78" t="s">
        <v>568</v>
      </c>
      <c r="D32" s="78" t="s">
        <v>569</v>
      </c>
      <c r="E32" s="78" t="s">
        <v>570</v>
      </c>
      <c r="F32" s="96">
        <v>251</v>
      </c>
      <c r="G32" s="80">
        <f t="shared" si="0"/>
        <v>224.10714285714283</v>
      </c>
      <c r="H32" s="80">
        <f t="shared" si="1"/>
        <v>26.892857142857139</v>
      </c>
      <c r="I32" t="s">
        <v>90</v>
      </c>
    </row>
    <row r="33" spans="1:9">
      <c r="A33" s="77"/>
      <c r="B33" s="77">
        <v>43607</v>
      </c>
      <c r="C33" s="78" t="s">
        <v>571</v>
      </c>
      <c r="D33" s="78" t="s">
        <v>572</v>
      </c>
      <c r="E33" s="78" t="s">
        <v>573</v>
      </c>
      <c r="F33" s="96">
        <v>109645.2</v>
      </c>
      <c r="G33" s="80">
        <f t="shared" si="0"/>
        <v>97897.499999999985</v>
      </c>
      <c r="H33" s="80">
        <f t="shared" si="1"/>
        <v>11747.699999999997</v>
      </c>
      <c r="I33" t="s">
        <v>535</v>
      </c>
    </row>
    <row r="34" spans="1:9">
      <c r="A34" s="77"/>
      <c r="B34" s="77">
        <v>43605</v>
      </c>
      <c r="C34" s="78" t="s">
        <v>574</v>
      </c>
      <c r="D34" s="78" t="s">
        <v>575</v>
      </c>
      <c r="E34" s="78" t="s">
        <v>576</v>
      </c>
      <c r="F34" s="96">
        <v>7791.36</v>
      </c>
      <c r="G34" s="80">
        <f t="shared" si="0"/>
        <v>6956.5714285714275</v>
      </c>
      <c r="H34" s="80">
        <f t="shared" si="1"/>
        <v>834.78857142857123</v>
      </c>
      <c r="I34" t="s">
        <v>535</v>
      </c>
    </row>
    <row r="35" spans="1:9">
      <c r="A35" s="77"/>
      <c r="B35" s="77">
        <v>43607</v>
      </c>
      <c r="C35" s="78" t="s">
        <v>577</v>
      </c>
      <c r="D35" s="78" t="s">
        <v>578</v>
      </c>
      <c r="E35" s="78" t="s">
        <v>579</v>
      </c>
      <c r="F35" s="96">
        <v>89954</v>
      </c>
      <c r="G35" s="80">
        <f t="shared" si="0"/>
        <v>80316.07142857142</v>
      </c>
      <c r="H35" s="80">
        <f t="shared" si="1"/>
        <v>9637.9285714285706</v>
      </c>
      <c r="I35" t="s">
        <v>535</v>
      </c>
    </row>
    <row r="36" spans="1:9">
      <c r="A36" s="77"/>
      <c r="B36" s="77">
        <v>43607</v>
      </c>
      <c r="C36" s="78" t="s">
        <v>580</v>
      </c>
      <c r="D36" s="78" t="s">
        <v>581</v>
      </c>
      <c r="E36" s="78" t="s">
        <v>582</v>
      </c>
      <c r="F36" s="96">
        <v>30</v>
      </c>
      <c r="G36" s="80">
        <f t="shared" si="0"/>
        <v>26.785714285714285</v>
      </c>
      <c r="H36" s="80">
        <f t="shared" si="1"/>
        <v>3.214285714285714</v>
      </c>
      <c r="I36" t="s">
        <v>205</v>
      </c>
    </row>
    <row r="37" spans="1:9">
      <c r="A37" s="77"/>
      <c r="B37" s="77">
        <v>43610</v>
      </c>
      <c r="C37" s="78" t="s">
        <v>262</v>
      </c>
      <c r="D37" s="78" t="s">
        <v>263</v>
      </c>
      <c r="E37" s="78" t="s">
        <v>583</v>
      </c>
      <c r="F37" s="96">
        <v>35</v>
      </c>
      <c r="G37" s="80">
        <f t="shared" si="0"/>
        <v>31.249999999999996</v>
      </c>
      <c r="H37" s="80">
        <f t="shared" si="1"/>
        <v>3.7499999999999996</v>
      </c>
      <c r="I37" t="s">
        <v>205</v>
      </c>
    </row>
    <row r="38" spans="1:9">
      <c r="A38" s="77"/>
      <c r="B38" s="77">
        <v>43611</v>
      </c>
      <c r="C38" s="78" t="s">
        <v>262</v>
      </c>
      <c r="D38" s="78" t="s">
        <v>263</v>
      </c>
      <c r="E38" s="78" t="s">
        <v>583</v>
      </c>
      <c r="F38" s="96">
        <v>1500</v>
      </c>
      <c r="G38" s="80">
        <f t="shared" si="0"/>
        <v>1339.2857142857142</v>
      </c>
      <c r="H38" s="80">
        <f t="shared" si="1"/>
        <v>160.71428571428569</v>
      </c>
      <c r="I38" t="s">
        <v>205</v>
      </c>
    </row>
    <row r="39" spans="1:9">
      <c r="A39" s="77"/>
      <c r="B39" s="77">
        <v>43608</v>
      </c>
      <c r="C39" s="78" t="s">
        <v>584</v>
      </c>
      <c r="D39" s="78" t="s">
        <v>585</v>
      </c>
      <c r="E39" s="78" t="s">
        <v>586</v>
      </c>
      <c r="F39" s="96">
        <v>225</v>
      </c>
      <c r="G39" s="80">
        <f t="shared" si="0"/>
        <v>200.89285714285711</v>
      </c>
      <c r="H39" s="80">
        <f t="shared" si="1"/>
        <v>24.107142857142854</v>
      </c>
      <c r="I39" t="s">
        <v>90</v>
      </c>
    </row>
    <row r="40" spans="1:9">
      <c r="A40" s="77"/>
      <c r="B40" s="77">
        <v>43598</v>
      </c>
      <c r="C40" s="78" t="s">
        <v>587</v>
      </c>
      <c r="D40" s="78" t="s">
        <v>588</v>
      </c>
      <c r="E40" s="78" t="s">
        <v>589</v>
      </c>
      <c r="F40" s="96">
        <v>125</v>
      </c>
      <c r="G40" s="80">
        <f t="shared" si="0"/>
        <v>111.60714285714285</v>
      </c>
      <c r="H40" s="80">
        <f t="shared" si="1"/>
        <v>13.392857142857141</v>
      </c>
      <c r="I40" t="s">
        <v>205</v>
      </c>
    </row>
    <row r="41" spans="1:9">
      <c r="A41" s="77"/>
      <c r="B41" s="77">
        <v>43605</v>
      </c>
      <c r="C41" s="78" t="s">
        <v>590</v>
      </c>
      <c r="D41" s="78" t="s">
        <v>591</v>
      </c>
      <c r="E41" s="78" t="s">
        <v>592</v>
      </c>
      <c r="F41" s="96">
        <v>30</v>
      </c>
      <c r="G41" s="80">
        <f t="shared" si="0"/>
        <v>26.785714285714285</v>
      </c>
      <c r="H41" s="80">
        <f t="shared" si="1"/>
        <v>3.214285714285714</v>
      </c>
      <c r="I41" t="s">
        <v>205</v>
      </c>
    </row>
    <row r="42" spans="1:9">
      <c r="A42" s="77"/>
      <c r="B42" s="77">
        <v>43588</v>
      </c>
      <c r="C42" s="78" t="s">
        <v>593</v>
      </c>
      <c r="D42" s="78" t="s">
        <v>544</v>
      </c>
      <c r="E42" s="78" t="s">
        <v>594</v>
      </c>
      <c r="F42" s="96">
        <v>159</v>
      </c>
      <c r="G42" s="80">
        <f t="shared" si="0"/>
        <v>141.96428571428569</v>
      </c>
      <c r="H42" s="80">
        <f t="shared" si="1"/>
        <v>17.035714285714281</v>
      </c>
      <c r="I42" t="s">
        <v>90</v>
      </c>
    </row>
    <row r="43" spans="1:9">
      <c r="A43" s="77"/>
      <c r="B43" s="77">
        <v>43607</v>
      </c>
      <c r="C43" s="78" t="s">
        <v>595</v>
      </c>
      <c r="D43" s="78" t="s">
        <v>596</v>
      </c>
      <c r="E43" s="78" t="s">
        <v>597</v>
      </c>
      <c r="F43" s="96">
        <v>209</v>
      </c>
      <c r="G43" s="80">
        <f t="shared" si="0"/>
        <v>186.60714285714283</v>
      </c>
      <c r="H43" s="80">
        <f t="shared" si="1"/>
        <v>22.392857142857139</v>
      </c>
      <c r="I43" t="s">
        <v>90</v>
      </c>
    </row>
    <row r="44" spans="1:9">
      <c r="A44" s="77"/>
      <c r="B44" s="77">
        <v>43615</v>
      </c>
      <c r="C44" s="78" t="s">
        <v>598</v>
      </c>
      <c r="D44" s="78" t="s">
        <v>599</v>
      </c>
      <c r="E44" s="78" t="s">
        <v>288</v>
      </c>
      <c r="F44" s="96">
        <v>102</v>
      </c>
      <c r="G44" s="80">
        <f t="shared" si="0"/>
        <v>91.071428571428569</v>
      </c>
      <c r="H44" s="80">
        <f t="shared" si="1"/>
        <v>10.928571428571427</v>
      </c>
      <c r="I44" t="s">
        <v>90</v>
      </c>
    </row>
    <row r="45" spans="1:9">
      <c r="A45" s="77"/>
      <c r="B45" s="77">
        <v>43616</v>
      </c>
      <c r="C45" s="78" t="s">
        <v>598</v>
      </c>
      <c r="D45" s="78" t="s">
        <v>599</v>
      </c>
      <c r="E45" s="78" t="s">
        <v>288</v>
      </c>
      <c r="F45" s="96">
        <v>310</v>
      </c>
      <c r="G45" s="80">
        <f t="shared" si="0"/>
        <v>276.78571428571428</v>
      </c>
      <c r="H45" s="80">
        <f t="shared" si="1"/>
        <v>33.214285714285715</v>
      </c>
      <c r="I45" t="s">
        <v>90</v>
      </c>
    </row>
    <row r="46" spans="1:9">
      <c r="A46" s="77"/>
      <c r="B46" s="77">
        <v>43588</v>
      </c>
      <c r="C46" s="78" t="s">
        <v>289</v>
      </c>
      <c r="D46" s="78" t="s">
        <v>600</v>
      </c>
      <c r="E46" s="78" t="s">
        <v>288</v>
      </c>
      <c r="F46" s="96">
        <v>280</v>
      </c>
      <c r="G46" s="80">
        <f t="shared" si="0"/>
        <v>249.99999999999997</v>
      </c>
      <c r="H46" s="80">
        <f t="shared" si="1"/>
        <v>29.999999999999996</v>
      </c>
      <c r="I46" t="s">
        <v>90</v>
      </c>
    </row>
    <row r="47" spans="1:9">
      <c r="A47" s="77"/>
      <c r="B47" s="77">
        <v>43595</v>
      </c>
      <c r="C47" s="78" t="s">
        <v>289</v>
      </c>
      <c r="D47" s="78" t="s">
        <v>600</v>
      </c>
      <c r="E47" s="78" t="s">
        <v>288</v>
      </c>
      <c r="F47" s="96">
        <v>280</v>
      </c>
      <c r="G47" s="80">
        <f t="shared" si="0"/>
        <v>249.99999999999997</v>
      </c>
      <c r="H47" s="80">
        <f t="shared" si="1"/>
        <v>29.999999999999996</v>
      </c>
      <c r="I47" t="s">
        <v>90</v>
      </c>
    </row>
    <row r="48" spans="1:9">
      <c r="A48" s="77"/>
      <c r="B48" s="77">
        <v>43613</v>
      </c>
      <c r="C48" s="78" t="s">
        <v>601</v>
      </c>
      <c r="D48" s="78" t="s">
        <v>602</v>
      </c>
      <c r="E48" s="78" t="s">
        <v>296</v>
      </c>
      <c r="F48" s="96">
        <v>3175.5</v>
      </c>
      <c r="G48" s="80">
        <f t="shared" si="0"/>
        <v>2835.2678571428569</v>
      </c>
      <c r="H48" s="80">
        <f t="shared" si="1"/>
        <v>340.23214285714283</v>
      </c>
      <c r="I48" t="s">
        <v>7</v>
      </c>
    </row>
    <row r="49" spans="1:9">
      <c r="A49" s="77"/>
      <c r="B49" s="77">
        <v>43609</v>
      </c>
      <c r="C49" s="78" t="s">
        <v>603</v>
      </c>
      <c r="D49" s="78" t="s">
        <v>604</v>
      </c>
      <c r="E49" s="78" t="s">
        <v>605</v>
      </c>
      <c r="F49" s="96">
        <v>190</v>
      </c>
      <c r="G49" s="80">
        <f t="shared" si="0"/>
        <v>169.64285714285714</v>
      </c>
      <c r="H49" s="80">
        <f t="shared" si="1"/>
        <v>20.357142857142858</v>
      </c>
      <c r="I49" t="s">
        <v>7</v>
      </c>
    </row>
    <row r="50" spans="1:9">
      <c r="A50" s="77"/>
      <c r="B50" s="77">
        <v>43609</v>
      </c>
      <c r="C50" s="78" t="s">
        <v>603</v>
      </c>
      <c r="D50" s="78" t="s">
        <v>604</v>
      </c>
      <c r="E50" s="78" t="s">
        <v>605</v>
      </c>
      <c r="F50" s="96">
        <v>1080</v>
      </c>
      <c r="G50" s="80">
        <f t="shared" si="0"/>
        <v>964.28571428571422</v>
      </c>
      <c r="H50" s="80">
        <f t="shared" si="1"/>
        <v>115.71428571428571</v>
      </c>
      <c r="I50" t="s">
        <v>7</v>
      </c>
    </row>
    <row r="51" spans="1:9">
      <c r="A51" s="77"/>
      <c r="B51" s="77">
        <v>43610</v>
      </c>
      <c r="C51" s="78" t="s">
        <v>603</v>
      </c>
      <c r="D51" s="78" t="s">
        <v>604</v>
      </c>
      <c r="E51" s="78" t="s">
        <v>605</v>
      </c>
      <c r="F51" s="96">
        <v>1280</v>
      </c>
      <c r="G51" s="80">
        <f t="shared" si="0"/>
        <v>1142.8571428571427</v>
      </c>
      <c r="H51" s="80">
        <f t="shared" si="1"/>
        <v>137.14285714285711</v>
      </c>
      <c r="I51" t="s">
        <v>7</v>
      </c>
    </row>
    <row r="52" spans="1:9">
      <c r="A52" s="77"/>
      <c r="B52" s="77">
        <v>43591</v>
      </c>
      <c r="C52" s="78" t="s">
        <v>508</v>
      </c>
      <c r="D52" s="78" t="s">
        <v>606</v>
      </c>
      <c r="E52" s="78" t="s">
        <v>607</v>
      </c>
      <c r="F52" s="96">
        <v>1500</v>
      </c>
      <c r="G52" s="80">
        <f t="shared" si="0"/>
        <v>1339.2857142857142</v>
      </c>
      <c r="H52" s="80">
        <f t="shared" si="1"/>
        <v>160.71428571428569</v>
      </c>
      <c r="I52" t="s">
        <v>205</v>
      </c>
    </row>
    <row r="53" spans="1:9">
      <c r="A53" s="77"/>
      <c r="B53" s="77">
        <v>43594</v>
      </c>
      <c r="C53" s="78" t="s">
        <v>608</v>
      </c>
      <c r="D53" s="78" t="s">
        <v>609</v>
      </c>
      <c r="E53" s="78" t="s">
        <v>610</v>
      </c>
      <c r="F53" s="96">
        <v>194</v>
      </c>
      <c r="G53" s="80">
        <f t="shared" si="0"/>
        <v>173.21428571428569</v>
      </c>
      <c r="H53" s="80">
        <f t="shared" si="1"/>
        <v>20.785714285714281</v>
      </c>
      <c r="I53" t="s">
        <v>7</v>
      </c>
    </row>
    <row r="54" spans="1:9">
      <c r="A54" s="77"/>
      <c r="B54" s="77">
        <v>43603</v>
      </c>
      <c r="C54" s="78" t="s">
        <v>611</v>
      </c>
      <c r="D54" s="78" t="s">
        <v>612</v>
      </c>
      <c r="E54" s="78" t="s">
        <v>613</v>
      </c>
      <c r="F54" s="96">
        <v>45</v>
      </c>
      <c r="G54" s="80">
        <f t="shared" si="0"/>
        <v>40.178571428571423</v>
      </c>
      <c r="H54" s="80">
        <f t="shared" si="1"/>
        <v>4.8214285714285703</v>
      </c>
      <c r="I54" t="s">
        <v>205</v>
      </c>
    </row>
    <row r="55" spans="1:9">
      <c r="A55" s="77"/>
      <c r="B55" s="77">
        <v>43603</v>
      </c>
      <c r="C55" s="78" t="s">
        <v>611</v>
      </c>
      <c r="D55" s="78" t="s">
        <v>612</v>
      </c>
      <c r="E55" s="78" t="s">
        <v>613</v>
      </c>
      <c r="F55" s="96">
        <v>313</v>
      </c>
      <c r="G55" s="80">
        <f t="shared" si="0"/>
        <v>279.46428571428567</v>
      </c>
      <c r="H55" s="80">
        <f t="shared" si="1"/>
        <v>33.535714285714278</v>
      </c>
      <c r="I55" t="s">
        <v>205</v>
      </c>
    </row>
    <row r="56" spans="1:9">
      <c r="A56" s="77"/>
      <c r="B56" s="77">
        <v>43588</v>
      </c>
      <c r="C56" s="78" t="s">
        <v>316</v>
      </c>
      <c r="D56" s="78" t="s">
        <v>614</v>
      </c>
      <c r="E56" s="78" t="s">
        <v>318</v>
      </c>
      <c r="F56" s="96">
        <v>109</v>
      </c>
      <c r="G56" s="80">
        <f t="shared" si="0"/>
        <v>97.321428571428555</v>
      </c>
      <c r="H56" s="80">
        <f t="shared" si="1"/>
        <v>11.678571428571427</v>
      </c>
      <c r="I56" t="s">
        <v>90</v>
      </c>
    </row>
    <row r="57" spans="1:9">
      <c r="A57" s="77"/>
      <c r="B57" s="77">
        <v>43588</v>
      </c>
      <c r="C57" s="78" t="s">
        <v>615</v>
      </c>
      <c r="D57" s="78" t="s">
        <v>616</v>
      </c>
      <c r="E57" s="78" t="s">
        <v>318</v>
      </c>
      <c r="F57" s="96">
        <v>109</v>
      </c>
      <c r="G57" s="80">
        <f t="shared" si="0"/>
        <v>97.321428571428555</v>
      </c>
      <c r="H57" s="80">
        <f t="shared" si="1"/>
        <v>11.678571428571427</v>
      </c>
      <c r="I57" t="s">
        <v>90</v>
      </c>
    </row>
    <row r="58" spans="1:9">
      <c r="A58" s="77"/>
      <c r="B58" s="77">
        <v>43610</v>
      </c>
      <c r="C58" s="78" t="s">
        <v>617</v>
      </c>
      <c r="D58" s="78" t="s">
        <v>618</v>
      </c>
      <c r="E58" s="78" t="s">
        <v>619</v>
      </c>
      <c r="F58" s="96">
        <v>599.5</v>
      </c>
      <c r="G58" s="80">
        <f t="shared" si="0"/>
        <v>535.26785714285711</v>
      </c>
      <c r="H58" s="80">
        <f t="shared" si="1"/>
        <v>64.232142857142847</v>
      </c>
      <c r="I58" t="s">
        <v>205</v>
      </c>
    </row>
    <row r="59" spans="1:9">
      <c r="A59" s="77"/>
      <c r="B59" s="77">
        <v>43587</v>
      </c>
      <c r="C59" s="78" t="s">
        <v>620</v>
      </c>
      <c r="D59" s="78" t="s">
        <v>325</v>
      </c>
      <c r="E59" s="78" t="s">
        <v>326</v>
      </c>
      <c r="F59" s="96">
        <v>1000</v>
      </c>
      <c r="G59" s="80">
        <f t="shared" si="0"/>
        <v>892.85714285714278</v>
      </c>
      <c r="H59" s="80">
        <f t="shared" si="1"/>
        <v>107.14285714285712</v>
      </c>
      <c r="I59" t="s">
        <v>7</v>
      </c>
    </row>
    <row r="60" spans="1:9">
      <c r="A60" s="77"/>
      <c r="B60" s="77">
        <v>43587</v>
      </c>
      <c r="C60" s="78" t="s">
        <v>324</v>
      </c>
      <c r="D60" s="78" t="s">
        <v>621</v>
      </c>
      <c r="E60" s="78" t="s">
        <v>326</v>
      </c>
      <c r="F60" s="96">
        <v>1000</v>
      </c>
      <c r="G60" s="80">
        <f t="shared" si="0"/>
        <v>892.85714285714278</v>
      </c>
      <c r="H60" s="80">
        <f t="shared" si="1"/>
        <v>107.14285714285712</v>
      </c>
      <c r="I60" t="s">
        <v>7</v>
      </c>
    </row>
    <row r="61" spans="1:9">
      <c r="A61" s="77"/>
      <c r="B61" s="77">
        <v>43533</v>
      </c>
      <c r="C61" s="78" t="s">
        <v>327</v>
      </c>
      <c r="D61" s="78" t="s">
        <v>328</v>
      </c>
      <c r="E61" s="78" t="s">
        <v>329</v>
      </c>
      <c r="F61" s="97">
        <v>500</v>
      </c>
      <c r="G61" s="80">
        <f t="shared" si="0"/>
        <v>446.42857142857139</v>
      </c>
      <c r="H61" s="80">
        <f t="shared" si="1"/>
        <v>53.571428571428562</v>
      </c>
      <c r="I61" t="s">
        <v>308</v>
      </c>
    </row>
    <row r="62" spans="1:9">
      <c r="A62" s="77"/>
      <c r="B62" s="77">
        <v>43586</v>
      </c>
      <c r="C62" s="78" t="s">
        <v>333</v>
      </c>
      <c r="D62" s="78" t="s">
        <v>622</v>
      </c>
      <c r="E62" s="78" t="s">
        <v>335</v>
      </c>
      <c r="F62" s="96">
        <v>3000</v>
      </c>
      <c r="G62" s="80">
        <f t="shared" si="0"/>
        <v>2678.5714285714284</v>
      </c>
      <c r="H62" s="80">
        <f t="shared" si="1"/>
        <v>321.42857142857139</v>
      </c>
      <c r="I62" t="s">
        <v>308</v>
      </c>
    </row>
    <row r="63" spans="1:9">
      <c r="A63" s="77"/>
      <c r="B63" s="77">
        <v>43609</v>
      </c>
      <c r="C63" s="78" t="s">
        <v>333</v>
      </c>
      <c r="D63" s="78" t="s">
        <v>622</v>
      </c>
      <c r="E63" s="78" t="s">
        <v>335</v>
      </c>
      <c r="F63" s="96">
        <v>1500</v>
      </c>
      <c r="G63" s="80">
        <f t="shared" si="0"/>
        <v>1339.2857142857142</v>
      </c>
      <c r="H63" s="80">
        <f t="shared" si="1"/>
        <v>160.71428571428569</v>
      </c>
      <c r="I63" t="s">
        <v>308</v>
      </c>
    </row>
    <row r="64" spans="1:9">
      <c r="A64" s="77"/>
      <c r="B64" s="77">
        <v>43586</v>
      </c>
      <c r="C64" s="78" t="s">
        <v>333</v>
      </c>
      <c r="D64" s="78" t="s">
        <v>623</v>
      </c>
      <c r="E64" s="78" t="s">
        <v>335</v>
      </c>
      <c r="F64" s="96">
        <v>2900.05</v>
      </c>
      <c r="G64" s="80">
        <f t="shared" si="0"/>
        <v>2589.3303571428569</v>
      </c>
      <c r="H64" s="80">
        <f t="shared" si="1"/>
        <v>310.71964285714279</v>
      </c>
      <c r="I64" t="s">
        <v>308</v>
      </c>
    </row>
    <row r="65" spans="1:9">
      <c r="A65" s="77"/>
      <c r="B65" s="77">
        <v>43597</v>
      </c>
      <c r="C65" s="78" t="s">
        <v>624</v>
      </c>
      <c r="D65" s="78" t="s">
        <v>625</v>
      </c>
      <c r="E65" s="78" t="s">
        <v>626</v>
      </c>
      <c r="F65" s="96">
        <v>500</v>
      </c>
      <c r="G65" s="80">
        <f t="shared" si="0"/>
        <v>446.42857142857139</v>
      </c>
      <c r="H65" s="80">
        <f t="shared" si="1"/>
        <v>53.571428571428562</v>
      </c>
      <c r="I65" t="s">
        <v>308</v>
      </c>
    </row>
    <row r="66" spans="1:9">
      <c r="A66" s="77"/>
      <c r="B66" s="77">
        <v>43535</v>
      </c>
      <c r="C66" s="78" t="s">
        <v>342</v>
      </c>
      <c r="D66" s="78" t="s">
        <v>343</v>
      </c>
      <c r="E66" s="78" t="s">
        <v>344</v>
      </c>
      <c r="F66" s="97">
        <v>120347.9</v>
      </c>
      <c r="G66" s="80">
        <f t="shared" si="0"/>
        <v>107453.48214285713</v>
      </c>
      <c r="H66" s="80">
        <f t="shared" si="1"/>
        <v>12894.417857142855</v>
      </c>
      <c r="I66" t="s">
        <v>535</v>
      </c>
    </row>
    <row r="67" spans="1:9">
      <c r="A67" s="77"/>
      <c r="B67" s="77">
        <v>43603</v>
      </c>
      <c r="C67" s="78" t="s">
        <v>345</v>
      </c>
      <c r="D67" s="78" t="s">
        <v>627</v>
      </c>
      <c r="E67" s="78" t="s">
        <v>347</v>
      </c>
      <c r="F67" s="96">
        <v>2600</v>
      </c>
      <c r="G67" s="80">
        <f t="shared" si="0"/>
        <v>2321.4285714285711</v>
      </c>
      <c r="H67" s="80">
        <f t="shared" si="1"/>
        <v>278.5714285714285</v>
      </c>
      <c r="I67" t="s">
        <v>7</v>
      </c>
    </row>
    <row r="68" spans="1:9">
      <c r="A68" s="77"/>
      <c r="B68" s="77">
        <v>43603</v>
      </c>
      <c r="C68" s="78" t="s">
        <v>345</v>
      </c>
      <c r="D68" s="78" t="s">
        <v>627</v>
      </c>
      <c r="E68" s="78" t="s">
        <v>347</v>
      </c>
      <c r="F68" s="96">
        <v>500</v>
      </c>
      <c r="G68" s="80">
        <f t="shared" ref="G68:G125" si="2">F68/1.12</f>
        <v>446.42857142857139</v>
      </c>
      <c r="H68" s="80">
        <f t="shared" ref="H68:H125" si="3">G68*0.12</f>
        <v>53.571428571428562</v>
      </c>
      <c r="I68" t="s">
        <v>7</v>
      </c>
    </row>
    <row r="69" spans="1:9">
      <c r="A69" s="77"/>
      <c r="B69" s="77">
        <v>43603</v>
      </c>
      <c r="C69" s="78" t="s">
        <v>345</v>
      </c>
      <c r="D69" s="78" t="s">
        <v>627</v>
      </c>
      <c r="E69" s="78" t="s">
        <v>347</v>
      </c>
      <c r="F69" s="96">
        <v>500</v>
      </c>
      <c r="G69" s="80">
        <f t="shared" si="2"/>
        <v>446.42857142857139</v>
      </c>
      <c r="H69" s="80">
        <f t="shared" si="3"/>
        <v>53.571428571428562</v>
      </c>
      <c r="I69" t="s">
        <v>7</v>
      </c>
    </row>
    <row r="70" spans="1:9">
      <c r="A70" s="77"/>
      <c r="B70" s="77">
        <v>43606</v>
      </c>
      <c r="C70" s="78" t="s">
        <v>628</v>
      </c>
      <c r="D70" s="78" t="s">
        <v>629</v>
      </c>
      <c r="E70" s="78" t="s">
        <v>630</v>
      </c>
      <c r="F70" s="96">
        <v>1585</v>
      </c>
      <c r="G70" s="80">
        <f t="shared" si="2"/>
        <v>1415.1785714285713</v>
      </c>
      <c r="H70" s="80">
        <f t="shared" si="3"/>
        <v>169.82142857142856</v>
      </c>
      <c r="I70" t="s">
        <v>7</v>
      </c>
    </row>
    <row r="71" spans="1:9">
      <c r="A71" s="77"/>
      <c r="B71" s="77">
        <v>43587</v>
      </c>
      <c r="C71" s="78" t="s">
        <v>628</v>
      </c>
      <c r="D71" s="78" t="s">
        <v>631</v>
      </c>
      <c r="E71" s="78" t="s">
        <v>630</v>
      </c>
      <c r="F71" s="96">
        <v>1585</v>
      </c>
      <c r="G71" s="80">
        <f t="shared" si="2"/>
        <v>1415.1785714285713</v>
      </c>
      <c r="H71" s="80">
        <f t="shared" si="3"/>
        <v>169.82142857142856</v>
      </c>
      <c r="I71" t="s">
        <v>7</v>
      </c>
    </row>
    <row r="72" spans="1:9">
      <c r="A72" s="77"/>
      <c r="B72" s="77">
        <v>43606</v>
      </c>
      <c r="C72" s="78" t="s">
        <v>632</v>
      </c>
      <c r="D72" s="78" t="s">
        <v>633</v>
      </c>
      <c r="E72" s="78" t="s">
        <v>634</v>
      </c>
      <c r="F72" s="96">
        <v>1000</v>
      </c>
      <c r="G72" s="80">
        <f t="shared" si="2"/>
        <v>892.85714285714278</v>
      </c>
      <c r="H72" s="80">
        <f t="shared" si="3"/>
        <v>107.14285714285712</v>
      </c>
      <c r="I72" t="s">
        <v>308</v>
      </c>
    </row>
    <row r="73" spans="1:9">
      <c r="A73" s="77"/>
      <c r="B73" s="77">
        <v>43606</v>
      </c>
      <c r="C73" s="78" t="s">
        <v>635</v>
      </c>
      <c r="D73" s="78" t="s">
        <v>636</v>
      </c>
      <c r="E73" s="78" t="s">
        <v>637</v>
      </c>
      <c r="F73" s="96">
        <v>580</v>
      </c>
      <c r="G73" s="80">
        <f t="shared" si="2"/>
        <v>517.85714285714278</v>
      </c>
      <c r="H73" s="80">
        <f t="shared" si="3"/>
        <v>62.142857142857132</v>
      </c>
      <c r="I73" t="s">
        <v>7</v>
      </c>
    </row>
    <row r="74" spans="1:9">
      <c r="A74" s="77"/>
      <c r="B74" s="77">
        <v>43587</v>
      </c>
      <c r="C74" s="78" t="s">
        <v>635</v>
      </c>
      <c r="D74" s="78" t="s">
        <v>638</v>
      </c>
      <c r="E74" s="78" t="s">
        <v>637</v>
      </c>
      <c r="F74" s="96">
        <v>580</v>
      </c>
      <c r="G74" s="80">
        <f t="shared" si="2"/>
        <v>517.85714285714278</v>
      </c>
      <c r="H74" s="80">
        <f t="shared" si="3"/>
        <v>62.142857142857132</v>
      </c>
      <c r="I74" t="s">
        <v>7</v>
      </c>
    </row>
    <row r="75" spans="1:9">
      <c r="A75" s="77"/>
      <c r="B75" s="77">
        <v>43601</v>
      </c>
      <c r="C75" s="78" t="s">
        <v>370</v>
      </c>
      <c r="D75" s="78" t="s">
        <v>374</v>
      </c>
      <c r="E75" s="78" t="s">
        <v>372</v>
      </c>
      <c r="F75" s="96">
        <v>48000</v>
      </c>
      <c r="G75" s="80">
        <f t="shared" si="2"/>
        <v>42857.142857142855</v>
      </c>
      <c r="H75" s="80">
        <f t="shared" si="3"/>
        <v>5142.8571428571422</v>
      </c>
      <c r="I75" t="s">
        <v>535</v>
      </c>
    </row>
    <row r="76" spans="1:9">
      <c r="A76" s="77"/>
      <c r="B76" s="77">
        <v>43603</v>
      </c>
      <c r="C76" s="78" t="s">
        <v>378</v>
      </c>
      <c r="D76" s="78" t="s">
        <v>639</v>
      </c>
      <c r="E76" s="78" t="s">
        <v>377</v>
      </c>
      <c r="F76" s="96">
        <v>2745.3</v>
      </c>
      <c r="G76" s="80">
        <f t="shared" si="2"/>
        <v>2451.1607142857142</v>
      </c>
      <c r="H76" s="80">
        <f t="shared" si="3"/>
        <v>294.13928571428568</v>
      </c>
      <c r="I76" t="s">
        <v>7</v>
      </c>
    </row>
    <row r="77" spans="1:9">
      <c r="A77" s="77"/>
      <c r="B77" s="77">
        <v>43605</v>
      </c>
      <c r="C77" s="78" t="s">
        <v>378</v>
      </c>
      <c r="D77" s="78" t="s">
        <v>640</v>
      </c>
      <c r="E77" s="78" t="s">
        <v>641</v>
      </c>
      <c r="F77" s="96">
        <v>1999.75</v>
      </c>
      <c r="G77" s="80">
        <f t="shared" si="2"/>
        <v>1785.4910714285713</v>
      </c>
      <c r="H77" s="80">
        <f t="shared" si="3"/>
        <v>214.25892857142856</v>
      </c>
      <c r="I77" t="s">
        <v>7</v>
      </c>
    </row>
    <row r="78" spans="1:9">
      <c r="A78" s="77"/>
      <c r="B78" s="77">
        <v>43588</v>
      </c>
      <c r="C78" s="78" t="s">
        <v>378</v>
      </c>
      <c r="D78" s="78" t="s">
        <v>642</v>
      </c>
      <c r="E78" s="78" t="s">
        <v>643</v>
      </c>
      <c r="F78" s="96">
        <v>252.56</v>
      </c>
      <c r="G78" s="80">
        <f t="shared" si="2"/>
        <v>225.49999999999997</v>
      </c>
      <c r="H78" s="80">
        <f t="shared" si="3"/>
        <v>27.059999999999995</v>
      </c>
      <c r="I78" t="s">
        <v>7</v>
      </c>
    </row>
    <row r="79" spans="1:9">
      <c r="A79" s="77"/>
      <c r="B79" s="77">
        <v>43615</v>
      </c>
      <c r="C79" s="78" t="s">
        <v>378</v>
      </c>
      <c r="D79" s="78" t="s">
        <v>642</v>
      </c>
      <c r="E79" s="78" t="s">
        <v>644</v>
      </c>
      <c r="F79" s="96">
        <v>403.25</v>
      </c>
      <c r="G79" s="80">
        <f t="shared" si="2"/>
        <v>360.04464285714283</v>
      </c>
      <c r="H79" s="80">
        <f t="shared" si="3"/>
        <v>43.205357142857139</v>
      </c>
      <c r="I79" t="s">
        <v>7</v>
      </c>
    </row>
    <row r="80" spans="1:9">
      <c r="A80" s="77"/>
      <c r="B80" s="77">
        <v>43615</v>
      </c>
      <c r="C80" s="78" t="s">
        <v>378</v>
      </c>
      <c r="D80" s="78" t="s">
        <v>642</v>
      </c>
      <c r="E80" s="78" t="s">
        <v>644</v>
      </c>
      <c r="F80" s="96">
        <v>363.25</v>
      </c>
      <c r="G80" s="80">
        <f t="shared" si="2"/>
        <v>324.33035714285711</v>
      </c>
      <c r="H80" s="80">
        <f t="shared" si="3"/>
        <v>38.919642857142854</v>
      </c>
      <c r="I80" t="s">
        <v>7</v>
      </c>
    </row>
    <row r="81" spans="1:9">
      <c r="A81" s="77"/>
      <c r="B81" s="77">
        <v>43588</v>
      </c>
      <c r="C81" s="78" t="s">
        <v>645</v>
      </c>
      <c r="D81" s="78" t="s">
        <v>646</v>
      </c>
      <c r="E81" s="78" t="s">
        <v>644</v>
      </c>
      <c r="F81" s="96">
        <v>252.56</v>
      </c>
      <c r="G81" s="80">
        <f t="shared" si="2"/>
        <v>225.49999999999997</v>
      </c>
      <c r="H81" s="80">
        <f t="shared" si="3"/>
        <v>27.059999999999995</v>
      </c>
      <c r="I81" t="s">
        <v>7</v>
      </c>
    </row>
    <row r="82" spans="1:9">
      <c r="A82" s="77"/>
      <c r="B82" s="77">
        <v>43600</v>
      </c>
      <c r="C82" s="78" t="s">
        <v>378</v>
      </c>
      <c r="D82" s="78" t="s">
        <v>379</v>
      </c>
      <c r="E82" s="78" t="s">
        <v>380</v>
      </c>
      <c r="F82" s="96">
        <v>10598.25</v>
      </c>
      <c r="G82" s="80">
        <f t="shared" si="2"/>
        <v>9462.7232142857138</v>
      </c>
      <c r="H82" s="80">
        <f t="shared" si="3"/>
        <v>1135.5267857142856</v>
      </c>
      <c r="I82" t="s">
        <v>535</v>
      </c>
    </row>
    <row r="83" spans="1:9">
      <c r="A83" s="77"/>
      <c r="B83" s="77">
        <v>43590</v>
      </c>
      <c r="C83" s="78" t="s">
        <v>70</v>
      </c>
      <c r="D83" s="78" t="s">
        <v>396</v>
      </c>
      <c r="E83" s="78" t="s">
        <v>395</v>
      </c>
      <c r="F83" s="96">
        <v>2383.0700000000002</v>
      </c>
      <c r="G83" s="80">
        <f t="shared" si="2"/>
        <v>2127.7410714285716</v>
      </c>
      <c r="H83" s="80">
        <f t="shared" si="3"/>
        <v>255.32892857142858</v>
      </c>
      <c r="I83" t="s">
        <v>308</v>
      </c>
    </row>
    <row r="84" spans="1:9">
      <c r="A84" s="77"/>
      <c r="B84" s="77">
        <v>43610</v>
      </c>
      <c r="C84" s="78" t="s">
        <v>70</v>
      </c>
      <c r="D84" s="78" t="s">
        <v>396</v>
      </c>
      <c r="E84" s="78" t="s">
        <v>395</v>
      </c>
      <c r="F84" s="96">
        <v>1000</v>
      </c>
      <c r="G84" s="80">
        <f t="shared" si="2"/>
        <v>892.85714285714278</v>
      </c>
      <c r="H84" s="80">
        <f t="shared" si="3"/>
        <v>107.14285714285712</v>
      </c>
      <c r="I84" t="s">
        <v>308</v>
      </c>
    </row>
    <row r="85" spans="1:9">
      <c r="A85" s="77"/>
      <c r="B85" s="77">
        <v>43611</v>
      </c>
      <c r="C85" s="78" t="s">
        <v>70</v>
      </c>
      <c r="D85" s="78" t="s">
        <v>396</v>
      </c>
      <c r="E85" s="78" t="s">
        <v>395</v>
      </c>
      <c r="F85" s="96">
        <v>1500</v>
      </c>
      <c r="G85" s="80">
        <f t="shared" si="2"/>
        <v>1339.2857142857142</v>
      </c>
      <c r="H85" s="80">
        <f t="shared" si="3"/>
        <v>160.71428571428569</v>
      </c>
      <c r="I85" t="s">
        <v>308</v>
      </c>
    </row>
    <row r="86" spans="1:9">
      <c r="A86" s="77"/>
      <c r="B86" s="77">
        <v>43590</v>
      </c>
      <c r="C86" s="78" t="s">
        <v>70</v>
      </c>
      <c r="D86" s="78" t="s">
        <v>396</v>
      </c>
      <c r="E86" s="78" t="s">
        <v>395</v>
      </c>
      <c r="F86" s="96">
        <v>2383.0700000000002</v>
      </c>
      <c r="G86" s="80">
        <f t="shared" si="2"/>
        <v>2127.7410714285716</v>
      </c>
      <c r="H86" s="80">
        <f t="shared" si="3"/>
        <v>255.32892857142858</v>
      </c>
      <c r="I86" t="s">
        <v>308</v>
      </c>
    </row>
    <row r="87" spans="1:9">
      <c r="A87" s="77"/>
      <c r="B87" s="77">
        <v>43531</v>
      </c>
      <c r="C87" s="78" t="s">
        <v>70</v>
      </c>
      <c r="D87" s="78" t="s">
        <v>396</v>
      </c>
      <c r="E87" s="78" t="s">
        <v>395</v>
      </c>
      <c r="F87" s="97">
        <v>2188</v>
      </c>
      <c r="G87" s="80">
        <f t="shared" si="2"/>
        <v>1953.5714285714284</v>
      </c>
      <c r="H87" s="80">
        <f t="shared" si="3"/>
        <v>234.42857142857142</v>
      </c>
      <c r="I87" t="s">
        <v>308</v>
      </c>
    </row>
    <row r="88" spans="1:9">
      <c r="A88" s="77"/>
      <c r="B88" s="77">
        <v>43588</v>
      </c>
      <c r="C88" s="78" t="s">
        <v>69</v>
      </c>
      <c r="D88" s="78" t="s">
        <v>399</v>
      </c>
      <c r="E88" s="78" t="s">
        <v>398</v>
      </c>
      <c r="F88" s="96">
        <v>185</v>
      </c>
      <c r="G88" s="80">
        <f t="shared" si="2"/>
        <v>165.17857142857142</v>
      </c>
      <c r="H88" s="80">
        <f t="shared" si="3"/>
        <v>19.821428571428569</v>
      </c>
      <c r="I88" t="s">
        <v>108</v>
      </c>
    </row>
    <row r="89" spans="1:9">
      <c r="A89" s="77"/>
      <c r="B89" s="77">
        <v>43588</v>
      </c>
      <c r="C89" s="78" t="s">
        <v>69</v>
      </c>
      <c r="D89" s="78" t="s">
        <v>399</v>
      </c>
      <c r="E89" s="78" t="s">
        <v>398</v>
      </c>
      <c r="F89" s="96">
        <v>186</v>
      </c>
      <c r="G89" s="80">
        <f t="shared" si="2"/>
        <v>166.07142857142856</v>
      </c>
      <c r="H89" s="80">
        <f t="shared" si="3"/>
        <v>19.928571428571427</v>
      </c>
      <c r="I89" t="s">
        <v>108</v>
      </c>
    </row>
    <row r="90" spans="1:9">
      <c r="A90" s="77"/>
      <c r="B90" s="77">
        <v>43609</v>
      </c>
      <c r="C90" s="78" t="s">
        <v>69</v>
      </c>
      <c r="D90" s="78" t="s">
        <v>399</v>
      </c>
      <c r="E90" s="78" t="s">
        <v>398</v>
      </c>
      <c r="F90" s="96">
        <v>186</v>
      </c>
      <c r="G90" s="80">
        <f t="shared" si="2"/>
        <v>166.07142857142856</v>
      </c>
      <c r="H90" s="80">
        <f t="shared" si="3"/>
        <v>19.928571428571427</v>
      </c>
      <c r="I90" t="s">
        <v>108</v>
      </c>
    </row>
    <row r="91" spans="1:9">
      <c r="A91" s="77"/>
      <c r="B91" s="77">
        <v>43609</v>
      </c>
      <c r="C91" s="78" t="s">
        <v>69</v>
      </c>
      <c r="D91" s="78" t="s">
        <v>399</v>
      </c>
      <c r="E91" s="78" t="s">
        <v>398</v>
      </c>
      <c r="F91" s="96">
        <v>6</v>
      </c>
      <c r="G91" s="80">
        <f t="shared" si="2"/>
        <v>5.3571428571428568</v>
      </c>
      <c r="H91" s="80">
        <f t="shared" si="3"/>
        <v>0.64285714285714279</v>
      </c>
      <c r="I91" t="s">
        <v>108</v>
      </c>
    </row>
    <row r="92" spans="1:9" ht="13.5" customHeight="1">
      <c r="A92" s="77"/>
      <c r="B92" s="77">
        <v>43609</v>
      </c>
      <c r="C92" s="78" t="s">
        <v>69</v>
      </c>
      <c r="D92" s="78" t="s">
        <v>399</v>
      </c>
      <c r="E92" s="78" t="s">
        <v>398</v>
      </c>
      <c r="F92" s="96">
        <v>21</v>
      </c>
      <c r="G92" s="80">
        <f t="shared" si="2"/>
        <v>18.749999999999996</v>
      </c>
      <c r="H92" s="80">
        <f t="shared" si="3"/>
        <v>2.2499999999999996</v>
      </c>
      <c r="I92" t="s">
        <v>108</v>
      </c>
    </row>
    <row r="93" spans="1:9">
      <c r="B93" s="77">
        <v>43609</v>
      </c>
      <c r="C93" s="78" t="s">
        <v>69</v>
      </c>
      <c r="D93" s="78" t="s">
        <v>399</v>
      </c>
      <c r="E93" s="78" t="s">
        <v>398</v>
      </c>
      <c r="F93" s="96">
        <v>6</v>
      </c>
      <c r="G93" s="80">
        <f t="shared" si="2"/>
        <v>5.3571428571428568</v>
      </c>
      <c r="H93" s="80">
        <f t="shared" si="3"/>
        <v>0.64285714285714279</v>
      </c>
      <c r="I93" t="s">
        <v>108</v>
      </c>
    </row>
    <row r="94" spans="1:9">
      <c r="B94" s="77">
        <v>43610</v>
      </c>
      <c r="C94" s="78" t="s">
        <v>69</v>
      </c>
      <c r="D94" s="78" t="s">
        <v>399</v>
      </c>
      <c r="E94" s="78" t="s">
        <v>398</v>
      </c>
      <c r="F94" s="96">
        <v>6</v>
      </c>
      <c r="G94" s="80">
        <f t="shared" si="2"/>
        <v>5.3571428571428568</v>
      </c>
      <c r="H94" s="80">
        <f t="shared" si="3"/>
        <v>0.64285714285714279</v>
      </c>
      <c r="I94" t="s">
        <v>108</v>
      </c>
    </row>
    <row r="95" spans="1:9">
      <c r="B95" s="77">
        <v>43613</v>
      </c>
      <c r="C95" s="78" t="s">
        <v>69</v>
      </c>
      <c r="D95" s="78" t="s">
        <v>399</v>
      </c>
      <c r="E95" s="78" t="s">
        <v>398</v>
      </c>
      <c r="F95" s="96">
        <v>25</v>
      </c>
      <c r="G95" s="80">
        <f t="shared" si="2"/>
        <v>22.321428571428569</v>
      </c>
      <c r="H95" s="80">
        <f t="shared" si="3"/>
        <v>2.6785714285714284</v>
      </c>
      <c r="I95" t="s">
        <v>108</v>
      </c>
    </row>
    <row r="96" spans="1:9">
      <c r="B96" s="77">
        <v>43615</v>
      </c>
      <c r="C96" s="78" t="s">
        <v>69</v>
      </c>
      <c r="D96" s="78" t="s">
        <v>399</v>
      </c>
      <c r="E96" s="78" t="s">
        <v>398</v>
      </c>
      <c r="F96" s="96">
        <v>186</v>
      </c>
      <c r="G96" s="80">
        <f t="shared" si="2"/>
        <v>166.07142857142856</v>
      </c>
      <c r="H96" s="80">
        <f t="shared" si="3"/>
        <v>19.928571428571427</v>
      </c>
      <c r="I96" t="s">
        <v>108</v>
      </c>
    </row>
    <row r="97" spans="2:9">
      <c r="B97" s="77">
        <v>43588</v>
      </c>
      <c r="C97" s="78" t="s">
        <v>69</v>
      </c>
      <c r="D97" s="78" t="s">
        <v>647</v>
      </c>
      <c r="E97" s="78" t="s">
        <v>398</v>
      </c>
      <c r="F97" s="96">
        <v>186</v>
      </c>
      <c r="G97" s="80">
        <f t="shared" si="2"/>
        <v>166.07142857142856</v>
      </c>
      <c r="H97" s="80">
        <f t="shared" si="3"/>
        <v>19.928571428571427</v>
      </c>
      <c r="I97" t="s">
        <v>108</v>
      </c>
    </row>
    <row r="98" spans="2:9">
      <c r="B98" s="77">
        <v>43588</v>
      </c>
      <c r="C98" s="78" t="s">
        <v>69</v>
      </c>
      <c r="D98" s="78" t="s">
        <v>647</v>
      </c>
      <c r="E98" s="78" t="s">
        <v>398</v>
      </c>
      <c r="F98" s="96">
        <v>186</v>
      </c>
      <c r="G98" s="80">
        <f t="shared" si="2"/>
        <v>166.07142857142856</v>
      </c>
      <c r="H98" s="80">
        <f t="shared" si="3"/>
        <v>19.928571428571427</v>
      </c>
      <c r="I98" t="s">
        <v>108</v>
      </c>
    </row>
    <row r="99" spans="2:9">
      <c r="B99" s="77">
        <v>43603</v>
      </c>
      <c r="C99" s="78" t="s">
        <v>648</v>
      </c>
      <c r="D99" s="84" t="s">
        <v>649</v>
      </c>
      <c r="E99" s="78" t="s">
        <v>650</v>
      </c>
      <c r="F99" s="96">
        <v>525</v>
      </c>
      <c r="G99" s="80">
        <f t="shared" si="2"/>
        <v>468.74999999999994</v>
      </c>
      <c r="H99" s="80">
        <f t="shared" si="3"/>
        <v>56.249999999999993</v>
      </c>
      <c r="I99" t="s">
        <v>205</v>
      </c>
    </row>
    <row r="100" spans="2:9">
      <c r="B100" s="77">
        <v>43601</v>
      </c>
      <c r="C100" s="78" t="s">
        <v>651</v>
      </c>
      <c r="D100" s="78" t="s">
        <v>430</v>
      </c>
      <c r="E100" s="78" t="s">
        <v>431</v>
      </c>
      <c r="F100" s="96">
        <v>1000</v>
      </c>
      <c r="G100" s="80">
        <f t="shared" si="2"/>
        <v>892.85714285714278</v>
      </c>
      <c r="H100" s="80">
        <f t="shared" si="3"/>
        <v>107.14285714285712</v>
      </c>
      <c r="I100" t="s">
        <v>308</v>
      </c>
    </row>
    <row r="101" spans="2:9">
      <c r="B101" s="77">
        <v>43607</v>
      </c>
      <c r="C101" s="78" t="s">
        <v>652</v>
      </c>
      <c r="D101" s="78" t="s">
        <v>653</v>
      </c>
      <c r="E101" s="78" t="s">
        <v>654</v>
      </c>
      <c r="F101" s="96">
        <v>553</v>
      </c>
      <c r="G101" s="80">
        <f t="shared" si="2"/>
        <v>493.74999999999994</v>
      </c>
      <c r="H101" s="80">
        <f t="shared" si="3"/>
        <v>59.249999999999993</v>
      </c>
      <c r="I101" t="s">
        <v>7</v>
      </c>
    </row>
    <row r="102" spans="2:9">
      <c r="B102" s="77">
        <v>43615</v>
      </c>
      <c r="C102" s="78" t="s">
        <v>655</v>
      </c>
      <c r="D102" s="78" t="s">
        <v>656</v>
      </c>
      <c r="E102" s="78" t="s">
        <v>657</v>
      </c>
      <c r="F102" s="96">
        <v>1000</v>
      </c>
      <c r="G102" s="80">
        <f t="shared" si="2"/>
        <v>892.85714285714278</v>
      </c>
      <c r="H102" s="80">
        <f t="shared" si="3"/>
        <v>107.14285714285712</v>
      </c>
      <c r="I102" t="s">
        <v>308</v>
      </c>
    </row>
    <row r="103" spans="2:9">
      <c r="B103" s="77">
        <v>43616</v>
      </c>
      <c r="C103" s="78" t="s">
        <v>658</v>
      </c>
      <c r="D103" s="78" t="s">
        <v>659</v>
      </c>
      <c r="E103" s="78" t="s">
        <v>437</v>
      </c>
      <c r="F103" s="96">
        <v>517.75</v>
      </c>
      <c r="G103" s="80">
        <f t="shared" si="2"/>
        <v>462.27678571428567</v>
      </c>
      <c r="H103" s="80">
        <f t="shared" si="3"/>
        <v>55.473214285714278</v>
      </c>
      <c r="I103" t="s">
        <v>535</v>
      </c>
    </row>
    <row r="104" spans="2:9">
      <c r="B104" s="77">
        <v>43599</v>
      </c>
      <c r="C104" s="78" t="s">
        <v>435</v>
      </c>
      <c r="D104" s="78" t="s">
        <v>436</v>
      </c>
      <c r="E104" s="78" t="s">
        <v>437</v>
      </c>
      <c r="F104" s="96">
        <v>87361.02</v>
      </c>
      <c r="G104" s="80">
        <f t="shared" si="2"/>
        <v>78000.91071428571</v>
      </c>
      <c r="H104" s="80">
        <f t="shared" si="3"/>
        <v>9360.1092857142849</v>
      </c>
      <c r="I104" t="s">
        <v>535</v>
      </c>
    </row>
    <row r="105" spans="2:9">
      <c r="B105" s="77">
        <v>43610</v>
      </c>
      <c r="C105" s="78" t="s">
        <v>658</v>
      </c>
      <c r="D105" s="78" t="s">
        <v>140</v>
      </c>
      <c r="E105" s="78" t="s">
        <v>441</v>
      </c>
      <c r="F105" s="96">
        <v>7001.72</v>
      </c>
      <c r="G105" s="80">
        <f t="shared" si="2"/>
        <v>6251.5357142857138</v>
      </c>
      <c r="H105" s="80">
        <f t="shared" si="3"/>
        <v>750.18428571428558</v>
      </c>
      <c r="I105" t="s">
        <v>535</v>
      </c>
    </row>
    <row r="106" spans="2:9">
      <c r="B106" s="77">
        <v>43611</v>
      </c>
      <c r="C106" s="78" t="s">
        <v>658</v>
      </c>
      <c r="D106" s="78" t="s">
        <v>140</v>
      </c>
      <c r="E106" s="78" t="s">
        <v>441</v>
      </c>
      <c r="F106" s="96">
        <v>2650.01</v>
      </c>
      <c r="G106" s="80">
        <f t="shared" si="2"/>
        <v>2366.0803571428573</v>
      </c>
      <c r="H106" s="80">
        <f t="shared" si="3"/>
        <v>283.92964285714288</v>
      </c>
      <c r="I106" t="s">
        <v>535</v>
      </c>
    </row>
    <row r="107" spans="2:9">
      <c r="B107" s="77">
        <v>43531</v>
      </c>
      <c r="C107" s="78" t="s">
        <v>451</v>
      </c>
      <c r="D107" s="78" t="s">
        <v>452</v>
      </c>
      <c r="E107" s="78" t="s">
        <v>449</v>
      </c>
      <c r="F107" s="97">
        <v>1000</v>
      </c>
      <c r="G107" s="80">
        <f t="shared" si="2"/>
        <v>892.85714285714278</v>
      </c>
      <c r="H107" s="80">
        <f t="shared" si="3"/>
        <v>107.14285714285712</v>
      </c>
      <c r="I107" t="s">
        <v>450</v>
      </c>
    </row>
    <row r="108" spans="2:9">
      <c r="B108" s="77">
        <v>43535</v>
      </c>
      <c r="C108" s="78" t="s">
        <v>453</v>
      </c>
      <c r="D108" s="78" t="s">
        <v>454</v>
      </c>
      <c r="E108" s="78" t="s">
        <v>455</v>
      </c>
      <c r="F108" s="97">
        <v>115900</v>
      </c>
      <c r="G108" s="80">
        <f t="shared" si="2"/>
        <v>103482.14285714284</v>
      </c>
      <c r="H108" s="80">
        <f t="shared" si="3"/>
        <v>12417.857142857141</v>
      </c>
      <c r="I108" t="s">
        <v>535</v>
      </c>
    </row>
    <row r="109" spans="2:9">
      <c r="B109" s="77">
        <v>43608</v>
      </c>
      <c r="C109" s="78" t="s">
        <v>660</v>
      </c>
      <c r="D109" s="78" t="s">
        <v>661</v>
      </c>
      <c r="E109" s="78" t="s">
        <v>458</v>
      </c>
      <c r="F109" s="96">
        <v>35</v>
      </c>
      <c r="G109" s="80">
        <f t="shared" si="2"/>
        <v>31.249999999999996</v>
      </c>
      <c r="H109" s="80">
        <f t="shared" si="3"/>
        <v>3.7499999999999996</v>
      </c>
      <c r="I109" t="s">
        <v>108</v>
      </c>
    </row>
    <row r="110" spans="2:9">
      <c r="B110" s="77">
        <v>43588</v>
      </c>
      <c r="C110" s="78" t="s">
        <v>593</v>
      </c>
      <c r="D110" s="78" t="s">
        <v>662</v>
      </c>
      <c r="E110" s="78" t="s">
        <v>663</v>
      </c>
      <c r="F110" s="96">
        <v>159</v>
      </c>
      <c r="G110" s="80">
        <f t="shared" si="2"/>
        <v>141.96428571428569</v>
      </c>
      <c r="H110" s="80">
        <f t="shared" si="3"/>
        <v>17.035714285714281</v>
      </c>
      <c r="I110" t="s">
        <v>90</v>
      </c>
    </row>
    <row r="111" spans="2:9">
      <c r="B111" s="77">
        <v>43605</v>
      </c>
      <c r="C111" s="78" t="s">
        <v>593</v>
      </c>
      <c r="D111" s="78" t="s">
        <v>662</v>
      </c>
      <c r="E111" s="78" t="s">
        <v>663</v>
      </c>
      <c r="F111" s="96">
        <v>299</v>
      </c>
      <c r="G111" s="80">
        <f t="shared" si="2"/>
        <v>266.96428571428567</v>
      </c>
      <c r="H111" s="80">
        <f t="shared" si="3"/>
        <v>32.035714285714278</v>
      </c>
      <c r="I111" t="s">
        <v>90</v>
      </c>
    </row>
    <row r="112" spans="2:9">
      <c r="B112" s="77">
        <v>43605</v>
      </c>
      <c r="C112" s="78" t="s">
        <v>664</v>
      </c>
      <c r="D112" s="78" t="s">
        <v>665</v>
      </c>
      <c r="E112" s="78" t="s">
        <v>666</v>
      </c>
      <c r="F112" s="96">
        <v>2350</v>
      </c>
      <c r="G112" s="80">
        <f t="shared" si="2"/>
        <v>2098.2142857142853</v>
      </c>
      <c r="H112" s="80">
        <f t="shared" si="3"/>
        <v>251.78571428571422</v>
      </c>
      <c r="I112" t="s">
        <v>7</v>
      </c>
    </row>
    <row r="113" spans="2:9">
      <c r="B113" s="77">
        <v>43616</v>
      </c>
      <c r="C113" s="78" t="s">
        <v>481</v>
      </c>
      <c r="D113" s="78" t="s">
        <v>484</v>
      </c>
      <c r="E113" s="78" t="s">
        <v>483</v>
      </c>
      <c r="F113" s="96">
        <v>17000</v>
      </c>
      <c r="G113" s="80">
        <f t="shared" si="2"/>
        <v>15178.571428571428</v>
      </c>
      <c r="H113" s="80">
        <f t="shared" si="3"/>
        <v>1821.4285714285713</v>
      </c>
      <c r="I113" t="s">
        <v>535</v>
      </c>
    </row>
    <row r="114" spans="2:9">
      <c r="B114" s="77">
        <v>43613</v>
      </c>
      <c r="C114" s="78" t="s">
        <v>485</v>
      </c>
      <c r="D114" s="78" t="s">
        <v>486</v>
      </c>
      <c r="E114" s="78" t="s">
        <v>487</v>
      </c>
      <c r="F114" s="96">
        <v>241.43</v>
      </c>
      <c r="G114" s="80">
        <f t="shared" si="2"/>
        <v>215.56249999999997</v>
      </c>
      <c r="H114" s="80">
        <f t="shared" si="3"/>
        <v>25.867499999999996</v>
      </c>
      <c r="I114" t="s">
        <v>90</v>
      </c>
    </row>
    <row r="115" spans="2:9">
      <c r="B115" s="77">
        <v>43613</v>
      </c>
      <c r="C115" s="78" t="s">
        <v>485</v>
      </c>
      <c r="D115" s="78" t="s">
        <v>486</v>
      </c>
      <c r="E115" s="78" t="s">
        <v>487</v>
      </c>
      <c r="F115" s="96">
        <v>244</v>
      </c>
      <c r="G115" s="80">
        <f t="shared" si="2"/>
        <v>217.85714285714283</v>
      </c>
      <c r="H115" s="80">
        <f t="shared" si="3"/>
        <v>26.142857142857139</v>
      </c>
      <c r="I115" t="s">
        <v>90</v>
      </c>
    </row>
    <row r="116" spans="2:9">
      <c r="B116" s="77">
        <v>43615</v>
      </c>
      <c r="C116" s="78" t="s">
        <v>485</v>
      </c>
      <c r="D116" s="78" t="s">
        <v>486</v>
      </c>
      <c r="E116" s="78" t="s">
        <v>487</v>
      </c>
      <c r="F116" s="96">
        <v>216</v>
      </c>
      <c r="G116" s="80">
        <f t="shared" si="2"/>
        <v>192.85714285714283</v>
      </c>
      <c r="H116" s="80">
        <f t="shared" si="3"/>
        <v>23.142857142857139</v>
      </c>
      <c r="I116" t="s">
        <v>90</v>
      </c>
    </row>
    <row r="117" spans="2:9">
      <c r="B117" s="77">
        <v>43609</v>
      </c>
      <c r="C117" s="78" t="s">
        <v>667</v>
      </c>
      <c r="D117" s="78" t="s">
        <v>668</v>
      </c>
      <c r="E117" s="78" t="s">
        <v>504</v>
      </c>
      <c r="F117" s="96">
        <v>295</v>
      </c>
      <c r="G117" s="80">
        <f t="shared" si="2"/>
        <v>263.39285714285711</v>
      </c>
      <c r="H117" s="80">
        <f t="shared" si="3"/>
        <v>31.607142857142851</v>
      </c>
      <c r="I117" t="s">
        <v>7</v>
      </c>
    </row>
    <row r="118" spans="2:9">
      <c r="B118" s="77">
        <v>43610</v>
      </c>
      <c r="C118" s="78" t="s">
        <v>669</v>
      </c>
      <c r="D118" s="78" t="s">
        <v>670</v>
      </c>
      <c r="E118" s="78" t="s">
        <v>671</v>
      </c>
      <c r="F118" s="96">
        <v>900</v>
      </c>
      <c r="G118" s="80">
        <f t="shared" si="2"/>
        <v>803.57142857142844</v>
      </c>
      <c r="H118" s="80">
        <f t="shared" si="3"/>
        <v>96.428571428571416</v>
      </c>
      <c r="I118" t="s">
        <v>7</v>
      </c>
    </row>
    <row r="119" spans="2:9">
      <c r="B119" s="77">
        <v>43595</v>
      </c>
      <c r="C119" s="78" t="s">
        <v>508</v>
      </c>
      <c r="D119" s="78" t="s">
        <v>506</v>
      </c>
      <c r="E119" s="78" t="s">
        <v>507</v>
      </c>
      <c r="F119" s="96">
        <v>800</v>
      </c>
      <c r="G119" s="80">
        <f t="shared" si="2"/>
        <v>714.28571428571422</v>
      </c>
      <c r="H119" s="80">
        <f t="shared" si="3"/>
        <v>85.714285714285708</v>
      </c>
      <c r="I119" t="s">
        <v>205</v>
      </c>
    </row>
    <row r="120" spans="2:9">
      <c r="B120" s="77">
        <v>43605</v>
      </c>
      <c r="C120" s="78" t="s">
        <v>508</v>
      </c>
      <c r="D120" s="78" t="s">
        <v>506</v>
      </c>
      <c r="E120" s="78" t="s">
        <v>507</v>
      </c>
      <c r="F120" s="96">
        <v>1500</v>
      </c>
      <c r="G120" s="80">
        <f t="shared" si="2"/>
        <v>1339.2857142857142</v>
      </c>
      <c r="H120" s="80">
        <f t="shared" si="3"/>
        <v>160.71428571428569</v>
      </c>
      <c r="I120" t="s">
        <v>205</v>
      </c>
    </row>
    <row r="121" spans="2:9">
      <c r="B121" s="77">
        <v>43612</v>
      </c>
      <c r="C121" s="78" t="s">
        <v>508</v>
      </c>
      <c r="D121" s="78" t="s">
        <v>506</v>
      </c>
      <c r="E121" s="78" t="s">
        <v>507</v>
      </c>
      <c r="F121" s="96">
        <v>2890</v>
      </c>
      <c r="G121" s="80">
        <f t="shared" si="2"/>
        <v>2580.3571428571427</v>
      </c>
      <c r="H121" s="80">
        <f t="shared" si="3"/>
        <v>309.64285714285711</v>
      </c>
      <c r="I121" t="s">
        <v>205</v>
      </c>
    </row>
    <row r="122" spans="2:9">
      <c r="B122" s="77">
        <v>43612</v>
      </c>
      <c r="C122" s="78" t="s">
        <v>508</v>
      </c>
      <c r="D122" s="78" t="s">
        <v>506</v>
      </c>
      <c r="E122" s="78" t="s">
        <v>507</v>
      </c>
      <c r="F122" s="96">
        <v>998</v>
      </c>
      <c r="G122" s="80">
        <f t="shared" si="2"/>
        <v>891.07142857142844</v>
      </c>
      <c r="H122" s="80">
        <f t="shared" si="3"/>
        <v>106.9285714285714</v>
      </c>
      <c r="I122" t="s">
        <v>205</v>
      </c>
    </row>
    <row r="123" spans="2:9">
      <c r="B123" s="77">
        <v>43613</v>
      </c>
      <c r="C123" s="78" t="s">
        <v>508</v>
      </c>
      <c r="D123" s="78" t="s">
        <v>506</v>
      </c>
      <c r="E123" s="78" t="s">
        <v>507</v>
      </c>
      <c r="F123" s="96">
        <v>3627</v>
      </c>
      <c r="G123" s="80">
        <f t="shared" si="2"/>
        <v>3238.3928571428569</v>
      </c>
      <c r="H123" s="80">
        <f t="shared" si="3"/>
        <v>388.60714285714283</v>
      </c>
      <c r="I123" t="s">
        <v>205</v>
      </c>
    </row>
    <row r="124" spans="2:9">
      <c r="B124" s="77">
        <v>43587</v>
      </c>
      <c r="C124" s="78" t="s">
        <v>672</v>
      </c>
      <c r="D124" s="78" t="s">
        <v>673</v>
      </c>
      <c r="E124" s="78" t="s">
        <v>516</v>
      </c>
      <c r="F124" s="96">
        <v>500</v>
      </c>
      <c r="G124" s="80">
        <f t="shared" si="2"/>
        <v>446.42857142857139</v>
      </c>
      <c r="H124" s="80">
        <f t="shared" si="3"/>
        <v>53.571428571428562</v>
      </c>
      <c r="I124" t="s">
        <v>308</v>
      </c>
    </row>
    <row r="125" spans="2:9">
      <c r="B125" s="77">
        <v>43587</v>
      </c>
      <c r="C125" s="78" t="s">
        <v>514</v>
      </c>
      <c r="D125" s="78" t="s">
        <v>674</v>
      </c>
      <c r="E125" s="78" t="s">
        <v>516</v>
      </c>
      <c r="F125" s="96">
        <v>500</v>
      </c>
      <c r="G125" s="80">
        <f t="shared" si="2"/>
        <v>446.42857142857139</v>
      </c>
      <c r="H125" s="80">
        <f t="shared" si="3"/>
        <v>53.571428571428562</v>
      </c>
      <c r="I125" t="s">
        <v>308</v>
      </c>
    </row>
    <row r="126" spans="2:9">
      <c r="B126" s="76"/>
      <c r="C126" s="86"/>
      <c r="D126" s="86"/>
      <c r="E126" s="99"/>
      <c r="F126" s="100"/>
      <c r="G126" s="96"/>
      <c r="H126" s="96"/>
    </row>
    <row r="127" spans="2:9">
      <c r="B127" s="101"/>
      <c r="E127" s="99"/>
      <c r="F127" s="102">
        <f>SUM(F4:F125)</f>
        <v>825951.96000000008</v>
      </c>
      <c r="G127" s="102">
        <f>SUM(G4:G125)</f>
        <v>737457.10714285739</v>
      </c>
      <c r="H127" s="102">
        <f>SUM(H4:H125)</f>
        <v>88494.852857142789</v>
      </c>
    </row>
    <row r="128" spans="2:9">
      <c r="B128" s="101"/>
      <c r="F128" s="103">
        <f>[2]Sheet1!I13</f>
        <v>825951.9632</v>
      </c>
      <c r="G128" s="103"/>
    </row>
    <row r="129" spans="2:7" ht="14.25" customHeight="1">
      <c r="B129" s="93"/>
      <c r="C129" s="93" t="s">
        <v>14</v>
      </c>
      <c r="F129" s="103">
        <f>F128-F127</f>
        <v>3.1999999191612005E-3</v>
      </c>
      <c r="G129" s="103"/>
    </row>
    <row r="130" spans="2:7" ht="14.25" customHeight="1">
      <c r="B130" s="93"/>
      <c r="F130" s="103"/>
      <c r="G130" s="103"/>
    </row>
    <row r="131" spans="2:7" ht="14.25" customHeight="1">
      <c r="B131" s="93"/>
      <c r="F131" s="103"/>
      <c r="G131" s="103"/>
    </row>
    <row r="132" spans="2:7" ht="14.25" customHeight="1">
      <c r="B132" s="93"/>
      <c r="E132" t="s">
        <v>101</v>
      </c>
      <c r="F132" s="103">
        <f>SUMIF(I4:I125,E132,F4:F125)</f>
        <v>1503.96</v>
      </c>
      <c r="G132" s="103">
        <f>F132/1.12</f>
        <v>1342.8214285714284</v>
      </c>
    </row>
    <row r="133" spans="2:7" ht="14.25" customHeight="1">
      <c r="B133" s="93"/>
      <c r="E133" t="s">
        <v>308</v>
      </c>
      <c r="F133" s="103">
        <f>SUMIF(I4:I125,E133,F4:F125)</f>
        <v>21854.19</v>
      </c>
      <c r="G133" s="104">
        <f t="shared" ref="G133:G139" si="4">F133/1.12</f>
        <v>19512.669642857141</v>
      </c>
    </row>
    <row r="134" spans="2:7" ht="14.25" customHeight="1">
      <c r="B134" s="93"/>
      <c r="E134" t="s">
        <v>7</v>
      </c>
      <c r="F134" s="103">
        <f>SUMIF(I4:I125,E134,F4:F125)</f>
        <v>26372.170000000002</v>
      </c>
      <c r="G134" s="104">
        <f t="shared" si="4"/>
        <v>23546.580357142855</v>
      </c>
    </row>
    <row r="135" spans="2:7" ht="14.25" customHeight="1">
      <c r="B135" s="93"/>
      <c r="E135" t="s">
        <v>450</v>
      </c>
      <c r="F135" s="103">
        <f>SUMIF(I4:I125,E135,F4:F125)</f>
        <v>1000</v>
      </c>
      <c r="G135" s="104">
        <f t="shared" si="4"/>
        <v>892.85714285714278</v>
      </c>
    </row>
    <row r="136" spans="2:7" ht="14.25" customHeight="1">
      <c r="B136" s="93"/>
      <c r="E136" t="s">
        <v>108</v>
      </c>
      <c r="F136" s="103">
        <f>SUMIF(I4:I125,E136,F4:F125)</f>
        <v>2066</v>
      </c>
      <c r="G136" s="104">
        <f t="shared" si="4"/>
        <v>1844.6428571428569</v>
      </c>
    </row>
    <row r="137" spans="2:7" ht="14.25" customHeight="1">
      <c r="B137" s="93"/>
      <c r="E137" t="s">
        <v>535</v>
      </c>
      <c r="F137" s="103">
        <f>SUMIF(I4:I125,E137,F4:F125)</f>
        <v>747867.21</v>
      </c>
      <c r="G137" s="104">
        <f t="shared" si="4"/>
        <v>667738.58035714272</v>
      </c>
    </row>
    <row r="138" spans="2:7" ht="14.25" customHeight="1">
      <c r="B138" s="93"/>
      <c r="E138" t="s">
        <v>90</v>
      </c>
      <c r="F138" s="103">
        <f>SUMIF(I4:I125,E138,F4:F125)</f>
        <v>4662.43</v>
      </c>
      <c r="G138" s="104">
        <f t="shared" si="4"/>
        <v>4162.8839285714284</v>
      </c>
    </row>
    <row r="139" spans="2:7" ht="14.25" customHeight="1">
      <c r="B139" s="93"/>
      <c r="E139" t="s">
        <v>205</v>
      </c>
      <c r="F139" s="103">
        <f>SUMIF(I4:I125,E139,F4:F125)</f>
        <v>20626</v>
      </c>
      <c r="G139" s="104">
        <f t="shared" si="4"/>
        <v>18416.071428571428</v>
      </c>
    </row>
    <row r="140" spans="2:7" ht="14.25" customHeight="1">
      <c r="B140" s="93"/>
      <c r="F140" s="104">
        <f>SUM(F132:F139)</f>
        <v>825951.96</v>
      </c>
      <c r="G140" s="104">
        <f>SUM(G132:G139)</f>
        <v>737457.10714285704</v>
      </c>
    </row>
    <row r="141" spans="2:7" ht="14.25" customHeight="1">
      <c r="B141" s="93"/>
      <c r="E141"/>
      <c r="F141" s="103">
        <f>F127-F140</f>
        <v>0</v>
      </c>
      <c r="G141" s="103">
        <f>G127-G140</f>
        <v>0</v>
      </c>
    </row>
    <row r="142" spans="2:7" ht="14.25" customHeight="1">
      <c r="B142" s="93"/>
      <c r="F142" s="103"/>
      <c r="G142" s="103"/>
    </row>
    <row r="143" spans="2:7" ht="14.25" customHeight="1">
      <c r="B143" s="93"/>
      <c r="F143" s="103"/>
      <c r="G143" s="103"/>
    </row>
    <row r="144" spans="2:7" ht="14.25" customHeight="1">
      <c r="B144" s="93"/>
      <c r="F144" s="103"/>
      <c r="G144" s="103"/>
    </row>
    <row r="145" spans="2:8" ht="14.25" customHeight="1">
      <c r="B145" s="93"/>
      <c r="F145" s="103"/>
      <c r="G145" s="103"/>
    </row>
    <row r="146" spans="2:8" ht="14.25" customHeight="1">
      <c r="B146" s="93"/>
      <c r="F146" s="103"/>
      <c r="G146" s="103"/>
    </row>
    <row r="147" spans="2:8" ht="14.25" customHeight="1">
      <c r="B147" s="93"/>
      <c r="F147" s="103"/>
      <c r="G147" s="103"/>
    </row>
    <row r="148" spans="2:8" ht="14.25" customHeight="1">
      <c r="B148" s="93"/>
      <c r="F148" s="103"/>
      <c r="G148" s="103"/>
    </row>
    <row r="149" spans="2:8" ht="16.5">
      <c r="B149" s="119" t="s">
        <v>675</v>
      </c>
      <c r="C149" s="119"/>
      <c r="D149" s="92"/>
    </row>
    <row r="150" spans="2:8" ht="16.5">
      <c r="B150" s="72"/>
      <c r="C150" s="92"/>
      <c r="D150" s="92"/>
    </row>
    <row r="151" spans="2:8" ht="16.5">
      <c r="B151" s="74" t="s">
        <v>77</v>
      </c>
      <c r="C151" s="74" t="s">
        <v>78</v>
      </c>
      <c r="D151" s="74"/>
      <c r="E151" s="74" t="s">
        <v>79</v>
      </c>
      <c r="F151" s="95" t="s">
        <v>80</v>
      </c>
      <c r="G151" s="95" t="s">
        <v>81</v>
      </c>
      <c r="H151" s="95" t="s">
        <v>82</v>
      </c>
    </row>
    <row r="152" spans="2:8">
      <c r="B152" s="77">
        <v>43526</v>
      </c>
      <c r="C152" s="78" t="s">
        <v>676</v>
      </c>
      <c r="D152" s="78" t="s">
        <v>677</v>
      </c>
      <c r="E152" s="78"/>
      <c r="F152" s="96">
        <v>50</v>
      </c>
      <c r="G152" s="83">
        <f t="shared" ref="G152:G190" si="5">F152/1.12</f>
        <v>44.642857142857139</v>
      </c>
      <c r="H152" s="83">
        <f>G152*0.12</f>
        <v>5.3571428571428568</v>
      </c>
    </row>
    <row r="153" spans="2:8">
      <c r="B153" s="77">
        <v>43526</v>
      </c>
      <c r="C153" s="78" t="s">
        <v>678</v>
      </c>
      <c r="D153" s="78" t="s">
        <v>679</v>
      </c>
      <c r="E153" s="78"/>
      <c r="F153" s="96">
        <v>3600</v>
      </c>
      <c r="G153" s="83">
        <f t="shared" si="5"/>
        <v>3214.2857142857138</v>
      </c>
      <c r="H153" s="83">
        <f t="shared" ref="H153:H195" si="6">G153*0.12</f>
        <v>385.71428571428567</v>
      </c>
    </row>
    <row r="154" spans="2:8">
      <c r="B154" s="77">
        <v>43526</v>
      </c>
      <c r="C154" s="78" t="s">
        <v>680</v>
      </c>
      <c r="D154" s="78"/>
      <c r="E154" s="78"/>
      <c r="F154" s="96">
        <v>305</v>
      </c>
      <c r="G154" s="83">
        <f t="shared" si="5"/>
        <v>272.32142857142856</v>
      </c>
      <c r="H154" s="83">
        <f t="shared" si="6"/>
        <v>32.678571428571423</v>
      </c>
    </row>
    <row r="155" spans="2:8">
      <c r="B155" s="77">
        <v>43506</v>
      </c>
      <c r="C155" s="78" t="s">
        <v>681</v>
      </c>
      <c r="D155" s="78" t="s">
        <v>682</v>
      </c>
      <c r="E155" s="78" t="s">
        <v>683</v>
      </c>
      <c r="F155" s="96">
        <v>2032</v>
      </c>
      <c r="G155" s="83">
        <f t="shared" si="5"/>
        <v>1814.2857142857142</v>
      </c>
      <c r="H155" s="83">
        <f t="shared" si="6"/>
        <v>217.71428571428569</v>
      </c>
    </row>
    <row r="156" spans="2:8">
      <c r="B156" s="77">
        <v>43530</v>
      </c>
      <c r="C156" s="78" t="s">
        <v>684</v>
      </c>
      <c r="D156" s="78"/>
      <c r="E156" s="78"/>
      <c r="F156" s="96">
        <v>65</v>
      </c>
      <c r="G156" s="83">
        <f t="shared" si="5"/>
        <v>58.035714285714278</v>
      </c>
      <c r="H156" s="83">
        <f t="shared" si="6"/>
        <v>6.9642857142857126</v>
      </c>
    </row>
    <row r="157" spans="2:8">
      <c r="B157" s="77">
        <v>43534</v>
      </c>
      <c r="C157" s="78" t="s">
        <v>685</v>
      </c>
      <c r="D157" s="78" t="s">
        <v>686</v>
      </c>
      <c r="E157" s="78" t="s">
        <v>687</v>
      </c>
      <c r="F157" s="96">
        <v>7390</v>
      </c>
      <c r="G157" s="83">
        <f t="shared" si="5"/>
        <v>6598.2142857142853</v>
      </c>
      <c r="H157" s="83">
        <f t="shared" si="6"/>
        <v>791.78571428571422</v>
      </c>
    </row>
    <row r="158" spans="2:8">
      <c r="B158" s="77">
        <v>43540</v>
      </c>
      <c r="C158" s="78" t="s">
        <v>688</v>
      </c>
      <c r="D158" s="78"/>
      <c r="E158" s="78"/>
      <c r="F158" s="96">
        <v>6000</v>
      </c>
      <c r="G158" s="83">
        <f t="shared" si="5"/>
        <v>5357.1428571428569</v>
      </c>
      <c r="H158" s="83">
        <f t="shared" si="6"/>
        <v>642.85714285714278</v>
      </c>
    </row>
    <row r="159" spans="2:8">
      <c r="B159" s="77">
        <v>43531</v>
      </c>
      <c r="C159" s="78" t="s">
        <v>689</v>
      </c>
      <c r="D159" s="78"/>
      <c r="E159" s="78"/>
      <c r="F159" s="96">
        <v>30000</v>
      </c>
      <c r="G159" s="83">
        <f t="shared" si="5"/>
        <v>26785.714285714283</v>
      </c>
      <c r="H159" s="83">
        <f t="shared" si="6"/>
        <v>3214.2857142857138</v>
      </c>
    </row>
    <row r="160" spans="2:8">
      <c r="B160" s="77">
        <v>43529</v>
      </c>
      <c r="C160" s="78" t="s">
        <v>690</v>
      </c>
      <c r="D160" s="78"/>
      <c r="E160" s="78"/>
      <c r="F160" s="105">
        <v>5000</v>
      </c>
      <c r="G160" s="83">
        <f t="shared" si="5"/>
        <v>4464.2857142857138</v>
      </c>
      <c r="H160" s="83">
        <f t="shared" si="6"/>
        <v>535.71428571428567</v>
      </c>
    </row>
    <row r="161" spans="1:8">
      <c r="B161" s="77">
        <v>43529</v>
      </c>
      <c r="C161" s="78" t="s">
        <v>453</v>
      </c>
      <c r="D161" s="78" t="s">
        <v>691</v>
      </c>
      <c r="E161" s="78" t="s">
        <v>455</v>
      </c>
      <c r="F161" s="105">
        <v>1200</v>
      </c>
      <c r="G161" s="83">
        <f t="shared" si="5"/>
        <v>1071.4285714285713</v>
      </c>
      <c r="H161" s="83">
        <f t="shared" si="6"/>
        <v>128.57142857142856</v>
      </c>
    </row>
    <row r="162" spans="1:8">
      <c r="B162" s="77">
        <v>43535</v>
      </c>
      <c r="C162" s="78" t="s">
        <v>692</v>
      </c>
      <c r="D162" s="78"/>
      <c r="E162" s="78"/>
      <c r="F162" s="105">
        <v>115900</v>
      </c>
      <c r="G162" s="83">
        <f t="shared" si="5"/>
        <v>103482.14285714284</v>
      </c>
      <c r="H162" s="83">
        <f t="shared" si="6"/>
        <v>12417.857142857141</v>
      </c>
    </row>
    <row r="163" spans="1:8">
      <c r="B163" s="77">
        <v>43536</v>
      </c>
      <c r="C163" s="78" t="s">
        <v>693</v>
      </c>
      <c r="D163" s="78"/>
      <c r="E163" s="78"/>
      <c r="F163" s="105">
        <v>18000</v>
      </c>
      <c r="G163" s="83">
        <f t="shared" si="5"/>
        <v>16071.428571428571</v>
      </c>
      <c r="H163" s="83">
        <f t="shared" si="6"/>
        <v>1928.5714285714284</v>
      </c>
    </row>
    <row r="164" spans="1:8">
      <c r="B164" s="77">
        <v>43536</v>
      </c>
      <c r="C164" s="78" t="s">
        <v>694</v>
      </c>
      <c r="D164" s="78"/>
      <c r="E164" s="78"/>
      <c r="F164" s="105">
        <v>6644</v>
      </c>
      <c r="G164" s="83">
        <f t="shared" si="5"/>
        <v>5932.1428571428569</v>
      </c>
      <c r="H164" s="83">
        <f t="shared" si="6"/>
        <v>711.85714285714278</v>
      </c>
    </row>
    <row r="165" spans="1:8">
      <c r="B165" s="77">
        <v>43536</v>
      </c>
      <c r="C165" s="78" t="s">
        <v>695</v>
      </c>
      <c r="D165" s="78"/>
      <c r="E165" s="78"/>
      <c r="F165" s="105">
        <v>4776</v>
      </c>
      <c r="G165" s="83">
        <f t="shared" si="5"/>
        <v>4264.2857142857138</v>
      </c>
      <c r="H165" s="83">
        <f t="shared" si="6"/>
        <v>511.71428571428561</v>
      </c>
    </row>
    <row r="166" spans="1:8">
      <c r="A166" s="77"/>
      <c r="B166" s="77">
        <v>43536</v>
      </c>
      <c r="C166" s="78" t="s">
        <v>695</v>
      </c>
      <c r="D166" s="78"/>
      <c r="E166" s="78"/>
      <c r="F166" s="105">
        <v>26302.35</v>
      </c>
      <c r="G166" s="83">
        <f t="shared" si="5"/>
        <v>23484.241071428569</v>
      </c>
      <c r="H166" s="83">
        <f t="shared" si="6"/>
        <v>2818.1089285714284</v>
      </c>
    </row>
    <row r="167" spans="1:8">
      <c r="B167" s="77">
        <v>43536</v>
      </c>
      <c r="C167" s="78" t="s">
        <v>693</v>
      </c>
      <c r="D167" s="78"/>
      <c r="E167" s="78"/>
      <c r="F167" s="105">
        <v>54420</v>
      </c>
      <c r="G167" s="83">
        <f t="shared" si="5"/>
        <v>48589.28571428571</v>
      </c>
      <c r="H167" s="83">
        <f t="shared" si="6"/>
        <v>5830.7142857142853</v>
      </c>
    </row>
    <row r="168" spans="1:8">
      <c r="B168" s="77">
        <v>43535</v>
      </c>
      <c r="C168" s="78" t="s">
        <v>696</v>
      </c>
      <c r="D168" s="78" t="s">
        <v>697</v>
      </c>
      <c r="E168" s="78"/>
      <c r="F168" s="105">
        <v>2060</v>
      </c>
      <c r="G168" s="83">
        <f t="shared" si="5"/>
        <v>1839.2857142857142</v>
      </c>
      <c r="H168" s="83">
        <f t="shared" si="6"/>
        <v>220.71428571428569</v>
      </c>
    </row>
    <row r="169" spans="1:8">
      <c r="B169" s="77">
        <v>43540</v>
      </c>
      <c r="C169" s="78" t="s">
        <v>698</v>
      </c>
      <c r="D169" s="78" t="s">
        <v>699</v>
      </c>
      <c r="E169" s="78"/>
      <c r="F169" s="105">
        <v>3990</v>
      </c>
      <c r="G169" s="83">
        <f t="shared" si="5"/>
        <v>3562.4999999999995</v>
      </c>
      <c r="H169" s="83">
        <f t="shared" si="6"/>
        <v>427.49999999999994</v>
      </c>
    </row>
    <row r="170" spans="1:8">
      <c r="B170" s="77">
        <v>43535</v>
      </c>
      <c r="C170" s="78" t="s">
        <v>700</v>
      </c>
      <c r="D170" s="78"/>
      <c r="E170" s="78"/>
      <c r="F170" s="105">
        <v>1000</v>
      </c>
      <c r="G170" s="83">
        <f t="shared" si="5"/>
        <v>892.85714285714278</v>
      </c>
      <c r="H170" s="83">
        <f t="shared" si="6"/>
        <v>107.14285714285712</v>
      </c>
    </row>
    <row r="171" spans="1:8">
      <c r="B171" s="77">
        <v>43535</v>
      </c>
      <c r="C171" s="78" t="s">
        <v>701</v>
      </c>
      <c r="D171" s="78"/>
      <c r="E171" s="78"/>
      <c r="F171" s="105">
        <v>52702</v>
      </c>
      <c r="G171" s="83">
        <f t="shared" si="5"/>
        <v>47055.357142857138</v>
      </c>
      <c r="H171" s="83">
        <f t="shared" si="6"/>
        <v>5646.642857142856</v>
      </c>
    </row>
    <row r="172" spans="1:8">
      <c r="B172" s="77">
        <v>43484</v>
      </c>
      <c r="C172" s="78" t="s">
        <v>702</v>
      </c>
      <c r="D172" s="78"/>
      <c r="E172" s="78"/>
      <c r="F172" s="105">
        <v>546</v>
      </c>
      <c r="G172" s="83">
        <f t="shared" si="5"/>
        <v>487.49999999999994</v>
      </c>
      <c r="H172" s="83">
        <f t="shared" si="6"/>
        <v>58.499999999999993</v>
      </c>
    </row>
    <row r="173" spans="1:8">
      <c r="B173" s="77">
        <v>43470</v>
      </c>
      <c r="C173" s="78" t="s">
        <v>703</v>
      </c>
      <c r="D173" s="78"/>
      <c r="E173" s="78"/>
      <c r="F173" s="105">
        <v>6750</v>
      </c>
      <c r="G173" s="83">
        <f t="shared" si="5"/>
        <v>6026.7857142857138</v>
      </c>
      <c r="H173" s="83">
        <f t="shared" si="6"/>
        <v>723.21428571428567</v>
      </c>
    </row>
    <row r="174" spans="1:8">
      <c r="B174" s="77">
        <v>43527</v>
      </c>
      <c r="C174" s="78" t="s">
        <v>499</v>
      </c>
      <c r="D174" s="78" t="s">
        <v>704</v>
      </c>
      <c r="E174" s="78"/>
      <c r="F174" s="105">
        <v>305</v>
      </c>
      <c r="G174" s="83">
        <f t="shared" si="5"/>
        <v>272.32142857142856</v>
      </c>
      <c r="H174" s="83">
        <f t="shared" si="6"/>
        <v>32.678571428571423</v>
      </c>
    </row>
    <row r="175" spans="1:8">
      <c r="B175" s="77">
        <v>43532</v>
      </c>
      <c r="C175" s="78" t="s">
        <v>705</v>
      </c>
      <c r="D175" s="78"/>
      <c r="E175" s="78"/>
      <c r="F175" s="105">
        <v>18700</v>
      </c>
      <c r="G175" s="83">
        <f t="shared" si="5"/>
        <v>16696.428571428569</v>
      </c>
      <c r="H175" s="83">
        <f t="shared" si="6"/>
        <v>2003.5714285714282</v>
      </c>
    </row>
    <row r="176" spans="1:8">
      <c r="B176" s="77">
        <v>43532</v>
      </c>
      <c r="C176" s="78" t="s">
        <v>706</v>
      </c>
      <c r="D176" s="78" t="s">
        <v>707</v>
      </c>
      <c r="E176" s="78"/>
      <c r="F176" s="105">
        <v>5000</v>
      </c>
      <c r="G176" s="83">
        <f t="shared" si="5"/>
        <v>4464.2857142857138</v>
      </c>
      <c r="H176" s="83">
        <f t="shared" si="6"/>
        <v>535.71428571428567</v>
      </c>
    </row>
    <row r="177" spans="2:8">
      <c r="B177" s="77">
        <v>43521</v>
      </c>
      <c r="C177" s="78" t="s">
        <v>708</v>
      </c>
      <c r="D177" s="78"/>
      <c r="E177" s="78"/>
      <c r="F177" s="105">
        <v>5500</v>
      </c>
      <c r="G177" s="83">
        <f t="shared" si="5"/>
        <v>4910.7142857142853</v>
      </c>
      <c r="H177" s="83">
        <f t="shared" si="6"/>
        <v>589.28571428571422</v>
      </c>
    </row>
    <row r="178" spans="2:8">
      <c r="B178" s="77">
        <v>43532</v>
      </c>
      <c r="C178" s="78" t="s">
        <v>709</v>
      </c>
      <c r="D178" s="78"/>
      <c r="E178" s="78"/>
      <c r="F178" s="105">
        <v>25671</v>
      </c>
      <c r="G178" s="83">
        <f t="shared" si="5"/>
        <v>22920.535714285714</v>
      </c>
      <c r="H178" s="83">
        <f t="shared" si="6"/>
        <v>2750.4642857142853</v>
      </c>
    </row>
    <row r="179" spans="2:8">
      <c r="B179" s="77">
        <v>43532</v>
      </c>
      <c r="C179" s="78" t="s">
        <v>710</v>
      </c>
      <c r="D179" s="78"/>
      <c r="E179" s="78"/>
      <c r="F179" s="105">
        <v>141</v>
      </c>
      <c r="G179" s="83">
        <f t="shared" si="5"/>
        <v>125.89285714285712</v>
      </c>
      <c r="H179" s="83">
        <f t="shared" si="6"/>
        <v>15.107142857142854</v>
      </c>
    </row>
    <row r="180" spans="2:8">
      <c r="B180" s="77">
        <v>43539</v>
      </c>
      <c r="C180" s="78" t="s">
        <v>711</v>
      </c>
      <c r="D180" s="78"/>
      <c r="E180" s="78"/>
      <c r="F180" s="105">
        <v>950</v>
      </c>
      <c r="G180" s="83">
        <f t="shared" si="5"/>
        <v>848.21428571428567</v>
      </c>
      <c r="H180" s="83">
        <f t="shared" si="6"/>
        <v>101.78571428571428</v>
      </c>
    </row>
    <row r="181" spans="2:8">
      <c r="B181" s="77">
        <v>43536</v>
      </c>
      <c r="C181" s="78" t="s">
        <v>712</v>
      </c>
      <c r="D181" s="78" t="s">
        <v>713</v>
      </c>
      <c r="E181" s="78"/>
      <c r="F181" s="105">
        <v>800</v>
      </c>
      <c r="G181" s="83">
        <f t="shared" si="5"/>
        <v>714.28571428571422</v>
      </c>
      <c r="H181" s="83">
        <f t="shared" si="6"/>
        <v>85.714285714285708</v>
      </c>
    </row>
    <row r="182" spans="2:8">
      <c r="B182" s="77">
        <v>43610</v>
      </c>
      <c r="C182" s="78" t="s">
        <v>714</v>
      </c>
      <c r="D182" s="78" t="s">
        <v>715</v>
      </c>
      <c r="E182" s="78" t="s">
        <v>716</v>
      </c>
      <c r="F182" s="96">
        <v>250</v>
      </c>
      <c r="G182" s="96">
        <f t="shared" si="5"/>
        <v>223.21428571428569</v>
      </c>
      <c r="H182" s="96">
        <f>G182*0.12</f>
        <v>26.785714285714281</v>
      </c>
    </row>
    <row r="183" spans="2:8">
      <c r="B183" s="77">
        <v>43608</v>
      </c>
      <c r="C183" s="78" t="s">
        <v>717</v>
      </c>
      <c r="D183" s="78"/>
      <c r="E183" s="78"/>
      <c r="F183" s="105">
        <v>258</v>
      </c>
      <c r="G183" s="83">
        <f t="shared" si="5"/>
        <v>230.35714285714283</v>
      </c>
      <c r="H183" s="83">
        <f t="shared" si="6"/>
        <v>27.642857142857139</v>
      </c>
    </row>
    <row r="184" spans="2:8">
      <c r="B184" s="77">
        <v>43603</v>
      </c>
      <c r="C184" s="78" t="s">
        <v>718</v>
      </c>
      <c r="D184" s="78" t="s">
        <v>719</v>
      </c>
      <c r="E184" s="78" t="s">
        <v>720</v>
      </c>
      <c r="F184" s="105">
        <v>500</v>
      </c>
      <c r="G184" s="83">
        <f t="shared" si="5"/>
        <v>446.42857142857139</v>
      </c>
      <c r="H184" s="83">
        <f t="shared" si="6"/>
        <v>53.571428571428562</v>
      </c>
    </row>
    <row r="185" spans="2:8">
      <c r="B185" s="77">
        <v>43615</v>
      </c>
      <c r="C185" s="78" t="s">
        <v>721</v>
      </c>
      <c r="D185" s="78" t="s">
        <v>722</v>
      </c>
      <c r="E185" s="78" t="s">
        <v>723</v>
      </c>
      <c r="F185" s="105">
        <v>435</v>
      </c>
      <c r="G185" s="83">
        <f t="shared" si="5"/>
        <v>388.39285714285711</v>
      </c>
      <c r="H185" s="83">
        <f t="shared" si="6"/>
        <v>46.607142857142854</v>
      </c>
    </row>
    <row r="186" spans="2:8">
      <c r="B186" s="77">
        <v>43601</v>
      </c>
      <c r="C186" s="78" t="s">
        <v>724</v>
      </c>
      <c r="D186" s="78"/>
      <c r="E186" s="78"/>
      <c r="F186" s="105">
        <v>130000</v>
      </c>
      <c r="G186" s="83">
        <f t="shared" si="5"/>
        <v>116071.42857142857</v>
      </c>
      <c r="H186" s="83">
        <f t="shared" si="6"/>
        <v>13928.571428571428</v>
      </c>
    </row>
    <row r="187" spans="2:8">
      <c r="B187" s="77">
        <v>43615</v>
      </c>
      <c r="C187" s="78" t="s">
        <v>725</v>
      </c>
      <c r="D187" s="78"/>
      <c r="E187" s="78"/>
      <c r="F187" s="105">
        <v>5729</v>
      </c>
      <c r="G187" s="83">
        <f t="shared" si="5"/>
        <v>5115.1785714285706</v>
      </c>
      <c r="H187" s="83">
        <f t="shared" si="6"/>
        <v>613.82142857142844</v>
      </c>
    </row>
    <row r="188" spans="2:8">
      <c r="B188" s="77">
        <v>43615</v>
      </c>
      <c r="C188" s="78" t="s">
        <v>726</v>
      </c>
      <c r="D188" s="78"/>
      <c r="E188" s="78"/>
      <c r="F188" s="105">
        <v>5000</v>
      </c>
      <c r="G188" s="83">
        <f t="shared" si="5"/>
        <v>4464.2857142857138</v>
      </c>
      <c r="H188" s="83">
        <f t="shared" si="6"/>
        <v>535.71428571428567</v>
      </c>
    </row>
    <row r="189" spans="2:8">
      <c r="B189" s="77">
        <v>43615</v>
      </c>
      <c r="C189" s="78" t="s">
        <v>727</v>
      </c>
      <c r="D189" s="78"/>
      <c r="E189" s="78"/>
      <c r="F189" s="105">
        <v>3000</v>
      </c>
      <c r="G189" s="83">
        <f t="shared" si="5"/>
        <v>2678.5714285714284</v>
      </c>
      <c r="H189" s="83">
        <f t="shared" si="6"/>
        <v>321.42857142857139</v>
      </c>
    </row>
    <row r="190" spans="2:8">
      <c r="B190" s="77">
        <v>43615</v>
      </c>
      <c r="C190" s="78" t="s">
        <v>728</v>
      </c>
      <c r="D190" s="78"/>
      <c r="E190" s="78"/>
      <c r="F190" s="105">
        <v>4709</v>
      </c>
      <c r="G190" s="83">
        <f t="shared" si="5"/>
        <v>4204.4642857142853</v>
      </c>
      <c r="H190" s="83">
        <f t="shared" si="6"/>
        <v>504.53571428571422</v>
      </c>
    </row>
    <row r="191" spans="2:8">
      <c r="B191" s="77"/>
      <c r="C191" s="78"/>
      <c r="D191" s="78"/>
      <c r="E191" s="78"/>
      <c r="F191" s="105"/>
      <c r="G191" s="83"/>
      <c r="H191" s="83"/>
    </row>
    <row r="192" spans="2:8">
      <c r="B192" s="77"/>
      <c r="C192" s="78"/>
      <c r="D192" s="78"/>
      <c r="E192" s="78"/>
      <c r="F192" s="105"/>
      <c r="G192" s="83"/>
      <c r="H192" s="83"/>
    </row>
    <row r="193" spans="1:8">
      <c r="B193" s="77"/>
      <c r="C193" s="78"/>
      <c r="D193" s="78"/>
      <c r="E193" s="78"/>
      <c r="F193" s="105"/>
      <c r="G193" s="83"/>
      <c r="H193" s="83"/>
    </row>
    <row r="194" spans="1:8">
      <c r="B194" s="77"/>
      <c r="C194" s="78"/>
      <c r="D194" s="78"/>
      <c r="E194" s="78"/>
      <c r="F194" s="105"/>
      <c r="G194" s="83"/>
      <c r="H194" s="83"/>
    </row>
    <row r="195" spans="1:8">
      <c r="B195" s="77">
        <v>43544</v>
      </c>
      <c r="C195" s="78"/>
      <c r="D195" s="78"/>
      <c r="E195" s="78"/>
      <c r="F195" s="105"/>
      <c r="G195" s="83">
        <f>F195/1.12</f>
        <v>0</v>
      </c>
      <c r="H195" s="83">
        <f t="shared" si="6"/>
        <v>0</v>
      </c>
    </row>
    <row r="196" spans="1:8">
      <c r="B196" s="81"/>
      <c r="C196" s="78"/>
      <c r="D196" s="78"/>
      <c r="E196" s="78"/>
      <c r="F196" s="105"/>
      <c r="G196" s="83">
        <f>F196/1.12</f>
        <v>0</v>
      </c>
      <c r="H196" s="83">
        <f>G196*0.12</f>
        <v>0</v>
      </c>
    </row>
    <row r="207" spans="1:8">
      <c r="A207" s="85">
        <v>43501</v>
      </c>
    </row>
  </sheetData>
  <mergeCells count="2">
    <mergeCell ref="B1:C1"/>
    <mergeCell ref="B149:C14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31"/>
  <sheetViews>
    <sheetView topLeftCell="B213" workbookViewId="0">
      <selection activeCell="F223" sqref="F223"/>
    </sheetView>
  </sheetViews>
  <sheetFormatPr defaultRowHeight="15"/>
  <cols>
    <col min="1" max="1" width="15" hidden="1" customWidth="1"/>
    <col min="2" max="2" width="12.85546875" customWidth="1"/>
    <col min="3" max="3" width="53" style="93" customWidth="1"/>
    <col min="4" max="4" width="76.28515625" style="93" hidden="1" customWidth="1"/>
    <col min="5" max="5" width="18.140625" style="93" customWidth="1"/>
    <col min="6" max="8" width="15.42578125" style="94" customWidth="1"/>
  </cols>
  <sheetData>
    <row r="1" spans="1:9" ht="16.5">
      <c r="B1" s="119" t="s">
        <v>729</v>
      </c>
      <c r="C1" s="119"/>
      <c r="D1" s="92"/>
    </row>
    <row r="2" spans="1:9" ht="16.5">
      <c r="B2" s="72"/>
      <c r="C2" s="92"/>
      <c r="D2" s="92"/>
    </row>
    <row r="3" spans="1:9" ht="16.5">
      <c r="B3" s="74" t="s">
        <v>77</v>
      </c>
      <c r="C3" s="74" t="s">
        <v>78</v>
      </c>
      <c r="D3" s="74" t="s">
        <v>0</v>
      </c>
      <c r="E3" s="74" t="s">
        <v>79</v>
      </c>
      <c r="F3" s="95" t="s">
        <v>80</v>
      </c>
      <c r="G3" s="95" t="s">
        <v>81</v>
      </c>
      <c r="H3" s="95" t="s">
        <v>82</v>
      </c>
    </row>
    <row r="4" spans="1:9">
      <c r="A4" s="106"/>
      <c r="B4" s="77">
        <v>43635</v>
      </c>
      <c r="C4" s="78" t="s">
        <v>730</v>
      </c>
      <c r="D4" s="78" t="s">
        <v>436</v>
      </c>
      <c r="E4" s="78" t="s">
        <v>437</v>
      </c>
      <c r="F4" s="82">
        <v>6604.85</v>
      </c>
      <c r="G4" s="80">
        <f t="shared" ref="G4:G67" si="0">F4/1.12</f>
        <v>5897.1875</v>
      </c>
      <c r="H4" s="80">
        <f t="shared" ref="H4:H67" si="1">G4*0.12</f>
        <v>707.66250000000002</v>
      </c>
      <c r="I4" t="s">
        <v>535</v>
      </c>
    </row>
    <row r="5" spans="1:9">
      <c r="A5" s="106"/>
      <c r="B5" s="77">
        <v>43622</v>
      </c>
      <c r="C5" s="78" t="s">
        <v>731</v>
      </c>
      <c r="D5" s="78" t="s">
        <v>732</v>
      </c>
      <c r="E5" s="78" t="s">
        <v>733</v>
      </c>
      <c r="F5" s="82">
        <v>75</v>
      </c>
      <c r="G5" s="80">
        <f t="shared" si="0"/>
        <v>66.964285714285708</v>
      </c>
      <c r="H5" s="80">
        <f t="shared" si="1"/>
        <v>8.0357142857142847</v>
      </c>
      <c r="I5" t="s">
        <v>90</v>
      </c>
    </row>
    <row r="6" spans="1:9">
      <c r="A6" s="106"/>
      <c r="B6" s="77">
        <v>43642</v>
      </c>
      <c r="C6" s="78" t="s">
        <v>734</v>
      </c>
      <c r="D6" s="78" t="s">
        <v>735</v>
      </c>
      <c r="E6" s="78" t="s">
        <v>736</v>
      </c>
      <c r="F6" s="82">
        <v>1995</v>
      </c>
      <c r="G6" s="80">
        <f t="shared" si="0"/>
        <v>1781.2499999999998</v>
      </c>
      <c r="H6" s="80">
        <f t="shared" si="1"/>
        <v>213.74999999999997</v>
      </c>
      <c r="I6" t="s">
        <v>535</v>
      </c>
    </row>
    <row r="7" spans="1:9">
      <c r="A7" s="106"/>
      <c r="B7" s="77">
        <v>43633</v>
      </c>
      <c r="C7" s="78" t="s">
        <v>737</v>
      </c>
      <c r="D7" s="78" t="s">
        <v>738</v>
      </c>
      <c r="E7" s="78" t="s">
        <v>93</v>
      </c>
      <c r="F7" s="82">
        <v>3189.35</v>
      </c>
      <c r="G7" s="80">
        <f t="shared" si="0"/>
        <v>2847.6339285714284</v>
      </c>
      <c r="H7" s="80">
        <f t="shared" si="1"/>
        <v>341.71607142857141</v>
      </c>
      <c r="I7" t="s">
        <v>450</v>
      </c>
    </row>
    <row r="8" spans="1:9">
      <c r="A8" s="106"/>
      <c r="B8" s="77">
        <v>43628</v>
      </c>
      <c r="C8" s="78" t="s">
        <v>739</v>
      </c>
      <c r="D8" s="78" t="s">
        <v>740</v>
      </c>
      <c r="E8" s="78" t="s">
        <v>741</v>
      </c>
      <c r="F8" s="82">
        <v>340</v>
      </c>
      <c r="G8" s="80">
        <f t="shared" si="0"/>
        <v>303.57142857142856</v>
      </c>
      <c r="H8" s="80">
        <f t="shared" si="1"/>
        <v>36.428571428571423</v>
      </c>
      <c r="I8" t="s">
        <v>205</v>
      </c>
    </row>
    <row r="9" spans="1:9">
      <c r="A9" s="106"/>
      <c r="B9" s="77">
        <v>43627</v>
      </c>
      <c r="C9" s="78" t="s">
        <v>289</v>
      </c>
      <c r="D9" s="78" t="s">
        <v>742</v>
      </c>
      <c r="E9" s="78" t="s">
        <v>743</v>
      </c>
      <c r="F9" s="82">
        <v>369</v>
      </c>
      <c r="G9" s="80">
        <f t="shared" si="0"/>
        <v>329.46428571428567</v>
      </c>
      <c r="H9" s="80">
        <f t="shared" si="1"/>
        <v>39.535714285714278</v>
      </c>
      <c r="I9" t="s">
        <v>90</v>
      </c>
    </row>
    <row r="10" spans="1:9">
      <c r="A10" s="106"/>
      <c r="B10" s="77">
        <v>43630</v>
      </c>
      <c r="C10" s="78" t="s">
        <v>744</v>
      </c>
      <c r="D10" s="78" t="s">
        <v>745</v>
      </c>
      <c r="E10" s="78" t="s">
        <v>746</v>
      </c>
      <c r="F10" s="82">
        <v>152</v>
      </c>
      <c r="G10" s="80">
        <f t="shared" si="0"/>
        <v>135.71428571428569</v>
      </c>
      <c r="H10" s="80">
        <f t="shared" si="1"/>
        <v>16.285714285714281</v>
      </c>
      <c r="I10" t="s">
        <v>90</v>
      </c>
    </row>
    <row r="11" spans="1:9">
      <c r="A11" s="106"/>
      <c r="B11" s="77">
        <v>43527</v>
      </c>
      <c r="C11" s="78" t="s">
        <v>99</v>
      </c>
      <c r="D11" s="78" t="s">
        <v>747</v>
      </c>
      <c r="E11" s="78" t="s">
        <v>748</v>
      </c>
      <c r="F11" s="79">
        <f>2007.5+12.25</f>
        <v>2019.75</v>
      </c>
      <c r="G11" s="80">
        <f t="shared" si="0"/>
        <v>1803.3482142857142</v>
      </c>
      <c r="H11" s="80">
        <f t="shared" si="1"/>
        <v>216.40178571428569</v>
      </c>
      <c r="I11" t="s">
        <v>101</v>
      </c>
    </row>
    <row r="12" spans="1:9">
      <c r="A12" s="106"/>
      <c r="B12" s="77">
        <v>43639</v>
      </c>
      <c r="C12" s="78" t="s">
        <v>749</v>
      </c>
      <c r="D12" s="78" t="s">
        <v>750</v>
      </c>
      <c r="E12" s="78" t="s">
        <v>100</v>
      </c>
      <c r="F12" s="82">
        <v>1643</v>
      </c>
      <c r="G12" s="80">
        <f t="shared" si="0"/>
        <v>1466.9642857142856</v>
      </c>
      <c r="H12" s="80">
        <f t="shared" si="1"/>
        <v>176.03571428571425</v>
      </c>
      <c r="I12" t="s">
        <v>101</v>
      </c>
    </row>
    <row r="13" spans="1:9">
      <c r="A13" s="106"/>
      <c r="B13" s="77">
        <v>43635</v>
      </c>
      <c r="C13" s="78" t="s">
        <v>751</v>
      </c>
      <c r="D13" s="78" t="s">
        <v>752</v>
      </c>
      <c r="E13" s="78" t="s">
        <v>534</v>
      </c>
      <c r="F13" s="82">
        <v>660</v>
      </c>
      <c r="G13" s="80">
        <f t="shared" si="0"/>
        <v>589.28571428571422</v>
      </c>
      <c r="H13" s="80">
        <f t="shared" si="1"/>
        <v>70.714285714285708</v>
      </c>
      <c r="I13" t="s">
        <v>535</v>
      </c>
    </row>
    <row r="14" spans="1:9">
      <c r="A14" s="106"/>
      <c r="B14" s="77">
        <v>43635</v>
      </c>
      <c r="C14" s="78" t="s">
        <v>751</v>
      </c>
      <c r="D14" s="78" t="s">
        <v>752</v>
      </c>
      <c r="E14" s="78" t="s">
        <v>534</v>
      </c>
      <c r="F14" s="82">
        <v>61849</v>
      </c>
      <c r="G14" s="80">
        <f t="shared" si="0"/>
        <v>55222.32142857142</v>
      </c>
      <c r="H14" s="80">
        <f t="shared" si="1"/>
        <v>6626.6785714285697</v>
      </c>
      <c r="I14" t="s">
        <v>535</v>
      </c>
    </row>
    <row r="15" spans="1:9">
      <c r="A15" s="106"/>
      <c r="B15" s="77">
        <v>43640</v>
      </c>
      <c r="C15" s="78" t="s">
        <v>751</v>
      </c>
      <c r="D15" s="78" t="s">
        <v>752</v>
      </c>
      <c r="E15" s="78" t="s">
        <v>534</v>
      </c>
      <c r="F15" s="82">
        <v>500</v>
      </c>
      <c r="G15" s="80">
        <f t="shared" si="0"/>
        <v>446.42857142857139</v>
      </c>
      <c r="H15" s="80">
        <f t="shared" si="1"/>
        <v>53.571428571428562</v>
      </c>
      <c r="I15" t="s">
        <v>535</v>
      </c>
    </row>
    <row r="16" spans="1:9">
      <c r="A16" s="106"/>
      <c r="B16" s="77">
        <v>43641</v>
      </c>
      <c r="C16" s="78" t="s">
        <v>751</v>
      </c>
      <c r="D16" s="78" t="s">
        <v>752</v>
      </c>
      <c r="E16" s="78" t="s">
        <v>534</v>
      </c>
      <c r="F16" s="82">
        <v>109474</v>
      </c>
      <c r="G16" s="80">
        <f t="shared" si="0"/>
        <v>97744.642857142855</v>
      </c>
      <c r="H16" s="80">
        <f t="shared" si="1"/>
        <v>11729.357142857141</v>
      </c>
      <c r="I16" t="s">
        <v>535</v>
      </c>
    </row>
    <row r="17" spans="1:9">
      <c r="A17" s="106"/>
      <c r="B17" s="77">
        <v>43636</v>
      </c>
      <c r="C17" s="78" t="s">
        <v>753</v>
      </c>
      <c r="D17" s="78" t="s">
        <v>754</v>
      </c>
      <c r="E17" s="78" t="s">
        <v>755</v>
      </c>
      <c r="F17" s="82">
        <v>15750</v>
      </c>
      <c r="G17" s="80">
        <f t="shared" si="0"/>
        <v>14062.499999999998</v>
      </c>
      <c r="H17" s="80">
        <f t="shared" si="1"/>
        <v>1687.4999999999998</v>
      </c>
      <c r="I17" t="s">
        <v>535</v>
      </c>
    </row>
    <row r="18" spans="1:9">
      <c r="A18" s="106"/>
      <c r="B18" s="77">
        <v>43632</v>
      </c>
      <c r="C18" s="78" t="s">
        <v>756</v>
      </c>
      <c r="D18" s="78" t="s">
        <v>757</v>
      </c>
      <c r="E18" s="78" t="s">
        <v>758</v>
      </c>
      <c r="F18" s="82">
        <v>57</v>
      </c>
      <c r="G18" s="80">
        <f t="shared" si="0"/>
        <v>50.892857142857139</v>
      </c>
      <c r="H18" s="80">
        <f t="shared" si="1"/>
        <v>6.1071428571428568</v>
      </c>
      <c r="I18" t="s">
        <v>387</v>
      </c>
    </row>
    <row r="19" spans="1:9">
      <c r="A19" s="106"/>
      <c r="B19" s="77">
        <v>43644</v>
      </c>
      <c r="C19" s="78" t="s">
        <v>756</v>
      </c>
      <c r="D19" s="78" t="s">
        <v>757</v>
      </c>
      <c r="E19" s="78" t="s">
        <v>758</v>
      </c>
      <c r="F19" s="82">
        <v>132.25</v>
      </c>
      <c r="G19" s="80">
        <f t="shared" si="0"/>
        <v>118.08035714285712</v>
      </c>
      <c r="H19" s="80">
        <f t="shared" si="1"/>
        <v>14.169642857142854</v>
      </c>
      <c r="I19" t="s">
        <v>387</v>
      </c>
    </row>
    <row r="20" spans="1:9">
      <c r="A20" s="106"/>
      <c r="B20" s="77">
        <v>43541</v>
      </c>
      <c r="C20" s="78" t="s">
        <v>759</v>
      </c>
      <c r="D20" s="78" t="s">
        <v>760</v>
      </c>
      <c r="E20" s="78" t="s">
        <v>758</v>
      </c>
      <c r="F20" s="79">
        <v>400</v>
      </c>
      <c r="G20" s="80">
        <f t="shared" si="0"/>
        <v>357.14285714285711</v>
      </c>
      <c r="H20" s="80">
        <f t="shared" si="1"/>
        <v>42.857142857142854</v>
      </c>
      <c r="I20" t="s">
        <v>387</v>
      </c>
    </row>
    <row r="21" spans="1:9">
      <c r="A21" s="106"/>
      <c r="B21" s="77">
        <v>43625</v>
      </c>
      <c r="C21" s="78" t="s">
        <v>761</v>
      </c>
      <c r="D21" s="78" t="s">
        <v>762</v>
      </c>
      <c r="E21" s="78" t="s">
        <v>763</v>
      </c>
      <c r="F21" s="82">
        <v>38.75</v>
      </c>
      <c r="G21" s="80">
        <f t="shared" si="0"/>
        <v>34.598214285714285</v>
      </c>
      <c r="H21" s="80">
        <f t="shared" si="1"/>
        <v>4.1517857142857144</v>
      </c>
      <c r="I21" t="s">
        <v>387</v>
      </c>
    </row>
    <row r="22" spans="1:9">
      <c r="A22" s="106"/>
      <c r="B22" s="77">
        <v>43631</v>
      </c>
      <c r="C22" s="78" t="s">
        <v>764</v>
      </c>
      <c r="D22" s="78" t="s">
        <v>765</v>
      </c>
      <c r="E22" s="78" t="s">
        <v>766</v>
      </c>
      <c r="F22" s="82">
        <v>4920</v>
      </c>
      <c r="G22" s="80">
        <f t="shared" si="0"/>
        <v>4392.8571428571422</v>
      </c>
      <c r="H22" s="80">
        <f t="shared" si="1"/>
        <v>527.142857142857</v>
      </c>
      <c r="I22" t="s">
        <v>535</v>
      </c>
    </row>
    <row r="23" spans="1:9">
      <c r="A23" s="106"/>
      <c r="B23" s="77">
        <v>43629</v>
      </c>
      <c r="C23" s="78" t="s">
        <v>536</v>
      </c>
      <c r="D23" s="78" t="s">
        <v>767</v>
      </c>
      <c r="E23" s="78" t="s">
        <v>538</v>
      </c>
      <c r="F23" s="82">
        <v>3924.11</v>
      </c>
      <c r="G23" s="80">
        <f t="shared" si="0"/>
        <v>3503.6696428571427</v>
      </c>
      <c r="H23" s="80">
        <f t="shared" si="1"/>
        <v>420.44035714285712</v>
      </c>
      <c r="I23" t="s">
        <v>535</v>
      </c>
    </row>
    <row r="24" spans="1:9">
      <c r="A24" s="106"/>
      <c r="B24" s="77">
        <v>43629</v>
      </c>
      <c r="C24" s="78" t="s">
        <v>536</v>
      </c>
      <c r="D24" s="78" t="s">
        <v>767</v>
      </c>
      <c r="E24" s="78" t="s">
        <v>538</v>
      </c>
      <c r="F24" s="82">
        <v>95</v>
      </c>
      <c r="G24" s="80">
        <f t="shared" si="0"/>
        <v>84.821428571428569</v>
      </c>
      <c r="H24" s="80">
        <f t="shared" si="1"/>
        <v>10.178571428571429</v>
      </c>
      <c r="I24" t="s">
        <v>535</v>
      </c>
    </row>
    <row r="25" spans="1:9">
      <c r="A25" s="106"/>
      <c r="B25" s="77">
        <v>43629</v>
      </c>
      <c r="C25" s="78" t="s">
        <v>536</v>
      </c>
      <c r="D25" s="78" t="s">
        <v>767</v>
      </c>
      <c r="E25" s="78" t="s">
        <v>538</v>
      </c>
      <c r="F25" s="82">
        <v>15197</v>
      </c>
      <c r="G25" s="80">
        <f t="shared" si="0"/>
        <v>13568.749999999998</v>
      </c>
      <c r="H25" s="80">
        <f t="shared" si="1"/>
        <v>1628.2499999999998</v>
      </c>
      <c r="I25" t="s">
        <v>535</v>
      </c>
    </row>
    <row r="26" spans="1:9">
      <c r="A26" s="106"/>
      <c r="B26" s="77">
        <v>43636</v>
      </c>
      <c r="C26" s="78" t="s">
        <v>536</v>
      </c>
      <c r="D26" s="78" t="s">
        <v>768</v>
      </c>
      <c r="E26" s="78" t="s">
        <v>538</v>
      </c>
      <c r="F26" s="82">
        <v>24700</v>
      </c>
      <c r="G26" s="80">
        <f t="shared" si="0"/>
        <v>22053.571428571428</v>
      </c>
      <c r="H26" s="80">
        <f t="shared" si="1"/>
        <v>2646.4285714285711</v>
      </c>
      <c r="I26" t="s">
        <v>535</v>
      </c>
    </row>
    <row r="27" spans="1:9">
      <c r="A27" s="106"/>
      <c r="B27" s="77">
        <v>43641</v>
      </c>
      <c r="C27" s="78" t="s">
        <v>536</v>
      </c>
      <c r="D27" s="78" t="s">
        <v>768</v>
      </c>
      <c r="E27" s="78" t="s">
        <v>538</v>
      </c>
      <c r="F27" s="82">
        <v>169</v>
      </c>
      <c r="G27" s="80">
        <f t="shared" si="0"/>
        <v>150.89285714285714</v>
      </c>
      <c r="H27" s="80">
        <f t="shared" si="1"/>
        <v>18.107142857142858</v>
      </c>
      <c r="I27" t="s">
        <v>535</v>
      </c>
    </row>
    <row r="28" spans="1:9">
      <c r="A28" s="106"/>
      <c r="B28" s="77">
        <v>43643</v>
      </c>
      <c r="C28" s="78" t="s">
        <v>769</v>
      </c>
      <c r="D28" s="78" t="s">
        <v>770</v>
      </c>
      <c r="E28" s="78" t="s">
        <v>771</v>
      </c>
      <c r="F28" s="82">
        <v>6</v>
      </c>
      <c r="G28" s="80">
        <f t="shared" si="0"/>
        <v>5.3571428571428568</v>
      </c>
      <c r="H28" s="80">
        <f t="shared" si="1"/>
        <v>0.64285714285714279</v>
      </c>
      <c r="I28" t="s">
        <v>108</v>
      </c>
    </row>
    <row r="29" spans="1:9">
      <c r="A29" s="106"/>
      <c r="B29" s="77">
        <v>43643</v>
      </c>
      <c r="C29" s="78" t="s">
        <v>769</v>
      </c>
      <c r="D29" s="84" t="s">
        <v>772</v>
      </c>
      <c r="E29" s="78" t="s">
        <v>126</v>
      </c>
      <c r="F29" s="82">
        <v>12</v>
      </c>
      <c r="G29" s="80">
        <f t="shared" si="0"/>
        <v>10.714285714285714</v>
      </c>
      <c r="H29" s="80">
        <f t="shared" si="1"/>
        <v>1.2857142857142856</v>
      </c>
      <c r="I29" t="s">
        <v>108</v>
      </c>
    </row>
    <row r="30" spans="1:9">
      <c r="A30" s="106"/>
      <c r="B30" s="77">
        <v>43622</v>
      </c>
      <c r="C30" s="78" t="s">
        <v>5</v>
      </c>
      <c r="D30" s="78" t="s">
        <v>773</v>
      </c>
      <c r="E30" s="78" t="s">
        <v>774</v>
      </c>
      <c r="F30" s="82">
        <v>85</v>
      </c>
      <c r="G30" s="80">
        <f t="shared" si="0"/>
        <v>75.892857142857139</v>
      </c>
      <c r="H30" s="80">
        <f t="shared" si="1"/>
        <v>9.1071428571428559</v>
      </c>
      <c r="I30" t="s">
        <v>132</v>
      </c>
    </row>
    <row r="31" spans="1:9">
      <c r="A31" s="106"/>
      <c r="B31" s="77">
        <v>43622</v>
      </c>
      <c r="C31" s="78" t="s">
        <v>5</v>
      </c>
      <c r="D31" s="78" t="s">
        <v>773</v>
      </c>
      <c r="E31" s="78" t="s">
        <v>774</v>
      </c>
      <c r="F31" s="82">
        <v>23.25</v>
      </c>
      <c r="G31" s="80">
        <f t="shared" si="0"/>
        <v>20.758928571428569</v>
      </c>
      <c r="H31" s="80">
        <f t="shared" si="1"/>
        <v>2.4910714285714284</v>
      </c>
      <c r="I31" t="s">
        <v>132</v>
      </c>
    </row>
    <row r="32" spans="1:9">
      <c r="A32" s="106"/>
      <c r="B32" s="77">
        <v>43631</v>
      </c>
      <c r="C32" s="78" t="s">
        <v>5</v>
      </c>
      <c r="D32" s="78" t="s">
        <v>775</v>
      </c>
      <c r="E32" s="78" t="s">
        <v>776</v>
      </c>
      <c r="F32" s="82">
        <v>164.25</v>
      </c>
      <c r="G32" s="80">
        <f t="shared" si="0"/>
        <v>146.65178571428569</v>
      </c>
      <c r="H32" s="80">
        <f t="shared" si="1"/>
        <v>17.598214285714281</v>
      </c>
      <c r="I32" t="s">
        <v>132</v>
      </c>
    </row>
    <row r="33" spans="1:9">
      <c r="A33" s="106"/>
      <c r="B33" s="77">
        <v>43638</v>
      </c>
      <c r="C33" s="78" t="s">
        <v>5</v>
      </c>
      <c r="D33" s="78" t="s">
        <v>777</v>
      </c>
      <c r="E33" s="78" t="s">
        <v>135</v>
      </c>
      <c r="F33" s="82">
        <v>185</v>
      </c>
      <c r="G33" s="80">
        <f t="shared" si="0"/>
        <v>165.17857142857142</v>
      </c>
      <c r="H33" s="80">
        <f t="shared" si="1"/>
        <v>19.821428571428569</v>
      </c>
      <c r="I33" t="s">
        <v>132</v>
      </c>
    </row>
    <row r="34" spans="1:9">
      <c r="A34" s="106"/>
      <c r="B34" s="77">
        <v>43542</v>
      </c>
      <c r="C34" s="78" t="s">
        <v>136</v>
      </c>
      <c r="D34" s="78" t="s">
        <v>778</v>
      </c>
      <c r="E34" s="78" t="s">
        <v>779</v>
      </c>
      <c r="F34" s="79">
        <v>190</v>
      </c>
      <c r="G34" s="80">
        <f t="shared" si="0"/>
        <v>169.64285714285714</v>
      </c>
      <c r="H34" s="80">
        <f t="shared" si="1"/>
        <v>20.357142857142858</v>
      </c>
      <c r="I34" t="s">
        <v>90</v>
      </c>
    </row>
    <row r="35" spans="1:9">
      <c r="A35" s="106"/>
      <c r="B35" s="77">
        <v>43626</v>
      </c>
      <c r="C35" s="78" t="s">
        <v>505</v>
      </c>
      <c r="D35" s="78" t="s">
        <v>780</v>
      </c>
      <c r="E35" s="78" t="s">
        <v>781</v>
      </c>
      <c r="F35" s="82">
        <v>820</v>
      </c>
      <c r="G35" s="80">
        <f t="shared" si="0"/>
        <v>732.14285714285711</v>
      </c>
      <c r="H35" s="80">
        <f t="shared" si="1"/>
        <v>87.857142857142847</v>
      </c>
      <c r="I35" t="s">
        <v>90</v>
      </c>
    </row>
    <row r="36" spans="1:9">
      <c r="A36" s="106"/>
      <c r="B36" s="77">
        <v>43619</v>
      </c>
      <c r="C36" s="78" t="s">
        <v>782</v>
      </c>
      <c r="D36" s="78" t="s">
        <v>783</v>
      </c>
      <c r="E36" s="78" t="s">
        <v>784</v>
      </c>
      <c r="F36" s="82">
        <v>20</v>
      </c>
      <c r="G36" s="80">
        <f t="shared" si="0"/>
        <v>17.857142857142854</v>
      </c>
      <c r="H36" s="80">
        <f t="shared" si="1"/>
        <v>2.1428571428571423</v>
      </c>
      <c r="I36" t="s">
        <v>108</v>
      </c>
    </row>
    <row r="37" spans="1:9">
      <c r="A37" s="106"/>
      <c r="B37" s="77">
        <v>43623</v>
      </c>
      <c r="C37" s="78" t="s">
        <v>785</v>
      </c>
      <c r="D37" s="78" t="s">
        <v>786</v>
      </c>
      <c r="E37" s="78" t="s">
        <v>787</v>
      </c>
      <c r="F37" s="82">
        <v>108</v>
      </c>
      <c r="G37" s="80">
        <f t="shared" si="0"/>
        <v>96.428571428571416</v>
      </c>
      <c r="H37" s="80">
        <f t="shared" si="1"/>
        <v>11.571428571428569</v>
      </c>
      <c r="I37" t="s">
        <v>205</v>
      </c>
    </row>
    <row r="38" spans="1:9">
      <c r="A38" s="106"/>
      <c r="B38" s="77">
        <v>43632</v>
      </c>
      <c r="C38" s="78" t="s">
        <v>785</v>
      </c>
      <c r="D38" s="78" t="s">
        <v>788</v>
      </c>
      <c r="E38" s="78" t="s">
        <v>789</v>
      </c>
      <c r="F38" s="82">
        <v>104.5</v>
      </c>
      <c r="G38" s="80">
        <f t="shared" si="0"/>
        <v>93.303571428571416</v>
      </c>
      <c r="H38" s="80">
        <f t="shared" si="1"/>
        <v>11.196428571428569</v>
      </c>
      <c r="I38" t="s">
        <v>205</v>
      </c>
    </row>
    <row r="39" spans="1:9">
      <c r="A39" s="106"/>
      <c r="B39" s="77">
        <v>43632</v>
      </c>
      <c r="C39" s="78" t="s">
        <v>785</v>
      </c>
      <c r="D39" s="78" t="s">
        <v>788</v>
      </c>
      <c r="E39" s="78" t="s">
        <v>789</v>
      </c>
      <c r="F39" s="82">
        <v>128</v>
      </c>
      <c r="G39" s="80">
        <f t="shared" si="0"/>
        <v>114.28571428571428</v>
      </c>
      <c r="H39" s="80">
        <f t="shared" si="1"/>
        <v>13.714285714285714</v>
      </c>
      <c r="I39" t="s">
        <v>205</v>
      </c>
    </row>
    <row r="40" spans="1:9">
      <c r="A40" s="106"/>
      <c r="B40" s="77">
        <v>43632</v>
      </c>
      <c r="C40" s="78" t="s">
        <v>785</v>
      </c>
      <c r="D40" s="78" t="s">
        <v>788</v>
      </c>
      <c r="E40" s="78" t="s">
        <v>789</v>
      </c>
      <c r="F40" s="82">
        <v>7.95</v>
      </c>
      <c r="G40" s="80">
        <f t="shared" si="0"/>
        <v>7.0982142857142856</v>
      </c>
      <c r="H40" s="80">
        <f t="shared" si="1"/>
        <v>0.85178571428571426</v>
      </c>
      <c r="I40" t="s">
        <v>205</v>
      </c>
    </row>
    <row r="41" spans="1:9">
      <c r="A41" s="106"/>
      <c r="B41" s="77">
        <v>43632</v>
      </c>
      <c r="C41" s="78" t="s">
        <v>785</v>
      </c>
      <c r="D41" s="78" t="s">
        <v>788</v>
      </c>
      <c r="E41" s="78" t="s">
        <v>789</v>
      </c>
      <c r="F41" s="82">
        <v>88.5</v>
      </c>
      <c r="G41" s="80">
        <f t="shared" si="0"/>
        <v>79.017857142857139</v>
      </c>
      <c r="H41" s="80">
        <f t="shared" si="1"/>
        <v>9.4821428571428559</v>
      </c>
      <c r="I41" t="s">
        <v>205</v>
      </c>
    </row>
    <row r="42" spans="1:9">
      <c r="A42" s="106"/>
      <c r="B42" s="77">
        <v>43632</v>
      </c>
      <c r="C42" s="78" t="s">
        <v>785</v>
      </c>
      <c r="D42" s="78" t="s">
        <v>788</v>
      </c>
      <c r="E42" s="78" t="s">
        <v>789</v>
      </c>
      <c r="F42" s="82">
        <v>56.25</v>
      </c>
      <c r="G42" s="80">
        <f t="shared" si="0"/>
        <v>50.223214285714278</v>
      </c>
      <c r="H42" s="80">
        <f t="shared" si="1"/>
        <v>6.0267857142857135</v>
      </c>
      <c r="I42" t="s">
        <v>205</v>
      </c>
    </row>
    <row r="43" spans="1:9">
      <c r="A43" s="106"/>
      <c r="B43" s="77">
        <v>43624</v>
      </c>
      <c r="C43" s="78" t="s">
        <v>790</v>
      </c>
      <c r="D43" s="78" t="s">
        <v>791</v>
      </c>
      <c r="E43" s="78" t="s">
        <v>792</v>
      </c>
      <c r="F43" s="82">
        <v>55</v>
      </c>
      <c r="G43" s="80">
        <f t="shared" si="0"/>
        <v>49.107142857142854</v>
      </c>
      <c r="H43" s="80">
        <f t="shared" si="1"/>
        <v>5.8928571428571423</v>
      </c>
      <c r="I43" t="s">
        <v>108</v>
      </c>
    </row>
    <row r="44" spans="1:9">
      <c r="A44" s="106"/>
      <c r="B44" s="77">
        <v>43641</v>
      </c>
      <c r="C44" s="78" t="s">
        <v>793</v>
      </c>
      <c r="D44" s="78" t="s">
        <v>794</v>
      </c>
      <c r="E44" s="78" t="s">
        <v>795</v>
      </c>
      <c r="F44" s="82">
        <v>420</v>
      </c>
      <c r="G44" s="80">
        <f t="shared" si="0"/>
        <v>374.99999999999994</v>
      </c>
      <c r="H44" s="80">
        <f t="shared" si="1"/>
        <v>44.999999999999993</v>
      </c>
      <c r="I44" t="s">
        <v>90</v>
      </c>
    </row>
    <row r="45" spans="1:9">
      <c r="A45" s="106"/>
      <c r="B45" s="77">
        <v>43623</v>
      </c>
      <c r="C45" s="78" t="s">
        <v>3</v>
      </c>
      <c r="D45" s="78" t="s">
        <v>796</v>
      </c>
      <c r="E45" s="78" t="s">
        <v>797</v>
      </c>
      <c r="F45" s="82">
        <v>7214.01</v>
      </c>
      <c r="G45" s="80">
        <f t="shared" si="0"/>
        <v>6441.0803571428569</v>
      </c>
      <c r="H45" s="80">
        <f t="shared" si="1"/>
        <v>772.92964285714277</v>
      </c>
      <c r="I45" t="s">
        <v>8</v>
      </c>
    </row>
    <row r="46" spans="1:9">
      <c r="A46" s="106"/>
      <c r="B46" s="77">
        <v>43623</v>
      </c>
      <c r="C46" s="78" t="s">
        <v>2</v>
      </c>
      <c r="D46" s="78" t="s">
        <v>796</v>
      </c>
      <c r="E46" s="78" t="s">
        <v>797</v>
      </c>
      <c r="F46" s="82">
        <v>4251.1099999999997</v>
      </c>
      <c r="G46" s="80">
        <f t="shared" si="0"/>
        <v>3795.633928571428</v>
      </c>
      <c r="H46" s="80">
        <f t="shared" si="1"/>
        <v>455.47607142857134</v>
      </c>
      <c r="I46" t="s">
        <v>8</v>
      </c>
    </row>
    <row r="47" spans="1:9">
      <c r="A47" s="106"/>
      <c r="B47" s="77">
        <v>43623</v>
      </c>
      <c r="C47" s="78" t="s">
        <v>3</v>
      </c>
      <c r="D47" s="78" t="s">
        <v>796</v>
      </c>
      <c r="E47" s="78" t="s">
        <v>797</v>
      </c>
      <c r="F47" s="82">
        <v>7214.01</v>
      </c>
      <c r="G47" s="80">
        <f t="shared" si="0"/>
        <v>6441.0803571428569</v>
      </c>
      <c r="H47" s="80">
        <f t="shared" si="1"/>
        <v>772.92964285714277</v>
      </c>
      <c r="I47" t="s">
        <v>8</v>
      </c>
    </row>
    <row r="48" spans="1:9">
      <c r="A48" s="106"/>
      <c r="B48" s="77">
        <v>43646</v>
      </c>
      <c r="C48" s="78" t="s">
        <v>3</v>
      </c>
      <c r="D48" s="78" t="s">
        <v>798</v>
      </c>
      <c r="E48" s="78" t="s">
        <v>799</v>
      </c>
      <c r="F48" s="82">
        <v>680</v>
      </c>
      <c r="G48" s="80">
        <f t="shared" si="0"/>
        <v>607.14285714285711</v>
      </c>
      <c r="H48" s="80">
        <f t="shared" si="1"/>
        <v>72.857142857142847</v>
      </c>
      <c r="I48" t="s">
        <v>8</v>
      </c>
    </row>
    <row r="49" spans="1:9">
      <c r="A49" s="106"/>
      <c r="B49" s="77">
        <v>43628</v>
      </c>
      <c r="C49" s="78" t="s">
        <v>800</v>
      </c>
      <c r="D49" s="84" t="s">
        <v>801</v>
      </c>
      <c r="E49" s="78" t="s">
        <v>802</v>
      </c>
      <c r="F49" s="82">
        <v>390</v>
      </c>
      <c r="G49" s="80">
        <f t="shared" si="0"/>
        <v>348.21428571428567</v>
      </c>
      <c r="H49" s="80">
        <f t="shared" si="1"/>
        <v>41.785714285714278</v>
      </c>
      <c r="I49" t="s">
        <v>205</v>
      </c>
    </row>
    <row r="50" spans="1:9" ht="13.5" customHeight="1">
      <c r="A50" s="106"/>
      <c r="B50" s="77">
        <v>43640</v>
      </c>
      <c r="C50" s="78" t="s">
        <v>751</v>
      </c>
      <c r="D50" s="78" t="s">
        <v>752</v>
      </c>
      <c r="E50" s="78" t="s">
        <v>534</v>
      </c>
      <c r="F50" s="82">
        <v>47625</v>
      </c>
      <c r="G50" s="80">
        <f t="shared" si="0"/>
        <v>42522.321428571428</v>
      </c>
      <c r="H50" s="80">
        <f t="shared" si="1"/>
        <v>5102.6785714285716</v>
      </c>
      <c r="I50" t="s">
        <v>535</v>
      </c>
    </row>
    <row r="51" spans="1:9">
      <c r="B51" s="77">
        <v>43620</v>
      </c>
      <c r="C51" s="78" t="s">
        <v>167</v>
      </c>
      <c r="D51" s="78" t="s">
        <v>803</v>
      </c>
      <c r="E51" s="78" t="s">
        <v>169</v>
      </c>
      <c r="F51" s="82">
        <v>23040</v>
      </c>
      <c r="G51" s="80">
        <f t="shared" si="0"/>
        <v>20571.428571428569</v>
      </c>
      <c r="H51" s="80">
        <f t="shared" si="1"/>
        <v>2468.571428571428</v>
      </c>
      <c r="I51" t="s">
        <v>535</v>
      </c>
    </row>
    <row r="52" spans="1:9">
      <c r="B52" s="77">
        <v>43636</v>
      </c>
      <c r="C52" s="78" t="s">
        <v>167</v>
      </c>
      <c r="D52" s="78" t="s">
        <v>803</v>
      </c>
      <c r="E52" s="78" t="s">
        <v>169</v>
      </c>
      <c r="F52" s="82">
        <v>63360</v>
      </c>
      <c r="G52" s="80">
        <f t="shared" si="0"/>
        <v>56571.428571428565</v>
      </c>
      <c r="H52" s="80">
        <f t="shared" si="1"/>
        <v>6788.5714285714275</v>
      </c>
      <c r="I52" t="s">
        <v>535</v>
      </c>
    </row>
    <row r="53" spans="1:9">
      <c r="B53" s="77">
        <v>43545</v>
      </c>
      <c r="C53" s="78" t="s">
        <v>175</v>
      </c>
      <c r="D53" s="78" t="s">
        <v>176</v>
      </c>
      <c r="E53" s="78" t="s">
        <v>177</v>
      </c>
      <c r="F53" s="79">
        <v>20</v>
      </c>
      <c r="G53" s="80">
        <f t="shared" si="0"/>
        <v>17.857142857142854</v>
      </c>
      <c r="H53" s="80">
        <f t="shared" si="1"/>
        <v>2.1428571428571423</v>
      </c>
      <c r="I53" t="s">
        <v>108</v>
      </c>
    </row>
    <row r="54" spans="1:9">
      <c r="B54" s="77">
        <v>43633</v>
      </c>
      <c r="C54" s="78" t="s">
        <v>804</v>
      </c>
      <c r="D54" s="84" t="s">
        <v>805</v>
      </c>
      <c r="E54" s="78" t="s">
        <v>179</v>
      </c>
      <c r="F54" s="82">
        <v>30</v>
      </c>
      <c r="G54" s="80">
        <f t="shared" si="0"/>
        <v>26.785714285714285</v>
      </c>
      <c r="H54" s="80">
        <f t="shared" si="1"/>
        <v>3.214285714285714</v>
      </c>
      <c r="I54" t="s">
        <v>108</v>
      </c>
    </row>
    <row r="55" spans="1:9">
      <c r="B55" s="77">
        <v>43629</v>
      </c>
      <c r="C55" s="78" t="s">
        <v>804</v>
      </c>
      <c r="D55" s="78" t="s">
        <v>806</v>
      </c>
      <c r="E55" s="78" t="s">
        <v>807</v>
      </c>
      <c r="F55" s="82">
        <v>50</v>
      </c>
      <c r="G55" s="80">
        <f t="shared" si="0"/>
        <v>44.642857142857139</v>
      </c>
      <c r="H55" s="80">
        <f t="shared" si="1"/>
        <v>5.3571428571428568</v>
      </c>
      <c r="I55" t="s">
        <v>108</v>
      </c>
    </row>
    <row r="56" spans="1:9">
      <c r="B56" s="77">
        <v>43539</v>
      </c>
      <c r="C56" s="78" t="s">
        <v>175</v>
      </c>
      <c r="D56" s="78" t="s">
        <v>808</v>
      </c>
      <c r="E56" s="78" t="s">
        <v>809</v>
      </c>
      <c r="F56" s="79">
        <v>80</v>
      </c>
      <c r="G56" s="80">
        <f t="shared" si="0"/>
        <v>71.428571428571416</v>
      </c>
      <c r="H56" s="80">
        <f t="shared" si="1"/>
        <v>8.5714285714285694</v>
      </c>
      <c r="I56" t="s">
        <v>108</v>
      </c>
    </row>
    <row r="57" spans="1:9">
      <c r="B57" s="77">
        <v>43629</v>
      </c>
      <c r="C57" s="78" t="s">
        <v>810</v>
      </c>
      <c r="D57" s="78" t="s">
        <v>811</v>
      </c>
      <c r="E57" s="78" t="s">
        <v>812</v>
      </c>
      <c r="F57" s="82">
        <v>1880</v>
      </c>
      <c r="G57" s="80">
        <f t="shared" si="0"/>
        <v>1678.5714285714284</v>
      </c>
      <c r="H57" s="80">
        <f t="shared" si="1"/>
        <v>201.42857142857142</v>
      </c>
      <c r="I57" t="s">
        <v>205</v>
      </c>
    </row>
    <row r="58" spans="1:9">
      <c r="B58" s="77">
        <v>43629</v>
      </c>
      <c r="C58" s="78" t="s">
        <v>810</v>
      </c>
      <c r="D58" s="78" t="s">
        <v>811</v>
      </c>
      <c r="E58" s="78" t="s">
        <v>812</v>
      </c>
      <c r="F58" s="82">
        <v>450</v>
      </c>
      <c r="G58" s="80">
        <f t="shared" si="0"/>
        <v>401.78571428571422</v>
      </c>
      <c r="H58" s="80">
        <f t="shared" si="1"/>
        <v>48.214285714285708</v>
      </c>
      <c r="I58" t="s">
        <v>205</v>
      </c>
    </row>
    <row r="59" spans="1:9">
      <c r="B59" s="77">
        <v>43644</v>
      </c>
      <c r="C59" s="78" t="s">
        <v>813</v>
      </c>
      <c r="D59" s="78" t="s">
        <v>814</v>
      </c>
      <c r="E59" s="78" t="s">
        <v>815</v>
      </c>
      <c r="F59" s="82">
        <v>319.25</v>
      </c>
      <c r="G59" s="80">
        <f t="shared" si="0"/>
        <v>285.04464285714283</v>
      </c>
      <c r="H59" s="80">
        <f t="shared" si="1"/>
        <v>34.205357142857139</v>
      </c>
      <c r="I59" t="s">
        <v>387</v>
      </c>
    </row>
    <row r="60" spans="1:9">
      <c r="B60" s="77">
        <v>43633</v>
      </c>
      <c r="C60" s="78" t="s">
        <v>813</v>
      </c>
      <c r="D60" s="84" t="s">
        <v>816</v>
      </c>
      <c r="E60" s="78" t="s">
        <v>817</v>
      </c>
      <c r="F60" s="82">
        <v>972.98</v>
      </c>
      <c r="G60" s="80">
        <f t="shared" si="0"/>
        <v>868.73214285714278</v>
      </c>
      <c r="H60" s="80">
        <f t="shared" si="1"/>
        <v>104.24785714285713</v>
      </c>
      <c r="I60" t="s">
        <v>387</v>
      </c>
    </row>
    <row r="61" spans="1:9">
      <c r="B61" s="77">
        <v>43620</v>
      </c>
      <c r="C61" s="78" t="s">
        <v>818</v>
      </c>
      <c r="D61" s="78" t="s">
        <v>819</v>
      </c>
      <c r="E61" s="78" t="s">
        <v>820</v>
      </c>
      <c r="F61" s="82">
        <v>60806</v>
      </c>
      <c r="G61" s="80">
        <f t="shared" si="0"/>
        <v>54291.07142857142</v>
      </c>
      <c r="H61" s="80">
        <f t="shared" si="1"/>
        <v>6514.9285714285697</v>
      </c>
      <c r="I61" t="s">
        <v>535</v>
      </c>
    </row>
    <row r="62" spans="1:9">
      <c r="B62" s="77">
        <v>43643</v>
      </c>
      <c r="C62" s="78" t="s">
        <v>6</v>
      </c>
      <c r="D62" s="84" t="s">
        <v>821</v>
      </c>
      <c r="E62" s="78" t="s">
        <v>185</v>
      </c>
      <c r="F62" s="82">
        <v>84</v>
      </c>
      <c r="G62" s="80">
        <f t="shared" si="0"/>
        <v>74.999999999999986</v>
      </c>
      <c r="H62" s="80">
        <f t="shared" si="1"/>
        <v>8.9999999999999982</v>
      </c>
      <c r="I62" t="s">
        <v>108</v>
      </c>
    </row>
    <row r="63" spans="1:9">
      <c r="B63" s="77">
        <v>43643</v>
      </c>
      <c r="C63" s="78" t="s">
        <v>6</v>
      </c>
      <c r="D63" s="78" t="s">
        <v>822</v>
      </c>
      <c r="E63" s="78" t="s">
        <v>823</v>
      </c>
      <c r="F63" s="82">
        <v>84</v>
      </c>
      <c r="G63" s="80">
        <f t="shared" si="0"/>
        <v>74.999999999999986</v>
      </c>
      <c r="H63" s="80">
        <f t="shared" si="1"/>
        <v>8.9999999999999982</v>
      </c>
      <c r="I63" t="s">
        <v>108</v>
      </c>
    </row>
    <row r="64" spans="1:9">
      <c r="B64" s="77">
        <v>43629</v>
      </c>
      <c r="C64" s="78" t="s">
        <v>824</v>
      </c>
      <c r="D64" s="78" t="s">
        <v>825</v>
      </c>
      <c r="E64" s="78" t="s">
        <v>826</v>
      </c>
      <c r="F64" s="82">
        <v>95</v>
      </c>
      <c r="G64" s="80">
        <f t="shared" si="0"/>
        <v>84.821428571428569</v>
      </c>
      <c r="H64" s="80">
        <f t="shared" si="1"/>
        <v>10.178571428571429</v>
      </c>
      <c r="I64" t="s">
        <v>108</v>
      </c>
    </row>
    <row r="65" spans="2:9">
      <c r="B65" s="77">
        <v>43623</v>
      </c>
      <c r="C65" s="78" t="s">
        <v>192</v>
      </c>
      <c r="D65" s="78" t="s">
        <v>193</v>
      </c>
      <c r="E65" s="78" t="s">
        <v>194</v>
      </c>
      <c r="F65" s="82">
        <v>346</v>
      </c>
      <c r="G65" s="80">
        <f t="shared" si="0"/>
        <v>308.92857142857139</v>
      </c>
      <c r="H65" s="80">
        <f t="shared" si="1"/>
        <v>37.071428571428562</v>
      </c>
      <c r="I65" t="s">
        <v>108</v>
      </c>
    </row>
    <row r="66" spans="2:9">
      <c r="B66" s="77">
        <v>43624</v>
      </c>
      <c r="C66" s="78" t="s">
        <v>192</v>
      </c>
      <c r="D66" s="78" t="s">
        <v>193</v>
      </c>
      <c r="E66" s="78" t="s">
        <v>194</v>
      </c>
      <c r="F66" s="82">
        <v>54</v>
      </c>
      <c r="G66" s="80">
        <f t="shared" si="0"/>
        <v>48.214285714285708</v>
      </c>
      <c r="H66" s="80">
        <f t="shared" si="1"/>
        <v>5.7857142857142847</v>
      </c>
      <c r="I66" t="s">
        <v>108</v>
      </c>
    </row>
    <row r="67" spans="2:9">
      <c r="B67" s="77">
        <v>43625</v>
      </c>
      <c r="C67" s="78" t="s">
        <v>827</v>
      </c>
      <c r="D67" s="78" t="s">
        <v>193</v>
      </c>
      <c r="E67" s="78" t="s">
        <v>194</v>
      </c>
      <c r="F67" s="82">
        <v>292</v>
      </c>
      <c r="G67" s="80">
        <f t="shared" si="0"/>
        <v>260.71428571428567</v>
      </c>
      <c r="H67" s="80">
        <f t="shared" si="1"/>
        <v>31.285714285714278</v>
      </c>
      <c r="I67" t="s">
        <v>108</v>
      </c>
    </row>
    <row r="68" spans="2:9" ht="14.25" customHeight="1">
      <c r="B68" s="77">
        <v>43625</v>
      </c>
      <c r="C68" s="78" t="s">
        <v>827</v>
      </c>
      <c r="D68" s="78" t="s">
        <v>193</v>
      </c>
      <c r="E68" s="78" t="s">
        <v>194</v>
      </c>
      <c r="F68" s="82">
        <v>346</v>
      </c>
      <c r="G68" s="80">
        <f t="shared" ref="G68:G131" si="2">F68/1.12</f>
        <v>308.92857142857139</v>
      </c>
      <c r="H68" s="80">
        <f t="shared" ref="H68:H131" si="3">G68*0.12</f>
        <v>37.071428571428562</v>
      </c>
      <c r="I68" t="s">
        <v>108</v>
      </c>
    </row>
    <row r="69" spans="2:9" ht="14.25" customHeight="1">
      <c r="B69" s="77">
        <v>43625</v>
      </c>
      <c r="C69" s="78" t="s">
        <v>827</v>
      </c>
      <c r="D69" s="78" t="s">
        <v>193</v>
      </c>
      <c r="E69" s="78" t="s">
        <v>194</v>
      </c>
      <c r="F69" s="82">
        <v>54</v>
      </c>
      <c r="G69" s="80">
        <f t="shared" si="2"/>
        <v>48.214285714285708</v>
      </c>
      <c r="H69" s="80">
        <f t="shared" si="3"/>
        <v>5.7857142857142847</v>
      </c>
      <c r="I69" t="s">
        <v>108</v>
      </c>
    </row>
    <row r="70" spans="2:9" ht="14.25" customHeight="1">
      <c r="B70" s="77">
        <v>43642</v>
      </c>
      <c r="C70" s="78" t="s">
        <v>192</v>
      </c>
      <c r="D70" s="78" t="s">
        <v>193</v>
      </c>
      <c r="E70" s="78" t="s">
        <v>194</v>
      </c>
      <c r="F70" s="82">
        <v>364</v>
      </c>
      <c r="G70" s="80">
        <f t="shared" si="2"/>
        <v>324.99999999999994</v>
      </c>
      <c r="H70" s="80">
        <f t="shared" si="3"/>
        <v>38.999999999999993</v>
      </c>
      <c r="I70" t="s">
        <v>108</v>
      </c>
    </row>
    <row r="71" spans="2:9">
      <c r="B71" s="77">
        <v>43539</v>
      </c>
      <c r="C71" s="78" t="s">
        <v>192</v>
      </c>
      <c r="D71" s="78" t="s">
        <v>195</v>
      </c>
      <c r="E71" s="78" t="s">
        <v>196</v>
      </c>
      <c r="F71" s="79">
        <v>45</v>
      </c>
      <c r="G71" s="80">
        <f t="shared" si="2"/>
        <v>40.178571428571423</v>
      </c>
      <c r="H71" s="80">
        <f t="shared" si="3"/>
        <v>4.8214285714285703</v>
      </c>
      <c r="I71" t="s">
        <v>108</v>
      </c>
    </row>
    <row r="72" spans="2:9">
      <c r="B72" s="77">
        <v>43545</v>
      </c>
      <c r="C72" s="78" t="s">
        <v>192</v>
      </c>
      <c r="D72" s="78" t="s">
        <v>195</v>
      </c>
      <c r="E72" s="78" t="s">
        <v>196</v>
      </c>
      <c r="F72" s="79">
        <v>54</v>
      </c>
      <c r="G72" s="80">
        <f t="shared" si="2"/>
        <v>48.214285714285708</v>
      </c>
      <c r="H72" s="80">
        <f t="shared" si="3"/>
        <v>5.7857142857142847</v>
      </c>
      <c r="I72" t="s">
        <v>108</v>
      </c>
    </row>
    <row r="73" spans="2:9">
      <c r="B73" s="77">
        <v>43643</v>
      </c>
      <c r="C73" s="78" t="s">
        <v>192</v>
      </c>
      <c r="D73" s="78" t="s">
        <v>193</v>
      </c>
      <c r="E73" s="78" t="s">
        <v>828</v>
      </c>
      <c r="F73" s="82">
        <v>54</v>
      </c>
      <c r="G73" s="80">
        <f t="shared" si="2"/>
        <v>48.214285714285708</v>
      </c>
      <c r="H73" s="80">
        <f t="shared" si="3"/>
        <v>5.7857142857142847</v>
      </c>
      <c r="I73" t="s">
        <v>108</v>
      </c>
    </row>
    <row r="74" spans="2:9">
      <c r="B74" s="77">
        <v>43640</v>
      </c>
      <c r="C74" s="78" t="s">
        <v>192</v>
      </c>
      <c r="D74" s="78" t="s">
        <v>193</v>
      </c>
      <c r="E74" s="78" t="s">
        <v>829</v>
      </c>
      <c r="F74" s="82">
        <v>54</v>
      </c>
      <c r="G74" s="80">
        <f t="shared" si="2"/>
        <v>48.214285714285708</v>
      </c>
      <c r="H74" s="80">
        <f t="shared" si="3"/>
        <v>5.7857142857142847</v>
      </c>
      <c r="I74" t="s">
        <v>108</v>
      </c>
    </row>
    <row r="75" spans="2:9">
      <c r="B75" s="77">
        <v>43627</v>
      </c>
      <c r="C75" s="78" t="s">
        <v>827</v>
      </c>
      <c r="D75" s="78" t="s">
        <v>193</v>
      </c>
      <c r="E75" s="78" t="s">
        <v>199</v>
      </c>
      <c r="F75" s="82">
        <v>72</v>
      </c>
      <c r="G75" s="80">
        <f t="shared" si="2"/>
        <v>64.285714285714278</v>
      </c>
      <c r="H75" s="80">
        <f t="shared" si="3"/>
        <v>7.7142857142857126</v>
      </c>
      <c r="I75" t="s">
        <v>108</v>
      </c>
    </row>
    <row r="76" spans="2:9">
      <c r="B76" s="77">
        <v>43627</v>
      </c>
      <c r="C76" s="78" t="s">
        <v>192</v>
      </c>
      <c r="D76" s="78" t="s">
        <v>193</v>
      </c>
      <c r="E76" s="78" t="s">
        <v>199</v>
      </c>
      <c r="F76" s="82">
        <v>54</v>
      </c>
      <c r="G76" s="80">
        <f t="shared" si="2"/>
        <v>48.214285714285708</v>
      </c>
      <c r="H76" s="80">
        <f t="shared" si="3"/>
        <v>5.7857142857142847</v>
      </c>
      <c r="I76" t="s">
        <v>108</v>
      </c>
    </row>
    <row r="77" spans="2:9">
      <c r="B77" s="77">
        <v>43627</v>
      </c>
      <c r="C77" s="78" t="s">
        <v>192</v>
      </c>
      <c r="D77" s="78" t="s">
        <v>193</v>
      </c>
      <c r="E77" s="78" t="s">
        <v>199</v>
      </c>
      <c r="F77" s="82">
        <v>203</v>
      </c>
      <c r="G77" s="80">
        <f t="shared" si="2"/>
        <v>181.24999999999997</v>
      </c>
      <c r="H77" s="80">
        <f t="shared" si="3"/>
        <v>21.749999999999996</v>
      </c>
      <c r="I77" t="s">
        <v>108</v>
      </c>
    </row>
    <row r="78" spans="2:9">
      <c r="B78" s="77">
        <v>43627</v>
      </c>
      <c r="C78" s="78" t="s">
        <v>192</v>
      </c>
      <c r="D78" s="78" t="s">
        <v>193</v>
      </c>
      <c r="E78" s="78" t="s">
        <v>199</v>
      </c>
      <c r="F78" s="82">
        <v>346</v>
      </c>
      <c r="G78" s="80">
        <f t="shared" si="2"/>
        <v>308.92857142857139</v>
      </c>
      <c r="H78" s="80">
        <f t="shared" si="3"/>
        <v>37.071428571428562</v>
      </c>
      <c r="I78" t="s">
        <v>108</v>
      </c>
    </row>
    <row r="79" spans="2:9">
      <c r="B79" s="77">
        <v>43633</v>
      </c>
      <c r="C79" s="78" t="s">
        <v>192</v>
      </c>
      <c r="D79" s="78" t="s">
        <v>193</v>
      </c>
      <c r="E79" s="78" t="s">
        <v>199</v>
      </c>
      <c r="F79" s="82">
        <v>54</v>
      </c>
      <c r="G79" s="80">
        <f t="shared" si="2"/>
        <v>48.214285714285708</v>
      </c>
      <c r="H79" s="80">
        <f t="shared" si="3"/>
        <v>5.7857142857142847</v>
      </c>
      <c r="I79" t="s">
        <v>108</v>
      </c>
    </row>
    <row r="80" spans="2:9">
      <c r="B80" s="77">
        <v>43642</v>
      </c>
      <c r="C80" s="78" t="s">
        <v>192</v>
      </c>
      <c r="D80" s="78" t="s">
        <v>193</v>
      </c>
      <c r="E80" s="78" t="s">
        <v>199</v>
      </c>
      <c r="F80" s="82">
        <v>54</v>
      </c>
      <c r="G80" s="80">
        <f t="shared" si="2"/>
        <v>48.214285714285708</v>
      </c>
      <c r="H80" s="80">
        <f t="shared" si="3"/>
        <v>5.7857142857142847</v>
      </c>
      <c r="I80" t="s">
        <v>108</v>
      </c>
    </row>
    <row r="81" spans="2:9">
      <c r="B81" s="77">
        <v>43642</v>
      </c>
      <c r="C81" s="78" t="s">
        <v>192</v>
      </c>
      <c r="D81" s="78" t="s">
        <v>193</v>
      </c>
      <c r="E81" s="78" t="s">
        <v>199</v>
      </c>
      <c r="F81" s="82">
        <v>310</v>
      </c>
      <c r="G81" s="80">
        <f t="shared" si="2"/>
        <v>276.78571428571428</v>
      </c>
      <c r="H81" s="80">
        <f t="shared" si="3"/>
        <v>33.214285714285715</v>
      </c>
      <c r="I81" t="s">
        <v>108</v>
      </c>
    </row>
    <row r="82" spans="2:9">
      <c r="B82" s="77">
        <v>43643</v>
      </c>
      <c r="C82" s="78" t="s">
        <v>192</v>
      </c>
      <c r="D82" s="78" t="s">
        <v>193</v>
      </c>
      <c r="E82" s="78" t="s">
        <v>199</v>
      </c>
      <c r="F82" s="82">
        <v>54</v>
      </c>
      <c r="G82" s="80">
        <f t="shared" si="2"/>
        <v>48.214285714285708</v>
      </c>
      <c r="H82" s="80">
        <f t="shared" si="3"/>
        <v>5.7857142857142847</v>
      </c>
      <c r="I82" t="s">
        <v>108</v>
      </c>
    </row>
    <row r="83" spans="2:9">
      <c r="B83" s="77">
        <v>43625</v>
      </c>
      <c r="C83" s="78" t="s">
        <v>192</v>
      </c>
      <c r="D83" s="78" t="s">
        <v>193</v>
      </c>
      <c r="E83" s="78" t="s">
        <v>556</v>
      </c>
      <c r="F83" s="82">
        <v>292</v>
      </c>
      <c r="G83" s="80">
        <f t="shared" si="2"/>
        <v>260.71428571428567</v>
      </c>
      <c r="H83" s="80">
        <f t="shared" si="3"/>
        <v>31.285714285714278</v>
      </c>
      <c r="I83" t="s">
        <v>108</v>
      </c>
    </row>
    <row r="84" spans="2:9">
      <c r="B84" s="77">
        <v>43619</v>
      </c>
      <c r="C84" s="78" t="s">
        <v>200</v>
      </c>
      <c r="D84" s="78" t="s">
        <v>830</v>
      </c>
      <c r="E84" s="78" t="s">
        <v>202</v>
      </c>
      <c r="F84" s="82">
        <v>319</v>
      </c>
      <c r="G84" s="80">
        <f t="shared" si="2"/>
        <v>284.82142857142856</v>
      </c>
      <c r="H84" s="80">
        <f t="shared" si="3"/>
        <v>34.178571428571423</v>
      </c>
      <c r="I84" t="s">
        <v>90</v>
      </c>
    </row>
    <row r="85" spans="2:9">
      <c r="B85" s="77">
        <v>43628</v>
      </c>
      <c r="C85" s="78" t="s">
        <v>200</v>
      </c>
      <c r="D85" s="78" t="s">
        <v>201</v>
      </c>
      <c r="E85" s="78" t="s">
        <v>202</v>
      </c>
      <c r="F85" s="82">
        <v>145</v>
      </c>
      <c r="G85" s="80">
        <f t="shared" si="2"/>
        <v>129.46428571428569</v>
      </c>
      <c r="H85" s="80">
        <f t="shared" si="3"/>
        <v>15.535714285714283</v>
      </c>
      <c r="I85" t="s">
        <v>90</v>
      </c>
    </row>
    <row r="86" spans="2:9">
      <c r="B86" s="77">
        <v>43629</v>
      </c>
      <c r="C86" s="78" t="s">
        <v>200</v>
      </c>
      <c r="D86" s="78" t="s">
        <v>201</v>
      </c>
      <c r="E86" s="78" t="s">
        <v>202</v>
      </c>
      <c r="F86" s="82">
        <v>174</v>
      </c>
      <c r="G86" s="80">
        <f t="shared" si="2"/>
        <v>155.35714285714283</v>
      </c>
      <c r="H86" s="80">
        <f t="shared" si="3"/>
        <v>18.642857142857139</v>
      </c>
      <c r="I86" t="s">
        <v>90</v>
      </c>
    </row>
    <row r="87" spans="2:9">
      <c r="B87" s="77">
        <v>43619</v>
      </c>
      <c r="C87" s="78" t="s">
        <v>200</v>
      </c>
      <c r="D87" s="78" t="s">
        <v>831</v>
      </c>
      <c r="E87" s="78" t="s">
        <v>832</v>
      </c>
      <c r="F87" s="82">
        <v>319</v>
      </c>
      <c r="G87" s="80">
        <f t="shared" si="2"/>
        <v>284.82142857142856</v>
      </c>
      <c r="H87" s="80">
        <f t="shared" si="3"/>
        <v>34.178571428571423</v>
      </c>
      <c r="I87" t="s">
        <v>90</v>
      </c>
    </row>
    <row r="88" spans="2:9">
      <c r="B88" s="77">
        <v>43637</v>
      </c>
      <c r="C88" s="78" t="s">
        <v>200</v>
      </c>
      <c r="D88" s="78" t="s">
        <v>833</v>
      </c>
      <c r="E88" s="78" t="s">
        <v>834</v>
      </c>
      <c r="F88" s="82">
        <v>478</v>
      </c>
      <c r="G88" s="80">
        <f t="shared" si="2"/>
        <v>426.78571428571422</v>
      </c>
      <c r="H88" s="80">
        <f t="shared" si="3"/>
        <v>51.214285714285701</v>
      </c>
      <c r="I88" t="s">
        <v>90</v>
      </c>
    </row>
    <row r="89" spans="2:9">
      <c r="B89" s="77">
        <v>43642</v>
      </c>
      <c r="C89" s="78" t="s">
        <v>835</v>
      </c>
      <c r="D89" s="78" t="s">
        <v>836</v>
      </c>
      <c r="E89" s="78" t="s">
        <v>837</v>
      </c>
      <c r="F89" s="82">
        <v>495</v>
      </c>
      <c r="G89" s="80">
        <f t="shared" si="2"/>
        <v>441.96428571428567</v>
      </c>
      <c r="H89" s="80">
        <f t="shared" si="3"/>
        <v>53.035714285714278</v>
      </c>
      <c r="I89" t="s">
        <v>90</v>
      </c>
    </row>
    <row r="90" spans="2:9">
      <c r="B90" s="77">
        <v>43624</v>
      </c>
      <c r="C90" s="78" t="s">
        <v>838</v>
      </c>
      <c r="D90" s="78" t="s">
        <v>839</v>
      </c>
      <c r="E90" s="78" t="s">
        <v>840</v>
      </c>
      <c r="F90" s="82">
        <v>225</v>
      </c>
      <c r="G90" s="80">
        <f t="shared" si="2"/>
        <v>200.89285714285711</v>
      </c>
      <c r="H90" s="80">
        <f t="shared" si="3"/>
        <v>24.107142857142854</v>
      </c>
      <c r="I90" t="s">
        <v>90</v>
      </c>
    </row>
    <row r="91" spans="2:9">
      <c r="B91" s="77">
        <v>43624</v>
      </c>
      <c r="C91" s="78" t="s">
        <v>838</v>
      </c>
      <c r="D91" s="78" t="s">
        <v>839</v>
      </c>
      <c r="E91" s="78" t="s">
        <v>840</v>
      </c>
      <c r="F91" s="82">
        <v>225</v>
      </c>
      <c r="G91" s="80">
        <f t="shared" si="2"/>
        <v>200.89285714285711</v>
      </c>
      <c r="H91" s="80">
        <f t="shared" si="3"/>
        <v>24.107142857142854</v>
      </c>
      <c r="I91" t="s">
        <v>90</v>
      </c>
    </row>
    <row r="92" spans="2:9">
      <c r="B92" s="77">
        <v>43618</v>
      </c>
      <c r="C92" s="78" t="s">
        <v>841</v>
      </c>
      <c r="D92" s="78" t="s">
        <v>842</v>
      </c>
      <c r="E92" s="78" t="s">
        <v>843</v>
      </c>
      <c r="F92" s="82">
        <v>166</v>
      </c>
      <c r="G92" s="80">
        <f t="shared" si="2"/>
        <v>148.21428571428569</v>
      </c>
      <c r="H92" s="80">
        <f t="shared" si="3"/>
        <v>17.785714285714281</v>
      </c>
      <c r="I92" t="s">
        <v>90</v>
      </c>
    </row>
    <row r="93" spans="2:9">
      <c r="B93" s="77">
        <v>43625</v>
      </c>
      <c r="C93" s="78" t="s">
        <v>844</v>
      </c>
      <c r="D93" s="78" t="s">
        <v>845</v>
      </c>
      <c r="E93" s="78" t="s">
        <v>846</v>
      </c>
      <c r="F93" s="82">
        <v>1000</v>
      </c>
      <c r="G93" s="80">
        <f t="shared" si="2"/>
        <v>892.85714285714278</v>
      </c>
      <c r="H93" s="80">
        <f t="shared" si="3"/>
        <v>107.14285714285712</v>
      </c>
      <c r="I93" t="s">
        <v>308</v>
      </c>
    </row>
    <row r="94" spans="2:9">
      <c r="B94" s="77">
        <v>43623</v>
      </c>
      <c r="C94" s="78" t="s">
        <v>238</v>
      </c>
      <c r="D94" s="78" t="s">
        <v>847</v>
      </c>
      <c r="E94" s="78" t="s">
        <v>240</v>
      </c>
      <c r="F94" s="82">
        <v>285</v>
      </c>
      <c r="G94" s="80">
        <f t="shared" si="2"/>
        <v>254.46428571428569</v>
      </c>
      <c r="H94" s="80">
        <f t="shared" si="3"/>
        <v>30.535714285714281</v>
      </c>
      <c r="I94" t="s">
        <v>90</v>
      </c>
    </row>
    <row r="95" spans="2:9">
      <c r="B95" s="77">
        <v>43623</v>
      </c>
      <c r="C95" s="78" t="s">
        <v>238</v>
      </c>
      <c r="D95" s="78" t="s">
        <v>847</v>
      </c>
      <c r="E95" s="78" t="s">
        <v>240</v>
      </c>
      <c r="F95" s="82">
        <v>285</v>
      </c>
      <c r="G95" s="80">
        <f t="shared" si="2"/>
        <v>254.46428571428569</v>
      </c>
      <c r="H95" s="80">
        <f t="shared" si="3"/>
        <v>30.535714285714281</v>
      </c>
      <c r="I95" t="s">
        <v>90</v>
      </c>
    </row>
    <row r="96" spans="2:9">
      <c r="B96" s="77">
        <v>43641</v>
      </c>
      <c r="C96" s="78" t="s">
        <v>848</v>
      </c>
      <c r="D96" s="78" t="s">
        <v>849</v>
      </c>
      <c r="E96" s="78" t="s">
        <v>850</v>
      </c>
      <c r="F96" s="82">
        <v>299</v>
      </c>
      <c r="G96" s="80">
        <f t="shared" si="2"/>
        <v>266.96428571428567</v>
      </c>
      <c r="H96" s="80">
        <f t="shared" si="3"/>
        <v>32.035714285714278</v>
      </c>
      <c r="I96" t="s">
        <v>90</v>
      </c>
    </row>
    <row r="97" spans="2:9">
      <c r="B97" s="77">
        <v>43637</v>
      </c>
      <c r="C97" s="78" t="s">
        <v>851</v>
      </c>
      <c r="D97" s="78" t="s">
        <v>63</v>
      </c>
      <c r="E97" s="78" t="s">
        <v>852</v>
      </c>
      <c r="F97" s="82">
        <v>990</v>
      </c>
      <c r="G97" s="80">
        <f t="shared" si="2"/>
        <v>883.92857142857133</v>
      </c>
      <c r="H97" s="80">
        <f t="shared" si="3"/>
        <v>106.07142857142856</v>
      </c>
      <c r="I97" t="s">
        <v>205</v>
      </c>
    </row>
    <row r="98" spans="2:9">
      <c r="B98" s="77">
        <v>43631</v>
      </c>
      <c r="C98" s="78" t="s">
        <v>853</v>
      </c>
      <c r="D98" s="78" t="s">
        <v>854</v>
      </c>
      <c r="E98" s="78" t="s">
        <v>855</v>
      </c>
      <c r="F98" s="82">
        <v>94</v>
      </c>
      <c r="G98" s="80">
        <f t="shared" si="2"/>
        <v>83.928571428571416</v>
      </c>
      <c r="H98" s="80">
        <f t="shared" si="3"/>
        <v>10.071428571428569</v>
      </c>
      <c r="I98" t="s">
        <v>90</v>
      </c>
    </row>
    <row r="99" spans="2:9">
      <c r="B99" s="77">
        <v>43623</v>
      </c>
      <c r="C99" s="78" t="s">
        <v>856</v>
      </c>
      <c r="D99" s="78" t="s">
        <v>857</v>
      </c>
      <c r="E99" s="78" t="s">
        <v>858</v>
      </c>
      <c r="F99" s="82">
        <v>393</v>
      </c>
      <c r="G99" s="80">
        <f t="shared" si="2"/>
        <v>350.89285714285711</v>
      </c>
      <c r="H99" s="80">
        <f t="shared" si="3"/>
        <v>42.107142857142854</v>
      </c>
      <c r="I99" t="s">
        <v>90</v>
      </c>
    </row>
    <row r="100" spans="2:9">
      <c r="B100" s="77">
        <v>43626</v>
      </c>
      <c r="C100" s="78" t="s">
        <v>859</v>
      </c>
      <c r="D100" s="78" t="s">
        <v>816</v>
      </c>
      <c r="E100" s="78" t="s">
        <v>860</v>
      </c>
      <c r="F100" s="82">
        <v>321</v>
      </c>
      <c r="G100" s="80">
        <f t="shared" si="2"/>
        <v>286.60714285714283</v>
      </c>
      <c r="H100" s="80">
        <f t="shared" si="3"/>
        <v>34.392857142857139</v>
      </c>
      <c r="I100" t="s">
        <v>90</v>
      </c>
    </row>
    <row r="101" spans="2:9">
      <c r="B101" s="77">
        <v>43629</v>
      </c>
      <c r="C101" s="78" t="s">
        <v>861</v>
      </c>
      <c r="D101" s="78" t="s">
        <v>862</v>
      </c>
      <c r="E101" s="78" t="s">
        <v>863</v>
      </c>
      <c r="F101" s="82">
        <v>8368</v>
      </c>
      <c r="G101" s="80">
        <f t="shared" si="2"/>
        <v>7471.4285714285706</v>
      </c>
      <c r="H101" s="80">
        <f t="shared" si="3"/>
        <v>896.57142857142844</v>
      </c>
      <c r="I101" t="s">
        <v>64</v>
      </c>
    </row>
    <row r="102" spans="2:9">
      <c r="B102" s="77">
        <v>43619</v>
      </c>
      <c r="C102" s="78" t="s">
        <v>864</v>
      </c>
      <c r="D102" s="78" t="s">
        <v>865</v>
      </c>
      <c r="E102" s="78" t="s">
        <v>866</v>
      </c>
      <c r="F102" s="82">
        <v>75</v>
      </c>
      <c r="G102" s="80">
        <f t="shared" si="2"/>
        <v>66.964285714285708</v>
      </c>
      <c r="H102" s="80">
        <f t="shared" si="3"/>
        <v>8.0357142857142847</v>
      </c>
      <c r="I102" t="s">
        <v>90</v>
      </c>
    </row>
    <row r="103" spans="2:9">
      <c r="B103" s="77">
        <v>43631</v>
      </c>
      <c r="C103" s="78" t="s">
        <v>864</v>
      </c>
      <c r="D103" s="78" t="s">
        <v>865</v>
      </c>
      <c r="E103" s="78" t="s">
        <v>866</v>
      </c>
      <c r="F103" s="82">
        <v>180</v>
      </c>
      <c r="G103" s="80">
        <f t="shared" si="2"/>
        <v>160.71428571428569</v>
      </c>
      <c r="H103" s="80">
        <f t="shared" si="3"/>
        <v>19.285714285714281</v>
      </c>
      <c r="I103" t="s">
        <v>90</v>
      </c>
    </row>
    <row r="104" spans="2:9">
      <c r="B104" s="77">
        <v>43633</v>
      </c>
      <c r="C104" s="78" t="s">
        <v>574</v>
      </c>
      <c r="D104" s="84" t="s">
        <v>867</v>
      </c>
      <c r="E104" s="78" t="s">
        <v>576</v>
      </c>
      <c r="F104" s="82">
        <v>8726.32</v>
      </c>
      <c r="G104" s="80">
        <f t="shared" si="2"/>
        <v>7791.3571428571422</v>
      </c>
      <c r="H104" s="80">
        <f t="shared" si="3"/>
        <v>934.96285714285705</v>
      </c>
      <c r="I104" t="s">
        <v>535</v>
      </c>
    </row>
    <row r="105" spans="2:9">
      <c r="B105" s="77">
        <v>43545</v>
      </c>
      <c r="C105" s="78" t="s">
        <v>868</v>
      </c>
      <c r="D105" s="78" t="s">
        <v>869</v>
      </c>
      <c r="E105" s="78" t="s">
        <v>252</v>
      </c>
      <c r="F105" s="79">
        <v>355</v>
      </c>
      <c r="G105" s="80">
        <f t="shared" si="2"/>
        <v>316.96428571428567</v>
      </c>
      <c r="H105" s="80">
        <f t="shared" si="3"/>
        <v>38.035714285714278</v>
      </c>
      <c r="I105" t="s">
        <v>90</v>
      </c>
    </row>
    <row r="106" spans="2:9">
      <c r="B106" s="77">
        <v>43631</v>
      </c>
      <c r="C106" s="78" t="s">
        <v>870</v>
      </c>
      <c r="D106" s="78" t="s">
        <v>871</v>
      </c>
      <c r="E106" s="78" t="s">
        <v>586</v>
      </c>
      <c r="F106" s="82">
        <v>225</v>
      </c>
      <c r="G106" s="80">
        <f t="shared" si="2"/>
        <v>200.89285714285711</v>
      </c>
      <c r="H106" s="80">
        <f t="shared" si="3"/>
        <v>24.107142857142854</v>
      </c>
      <c r="I106" t="s">
        <v>90</v>
      </c>
    </row>
    <row r="107" spans="2:9">
      <c r="B107" s="77">
        <v>43540</v>
      </c>
      <c r="C107" s="78" t="s">
        <v>584</v>
      </c>
      <c r="D107" s="78" t="s">
        <v>214</v>
      </c>
      <c r="E107" s="78" t="s">
        <v>586</v>
      </c>
      <c r="F107" s="79">
        <v>680</v>
      </c>
      <c r="G107" s="80">
        <f t="shared" si="2"/>
        <v>607.14285714285711</v>
      </c>
      <c r="H107" s="80">
        <f t="shared" si="3"/>
        <v>72.857142857142847</v>
      </c>
      <c r="I107" t="s">
        <v>90</v>
      </c>
    </row>
    <row r="108" spans="2:9">
      <c r="B108" s="77">
        <v>43624</v>
      </c>
      <c r="C108" s="78" t="s">
        <v>872</v>
      </c>
      <c r="D108" s="107" t="s">
        <v>873</v>
      </c>
      <c r="E108" s="78" t="s">
        <v>874</v>
      </c>
      <c r="F108" s="82">
        <v>11460</v>
      </c>
      <c r="G108" s="80">
        <f t="shared" si="2"/>
        <v>10232.142857142857</v>
      </c>
      <c r="H108" s="80">
        <f t="shared" si="3"/>
        <v>1227.8571428571429</v>
      </c>
      <c r="I108" t="s">
        <v>535</v>
      </c>
    </row>
    <row r="109" spans="2:9">
      <c r="B109" s="77">
        <v>43620</v>
      </c>
      <c r="C109" s="78" t="s">
        <v>875</v>
      </c>
      <c r="D109" s="78" t="s">
        <v>876</v>
      </c>
      <c r="E109" s="78" t="s">
        <v>877</v>
      </c>
      <c r="F109" s="82">
        <v>323</v>
      </c>
      <c r="G109" s="80">
        <f t="shared" si="2"/>
        <v>288.39285714285711</v>
      </c>
      <c r="H109" s="80">
        <f t="shared" si="3"/>
        <v>34.607142857142854</v>
      </c>
      <c r="I109" t="s">
        <v>90</v>
      </c>
    </row>
    <row r="110" spans="2:9">
      <c r="B110" s="77">
        <v>43638</v>
      </c>
      <c r="C110" s="78" t="s">
        <v>878</v>
      </c>
      <c r="D110" s="78" t="s">
        <v>879</v>
      </c>
      <c r="E110" s="78" t="s">
        <v>880</v>
      </c>
      <c r="F110" s="82">
        <v>10</v>
      </c>
      <c r="G110" s="80">
        <f t="shared" si="2"/>
        <v>8.928571428571427</v>
      </c>
      <c r="H110" s="80">
        <f t="shared" si="3"/>
        <v>1.0714285714285712</v>
      </c>
      <c r="I110" t="s">
        <v>90</v>
      </c>
    </row>
    <row r="111" spans="2:9">
      <c r="B111" s="77">
        <v>43627</v>
      </c>
      <c r="C111" s="78" t="s">
        <v>289</v>
      </c>
      <c r="D111" s="78" t="s">
        <v>881</v>
      </c>
      <c r="E111" s="78" t="s">
        <v>288</v>
      </c>
      <c r="F111" s="82">
        <v>369</v>
      </c>
      <c r="G111" s="80">
        <f t="shared" si="2"/>
        <v>329.46428571428567</v>
      </c>
      <c r="H111" s="80">
        <f t="shared" si="3"/>
        <v>39.535714285714278</v>
      </c>
      <c r="I111" t="s">
        <v>90</v>
      </c>
    </row>
    <row r="112" spans="2:9">
      <c r="B112" s="77">
        <v>43641</v>
      </c>
      <c r="C112" s="78" t="s">
        <v>882</v>
      </c>
      <c r="D112" s="78" t="s">
        <v>883</v>
      </c>
      <c r="E112" s="78" t="s">
        <v>304</v>
      </c>
      <c r="F112" s="82">
        <v>1500</v>
      </c>
      <c r="G112" s="80">
        <f t="shared" si="2"/>
        <v>1339.2857142857142</v>
      </c>
      <c r="H112" s="80">
        <f t="shared" si="3"/>
        <v>160.71428571428569</v>
      </c>
      <c r="I112" t="s">
        <v>132</v>
      </c>
    </row>
    <row r="113" spans="2:9">
      <c r="B113" s="77">
        <v>43626</v>
      </c>
      <c r="C113" s="78" t="s">
        <v>884</v>
      </c>
      <c r="D113" s="78" t="s">
        <v>885</v>
      </c>
      <c r="E113" s="78" t="s">
        <v>886</v>
      </c>
      <c r="F113" s="82">
        <v>820</v>
      </c>
      <c r="G113" s="80">
        <f t="shared" si="2"/>
        <v>732.14285714285711</v>
      </c>
      <c r="H113" s="80">
        <f t="shared" si="3"/>
        <v>87.857142857142847</v>
      </c>
      <c r="I113" t="s">
        <v>205</v>
      </c>
    </row>
    <row r="114" spans="2:9">
      <c r="B114" s="77">
        <v>43621</v>
      </c>
      <c r="C114" s="78" t="s">
        <v>887</v>
      </c>
      <c r="D114" s="78" t="s">
        <v>888</v>
      </c>
      <c r="E114" s="78" t="s">
        <v>607</v>
      </c>
      <c r="F114" s="82">
        <v>1500</v>
      </c>
      <c r="G114" s="80">
        <f t="shared" si="2"/>
        <v>1339.2857142857142</v>
      </c>
      <c r="H114" s="80">
        <f t="shared" si="3"/>
        <v>160.71428571428569</v>
      </c>
      <c r="I114" t="s">
        <v>205</v>
      </c>
    </row>
    <row r="115" spans="2:9">
      <c r="B115" s="77">
        <v>43621</v>
      </c>
      <c r="C115" s="78" t="s">
        <v>884</v>
      </c>
      <c r="D115" s="78" t="s">
        <v>888</v>
      </c>
      <c r="E115" s="78" t="s">
        <v>607</v>
      </c>
      <c r="F115" s="82">
        <v>1500</v>
      </c>
      <c r="G115" s="80">
        <f t="shared" si="2"/>
        <v>1339.2857142857142</v>
      </c>
      <c r="H115" s="80">
        <f t="shared" si="3"/>
        <v>160.71428571428569</v>
      </c>
      <c r="I115" t="s">
        <v>205</v>
      </c>
    </row>
    <row r="116" spans="2:9">
      <c r="B116" s="77">
        <v>43541</v>
      </c>
      <c r="C116" s="78" t="s">
        <v>889</v>
      </c>
      <c r="D116" s="78" t="s">
        <v>890</v>
      </c>
      <c r="E116" s="78" t="s">
        <v>891</v>
      </c>
      <c r="F116" s="79">
        <v>110</v>
      </c>
      <c r="G116" s="80">
        <f t="shared" si="2"/>
        <v>98.214285714285708</v>
      </c>
      <c r="H116" s="80">
        <f t="shared" si="3"/>
        <v>11.785714285714285</v>
      </c>
      <c r="I116" t="s">
        <v>205</v>
      </c>
    </row>
    <row r="117" spans="2:9">
      <c r="B117" s="77">
        <v>43645</v>
      </c>
      <c r="C117" s="78" t="s">
        <v>892</v>
      </c>
      <c r="D117" s="78" t="s">
        <v>893</v>
      </c>
      <c r="E117" s="78" t="s">
        <v>894</v>
      </c>
      <c r="F117" s="82">
        <v>1000</v>
      </c>
      <c r="G117" s="80">
        <f t="shared" si="2"/>
        <v>892.85714285714278</v>
      </c>
      <c r="H117" s="80">
        <f t="shared" si="3"/>
        <v>107.14285714285712</v>
      </c>
      <c r="I117" t="s">
        <v>308</v>
      </c>
    </row>
    <row r="118" spans="2:9">
      <c r="B118" s="77">
        <v>43539</v>
      </c>
      <c r="C118" s="78" t="s">
        <v>895</v>
      </c>
      <c r="D118" s="78" t="s">
        <v>896</v>
      </c>
      <c r="E118" s="78" t="s">
        <v>309</v>
      </c>
      <c r="F118" s="79">
        <v>1000</v>
      </c>
      <c r="G118" s="80">
        <f t="shared" si="2"/>
        <v>892.85714285714278</v>
      </c>
      <c r="H118" s="80">
        <f t="shared" si="3"/>
        <v>107.14285714285712</v>
      </c>
      <c r="I118" t="s">
        <v>308</v>
      </c>
    </row>
    <row r="119" spans="2:9">
      <c r="B119" s="77">
        <v>43621</v>
      </c>
      <c r="C119" s="78" t="s">
        <v>897</v>
      </c>
      <c r="D119" s="84" t="s">
        <v>898</v>
      </c>
      <c r="E119" s="78" t="s">
        <v>899</v>
      </c>
      <c r="F119" s="82">
        <v>119</v>
      </c>
      <c r="G119" s="80">
        <f t="shared" si="2"/>
        <v>106.24999999999999</v>
      </c>
      <c r="H119" s="80">
        <f t="shared" si="3"/>
        <v>12.749999999999998</v>
      </c>
      <c r="I119" t="s">
        <v>205</v>
      </c>
    </row>
    <row r="120" spans="2:9">
      <c r="B120" s="108">
        <v>43645</v>
      </c>
      <c r="C120" s="78" t="s">
        <v>900</v>
      </c>
      <c r="D120" s="78" t="s">
        <v>901</v>
      </c>
      <c r="E120" s="78" t="s">
        <v>902</v>
      </c>
      <c r="F120" s="82">
        <v>124</v>
      </c>
      <c r="G120" s="80">
        <f t="shared" si="2"/>
        <v>110.71428571428571</v>
      </c>
      <c r="H120" s="80">
        <f t="shared" si="3"/>
        <v>13.285714285714285</v>
      </c>
      <c r="I120" t="s">
        <v>205</v>
      </c>
    </row>
    <row r="121" spans="2:9">
      <c r="B121" s="77">
        <v>43632</v>
      </c>
      <c r="C121" s="78" t="s">
        <v>903</v>
      </c>
      <c r="D121" s="78" t="s">
        <v>904</v>
      </c>
      <c r="E121" s="78" t="s">
        <v>905</v>
      </c>
      <c r="F121" s="82">
        <v>2206</v>
      </c>
      <c r="G121" s="80">
        <f t="shared" si="2"/>
        <v>1969.6428571428569</v>
      </c>
      <c r="H121" s="80">
        <f t="shared" si="3"/>
        <v>236.3571428571428</v>
      </c>
      <c r="I121" t="s">
        <v>90</v>
      </c>
    </row>
    <row r="122" spans="2:9">
      <c r="B122" s="77">
        <v>43623</v>
      </c>
      <c r="C122" s="78" t="s">
        <v>3</v>
      </c>
      <c r="D122" s="78" t="s">
        <v>796</v>
      </c>
      <c r="E122" s="78" t="s">
        <v>906</v>
      </c>
      <c r="F122" s="82">
        <v>4251.1099999999997</v>
      </c>
      <c r="G122" s="80">
        <f t="shared" si="2"/>
        <v>3795.633928571428</v>
      </c>
      <c r="H122" s="80">
        <f t="shared" si="3"/>
        <v>455.47607142857134</v>
      </c>
      <c r="I122" t="s">
        <v>8</v>
      </c>
    </row>
    <row r="123" spans="2:9">
      <c r="B123" s="77">
        <v>43618</v>
      </c>
      <c r="C123" s="78" t="s">
        <v>907</v>
      </c>
      <c r="D123" s="78" t="s">
        <v>908</v>
      </c>
      <c r="E123" s="78" t="s">
        <v>909</v>
      </c>
      <c r="F123" s="82">
        <v>62</v>
      </c>
      <c r="G123" s="80">
        <f t="shared" si="2"/>
        <v>55.357142857142854</v>
      </c>
      <c r="H123" s="80">
        <f t="shared" si="3"/>
        <v>6.6428571428571423</v>
      </c>
      <c r="I123" t="s">
        <v>7</v>
      </c>
    </row>
    <row r="124" spans="2:9">
      <c r="B124" s="77">
        <v>43627</v>
      </c>
      <c r="C124" s="78" t="s">
        <v>910</v>
      </c>
      <c r="D124" s="78" t="s">
        <v>911</v>
      </c>
      <c r="E124" s="78" t="s">
        <v>912</v>
      </c>
      <c r="F124" s="82">
        <v>1120</v>
      </c>
      <c r="G124" s="80">
        <f t="shared" si="2"/>
        <v>999.99999999999989</v>
      </c>
      <c r="H124" s="80">
        <f t="shared" si="3"/>
        <v>119.99999999999999</v>
      </c>
      <c r="I124" t="s">
        <v>7</v>
      </c>
    </row>
    <row r="125" spans="2:9">
      <c r="B125" s="77">
        <v>43627</v>
      </c>
      <c r="C125" s="78" t="s">
        <v>913</v>
      </c>
      <c r="D125" s="78" t="s">
        <v>911</v>
      </c>
      <c r="E125" s="78" t="s">
        <v>912</v>
      </c>
      <c r="F125" s="82">
        <v>1120</v>
      </c>
      <c r="G125" s="80">
        <f t="shared" si="2"/>
        <v>999.99999999999989</v>
      </c>
      <c r="H125" s="80">
        <f t="shared" si="3"/>
        <v>119.99999999999999</v>
      </c>
      <c r="I125" t="s">
        <v>7</v>
      </c>
    </row>
    <row r="126" spans="2:9">
      <c r="B126" s="77">
        <v>43631</v>
      </c>
      <c r="C126" s="109" t="s">
        <v>913</v>
      </c>
      <c r="D126" s="78" t="s">
        <v>914</v>
      </c>
      <c r="E126" s="78" t="s">
        <v>912</v>
      </c>
      <c r="F126" s="82">
        <v>1200</v>
      </c>
      <c r="G126" s="80">
        <f t="shared" si="2"/>
        <v>1071.4285714285713</v>
      </c>
      <c r="H126" s="80">
        <f t="shared" si="3"/>
        <v>128.57142857142856</v>
      </c>
      <c r="I126" t="s">
        <v>7</v>
      </c>
    </row>
    <row r="127" spans="2:9">
      <c r="B127" s="77">
        <v>43644</v>
      </c>
      <c r="C127" s="78" t="s">
        <v>915</v>
      </c>
      <c r="D127" s="78" t="s">
        <v>916</v>
      </c>
      <c r="E127" s="78" t="s">
        <v>917</v>
      </c>
      <c r="F127" s="82">
        <v>4930</v>
      </c>
      <c r="G127" s="80">
        <f t="shared" si="2"/>
        <v>4401.7857142857138</v>
      </c>
      <c r="H127" s="80">
        <f t="shared" si="3"/>
        <v>528.21428571428567</v>
      </c>
      <c r="I127" t="s">
        <v>535</v>
      </c>
    </row>
    <row r="128" spans="2:9">
      <c r="B128" s="77">
        <v>43625</v>
      </c>
      <c r="C128" s="78" t="s">
        <v>337</v>
      </c>
      <c r="D128" s="78" t="s">
        <v>845</v>
      </c>
      <c r="E128" s="78" t="s">
        <v>918</v>
      </c>
      <c r="F128" s="82">
        <v>1000</v>
      </c>
      <c r="G128" s="80">
        <f t="shared" si="2"/>
        <v>892.85714285714278</v>
      </c>
      <c r="H128" s="80">
        <f t="shared" si="3"/>
        <v>107.14285714285712</v>
      </c>
      <c r="I128" t="s">
        <v>308</v>
      </c>
    </row>
    <row r="129" spans="2:9">
      <c r="B129" s="77">
        <v>43627</v>
      </c>
      <c r="C129" s="78" t="s">
        <v>919</v>
      </c>
      <c r="D129" s="78" t="s">
        <v>920</v>
      </c>
      <c r="E129" s="78" t="s">
        <v>921</v>
      </c>
      <c r="F129" s="82">
        <v>1000</v>
      </c>
      <c r="G129" s="80">
        <f t="shared" si="2"/>
        <v>892.85714285714278</v>
      </c>
      <c r="H129" s="80">
        <f t="shared" si="3"/>
        <v>107.14285714285712</v>
      </c>
      <c r="I129" t="s">
        <v>308</v>
      </c>
    </row>
    <row r="130" spans="2:9">
      <c r="B130" s="77">
        <v>43624</v>
      </c>
      <c r="C130" s="78" t="s">
        <v>922</v>
      </c>
      <c r="D130" s="78" t="s">
        <v>923</v>
      </c>
      <c r="E130" s="78" t="s">
        <v>634</v>
      </c>
      <c r="F130" s="82">
        <v>1000</v>
      </c>
      <c r="G130" s="80">
        <f t="shared" si="2"/>
        <v>892.85714285714278</v>
      </c>
      <c r="H130" s="80">
        <f t="shared" si="3"/>
        <v>107.14285714285712</v>
      </c>
      <c r="I130" t="s">
        <v>308</v>
      </c>
    </row>
    <row r="131" spans="2:9">
      <c r="B131" s="77">
        <v>43640</v>
      </c>
      <c r="C131" s="78" t="s">
        <v>360</v>
      </c>
      <c r="D131" s="78" t="s">
        <v>923</v>
      </c>
      <c r="E131" s="78" t="s">
        <v>359</v>
      </c>
      <c r="F131" s="82">
        <v>1000</v>
      </c>
      <c r="G131" s="80">
        <f t="shared" si="2"/>
        <v>892.85714285714278</v>
      </c>
      <c r="H131" s="80">
        <f t="shared" si="3"/>
        <v>107.14285714285712</v>
      </c>
      <c r="I131" t="s">
        <v>308</v>
      </c>
    </row>
    <row r="132" spans="2:9">
      <c r="B132" s="77">
        <v>43540</v>
      </c>
      <c r="C132" s="78" t="s">
        <v>360</v>
      </c>
      <c r="D132" s="78" t="s">
        <v>361</v>
      </c>
      <c r="E132" s="78" t="s">
        <v>359</v>
      </c>
      <c r="F132" s="79">
        <v>1000</v>
      </c>
      <c r="G132" s="80">
        <f t="shared" ref="G132:G195" si="4">F132/1.12</f>
        <v>892.85714285714278</v>
      </c>
      <c r="H132" s="80">
        <f t="shared" ref="H132:H195" si="5">G132*0.12</f>
        <v>107.14285714285712</v>
      </c>
      <c r="I132" t="s">
        <v>308</v>
      </c>
    </row>
    <row r="133" spans="2:9">
      <c r="B133" s="77">
        <v>43620</v>
      </c>
      <c r="C133" s="78" t="s">
        <v>924</v>
      </c>
      <c r="D133" s="78" t="s">
        <v>925</v>
      </c>
      <c r="E133" s="78" t="s">
        <v>926</v>
      </c>
      <c r="F133" s="82">
        <v>158</v>
      </c>
      <c r="G133" s="80">
        <f t="shared" si="4"/>
        <v>141.07142857142856</v>
      </c>
      <c r="H133" s="80">
        <f t="shared" si="5"/>
        <v>16.928571428571427</v>
      </c>
      <c r="I133" t="s">
        <v>90</v>
      </c>
    </row>
    <row r="134" spans="2:9">
      <c r="B134" s="77">
        <v>43622</v>
      </c>
      <c r="C134" s="78" t="s">
        <v>370</v>
      </c>
      <c r="D134" s="78" t="s">
        <v>927</v>
      </c>
      <c r="E134" s="78" t="s">
        <v>372</v>
      </c>
      <c r="F134" s="82">
        <v>77060</v>
      </c>
      <c r="G134" s="80">
        <f t="shared" si="4"/>
        <v>68803.57142857142</v>
      </c>
      <c r="H134" s="80">
        <f t="shared" si="5"/>
        <v>8256.4285714285706</v>
      </c>
      <c r="I134" t="s">
        <v>535</v>
      </c>
    </row>
    <row r="135" spans="2:9">
      <c r="B135" s="77">
        <v>43625</v>
      </c>
      <c r="C135" s="78" t="s">
        <v>370</v>
      </c>
      <c r="D135" s="78" t="s">
        <v>927</v>
      </c>
      <c r="E135" s="78" t="s">
        <v>372</v>
      </c>
      <c r="F135" s="82">
        <v>5240</v>
      </c>
      <c r="G135" s="80">
        <f t="shared" si="4"/>
        <v>4678.5714285714284</v>
      </c>
      <c r="H135" s="80">
        <f t="shared" si="5"/>
        <v>561.42857142857144</v>
      </c>
      <c r="I135" t="s">
        <v>535</v>
      </c>
    </row>
    <row r="136" spans="2:9">
      <c r="B136" s="77">
        <v>43545</v>
      </c>
      <c r="C136" s="78" t="s">
        <v>378</v>
      </c>
      <c r="D136" s="78" t="s">
        <v>176</v>
      </c>
      <c r="E136" s="78" t="s">
        <v>928</v>
      </c>
      <c r="F136" s="79">
        <v>1285.5</v>
      </c>
      <c r="G136" s="80">
        <f t="shared" si="4"/>
        <v>1147.7678571428571</v>
      </c>
      <c r="H136" s="80">
        <f t="shared" si="5"/>
        <v>137.73214285714286</v>
      </c>
      <c r="I136" t="s">
        <v>7</v>
      </c>
    </row>
    <row r="137" spans="2:9">
      <c r="B137" s="77">
        <v>43626</v>
      </c>
      <c r="C137" s="78" t="s">
        <v>378</v>
      </c>
      <c r="D137" s="78" t="s">
        <v>929</v>
      </c>
      <c r="E137" s="78" t="s">
        <v>930</v>
      </c>
      <c r="F137" s="82">
        <v>278</v>
      </c>
      <c r="G137" s="80">
        <f t="shared" si="4"/>
        <v>248.21428571428569</v>
      </c>
      <c r="H137" s="80">
        <f t="shared" si="5"/>
        <v>29.785714285714281</v>
      </c>
      <c r="I137" t="s">
        <v>7</v>
      </c>
    </row>
    <row r="138" spans="2:9">
      <c r="B138" s="77">
        <v>43630</v>
      </c>
      <c r="C138" s="78" t="s">
        <v>378</v>
      </c>
      <c r="D138" s="78" t="s">
        <v>931</v>
      </c>
      <c r="E138" s="78" t="s">
        <v>932</v>
      </c>
      <c r="F138" s="82">
        <v>10325.950000000001</v>
      </c>
      <c r="G138" s="80">
        <f t="shared" si="4"/>
        <v>9219.5982142857138</v>
      </c>
      <c r="H138" s="80">
        <f t="shared" si="5"/>
        <v>1106.3517857142856</v>
      </c>
      <c r="I138" t="s">
        <v>535</v>
      </c>
    </row>
    <row r="139" spans="2:9">
      <c r="B139" s="77">
        <v>43617</v>
      </c>
      <c r="C139" s="78" t="s">
        <v>378</v>
      </c>
      <c r="D139" s="78" t="s">
        <v>379</v>
      </c>
      <c r="E139" s="78" t="s">
        <v>380</v>
      </c>
      <c r="F139" s="82">
        <v>800.5</v>
      </c>
      <c r="G139" s="80">
        <f t="shared" si="4"/>
        <v>714.73214285714278</v>
      </c>
      <c r="H139" s="80">
        <f t="shared" si="5"/>
        <v>85.767857142857125</v>
      </c>
      <c r="I139" t="s">
        <v>7</v>
      </c>
    </row>
    <row r="140" spans="2:9">
      <c r="B140" s="77">
        <v>43641</v>
      </c>
      <c r="C140" s="78" t="s">
        <v>933</v>
      </c>
      <c r="D140" s="78" t="s">
        <v>934</v>
      </c>
      <c r="E140" s="78" t="s">
        <v>935</v>
      </c>
      <c r="F140" s="82">
        <v>320</v>
      </c>
      <c r="G140" s="80">
        <f t="shared" si="4"/>
        <v>285.71428571428567</v>
      </c>
      <c r="H140" s="80">
        <f t="shared" si="5"/>
        <v>34.285714285714278</v>
      </c>
      <c r="I140" t="s">
        <v>7</v>
      </c>
    </row>
    <row r="141" spans="2:9">
      <c r="B141" s="77">
        <v>43644</v>
      </c>
      <c r="C141" s="78" t="s">
        <v>936</v>
      </c>
      <c r="D141" s="78" t="s">
        <v>937</v>
      </c>
      <c r="E141" s="78" t="s">
        <v>938</v>
      </c>
      <c r="F141" s="82">
        <v>250</v>
      </c>
      <c r="G141" s="80">
        <f t="shared" si="4"/>
        <v>223.21428571428569</v>
      </c>
      <c r="H141" s="80">
        <f t="shared" si="5"/>
        <v>26.785714285714281</v>
      </c>
      <c r="I141" t="s">
        <v>7</v>
      </c>
    </row>
    <row r="142" spans="2:9">
      <c r="B142" s="77">
        <v>43620</v>
      </c>
      <c r="C142" s="78" t="s">
        <v>393</v>
      </c>
      <c r="D142" s="78" t="s">
        <v>394</v>
      </c>
      <c r="E142" s="78" t="s">
        <v>395</v>
      </c>
      <c r="F142" s="82">
        <v>1000</v>
      </c>
      <c r="G142" s="80">
        <f t="shared" si="4"/>
        <v>892.85714285714278</v>
      </c>
      <c r="H142" s="80">
        <f t="shared" si="5"/>
        <v>107.14285714285712</v>
      </c>
      <c r="I142" t="s">
        <v>308</v>
      </c>
    </row>
    <row r="143" spans="2:9" ht="13.5" customHeight="1">
      <c r="B143" s="77">
        <v>43622</v>
      </c>
      <c r="C143" s="78" t="s">
        <v>393</v>
      </c>
      <c r="D143" s="78" t="s">
        <v>394</v>
      </c>
      <c r="E143" s="78" t="s">
        <v>395</v>
      </c>
      <c r="F143" s="82">
        <v>500</v>
      </c>
      <c r="G143" s="80">
        <f t="shared" si="4"/>
        <v>446.42857142857139</v>
      </c>
      <c r="H143" s="80">
        <f t="shared" si="5"/>
        <v>53.571428571428562</v>
      </c>
      <c r="I143" t="s">
        <v>308</v>
      </c>
    </row>
    <row r="144" spans="2:9" ht="13.5" customHeight="1">
      <c r="B144" s="77">
        <v>43643</v>
      </c>
      <c r="C144" s="78" t="s">
        <v>393</v>
      </c>
      <c r="D144" s="78" t="s">
        <v>939</v>
      </c>
      <c r="E144" s="78" t="s">
        <v>395</v>
      </c>
      <c r="F144" s="82">
        <v>1000</v>
      </c>
      <c r="G144" s="80">
        <f t="shared" si="4"/>
        <v>892.85714285714278</v>
      </c>
      <c r="H144" s="80">
        <f t="shared" si="5"/>
        <v>107.14285714285712</v>
      </c>
      <c r="I144" t="s">
        <v>308</v>
      </c>
    </row>
    <row r="145" spans="2:9" ht="13.5" customHeight="1">
      <c r="B145" s="77">
        <v>43624</v>
      </c>
      <c r="C145" s="78" t="s">
        <v>69</v>
      </c>
      <c r="D145" s="78" t="s">
        <v>940</v>
      </c>
      <c r="E145" s="78" t="s">
        <v>398</v>
      </c>
      <c r="F145" s="82">
        <v>193</v>
      </c>
      <c r="G145" s="80">
        <f t="shared" si="4"/>
        <v>172.32142857142856</v>
      </c>
      <c r="H145" s="80">
        <f t="shared" si="5"/>
        <v>20.678571428571427</v>
      </c>
      <c r="I145" t="s">
        <v>108</v>
      </c>
    </row>
    <row r="146" spans="2:9" ht="13.5" customHeight="1">
      <c r="B146" s="77">
        <v>43544</v>
      </c>
      <c r="C146" s="78" t="s">
        <v>69</v>
      </c>
      <c r="D146" s="78" t="s">
        <v>397</v>
      </c>
      <c r="E146" s="78" t="s">
        <v>398</v>
      </c>
      <c r="F146" s="79">
        <v>19</v>
      </c>
      <c r="G146" s="80">
        <f t="shared" si="4"/>
        <v>16.964285714285712</v>
      </c>
      <c r="H146" s="80">
        <f t="shared" si="5"/>
        <v>2.0357142857142851</v>
      </c>
      <c r="I146" t="s">
        <v>108</v>
      </c>
    </row>
    <row r="147" spans="2:9">
      <c r="B147" s="77">
        <v>43544</v>
      </c>
      <c r="C147" s="78" t="s">
        <v>69</v>
      </c>
      <c r="D147" s="78" t="s">
        <v>397</v>
      </c>
      <c r="E147" s="78" t="s">
        <v>398</v>
      </c>
      <c r="F147" s="79">
        <v>19</v>
      </c>
      <c r="G147" s="80">
        <f t="shared" si="4"/>
        <v>16.964285714285712</v>
      </c>
      <c r="H147" s="80">
        <f t="shared" si="5"/>
        <v>2.0357142857142851</v>
      </c>
      <c r="I147" t="s">
        <v>108</v>
      </c>
    </row>
    <row r="148" spans="2:9">
      <c r="B148" s="77">
        <v>43544</v>
      </c>
      <c r="C148" s="78" t="s">
        <v>69</v>
      </c>
      <c r="D148" s="78" t="s">
        <v>397</v>
      </c>
      <c r="E148" s="78" t="s">
        <v>398</v>
      </c>
      <c r="F148" s="79">
        <v>19</v>
      </c>
      <c r="G148" s="80">
        <f t="shared" si="4"/>
        <v>16.964285714285712</v>
      </c>
      <c r="H148" s="80">
        <f t="shared" si="5"/>
        <v>2.0357142857142851</v>
      </c>
      <c r="I148" t="s">
        <v>108</v>
      </c>
    </row>
    <row r="149" spans="2:9">
      <c r="B149" s="77">
        <v>43544</v>
      </c>
      <c r="C149" s="78" t="s">
        <v>69</v>
      </c>
      <c r="D149" s="78" t="s">
        <v>397</v>
      </c>
      <c r="E149" s="78" t="s">
        <v>398</v>
      </c>
      <c r="F149" s="79">
        <v>19</v>
      </c>
      <c r="G149" s="80">
        <f t="shared" si="4"/>
        <v>16.964285714285712</v>
      </c>
      <c r="H149" s="80">
        <f t="shared" si="5"/>
        <v>2.0357142857142851</v>
      </c>
      <c r="I149" t="s">
        <v>108</v>
      </c>
    </row>
    <row r="150" spans="2:9">
      <c r="B150" s="77">
        <v>43622</v>
      </c>
      <c r="C150" s="78" t="s">
        <v>941</v>
      </c>
      <c r="D150" s="78" t="s">
        <v>942</v>
      </c>
      <c r="E150" s="78" t="s">
        <v>943</v>
      </c>
      <c r="F150" s="82">
        <v>4560</v>
      </c>
      <c r="G150" s="80">
        <f t="shared" si="4"/>
        <v>4071.4285714285711</v>
      </c>
      <c r="H150" s="80">
        <f t="shared" si="5"/>
        <v>488.5714285714285</v>
      </c>
      <c r="I150" t="s">
        <v>535</v>
      </c>
    </row>
    <row r="151" spans="2:9">
      <c r="B151" s="77">
        <v>43641</v>
      </c>
      <c r="C151" s="78" t="s">
        <v>944</v>
      </c>
      <c r="D151" s="78" t="s">
        <v>945</v>
      </c>
      <c r="E151" s="78" t="s">
        <v>946</v>
      </c>
      <c r="F151" s="82">
        <v>1000</v>
      </c>
      <c r="G151" s="80">
        <f t="shared" si="4"/>
        <v>892.85714285714278</v>
      </c>
      <c r="H151" s="80">
        <f t="shared" si="5"/>
        <v>107.14285714285712</v>
      </c>
      <c r="I151" t="s">
        <v>308</v>
      </c>
    </row>
    <row r="152" spans="2:9" ht="14.25" customHeight="1">
      <c r="B152" s="77">
        <v>43525</v>
      </c>
      <c r="C152" s="78" t="s">
        <v>947</v>
      </c>
      <c r="D152" s="78" t="s">
        <v>948</v>
      </c>
      <c r="E152" s="78" t="s">
        <v>946</v>
      </c>
      <c r="F152" s="79">
        <v>1000</v>
      </c>
      <c r="G152" s="80">
        <f t="shared" si="4"/>
        <v>892.85714285714278</v>
      </c>
      <c r="H152" s="80">
        <f t="shared" si="5"/>
        <v>107.14285714285712</v>
      </c>
      <c r="I152" t="s">
        <v>308</v>
      </c>
    </row>
    <row r="153" spans="2:9" ht="14.25" customHeight="1">
      <c r="B153" s="77">
        <v>43625</v>
      </c>
      <c r="C153" s="78" t="s">
        <v>949</v>
      </c>
      <c r="D153" s="78" t="s">
        <v>950</v>
      </c>
      <c r="E153" s="78" t="s">
        <v>951</v>
      </c>
      <c r="F153" s="82">
        <v>55</v>
      </c>
      <c r="G153" s="80">
        <f t="shared" si="4"/>
        <v>49.107142857142854</v>
      </c>
      <c r="H153" s="80">
        <f t="shared" si="5"/>
        <v>5.8928571428571423</v>
      </c>
      <c r="I153" t="s">
        <v>108</v>
      </c>
    </row>
    <row r="154" spans="2:9" ht="14.25" customHeight="1">
      <c r="B154" s="77">
        <v>43625</v>
      </c>
      <c r="C154" s="78" t="s">
        <v>949</v>
      </c>
      <c r="D154" s="78" t="s">
        <v>952</v>
      </c>
      <c r="E154" s="78" t="s">
        <v>951</v>
      </c>
      <c r="F154" s="82">
        <v>55</v>
      </c>
      <c r="G154" s="80">
        <f t="shared" si="4"/>
        <v>49.107142857142854</v>
      </c>
      <c r="H154" s="80">
        <f t="shared" si="5"/>
        <v>5.8928571428571423</v>
      </c>
      <c r="I154" t="s">
        <v>108</v>
      </c>
    </row>
    <row r="155" spans="2:9" ht="14.25" customHeight="1">
      <c r="B155" s="77">
        <v>43622</v>
      </c>
      <c r="C155" s="78" t="s">
        <v>953</v>
      </c>
      <c r="D155" s="78" t="s">
        <v>954</v>
      </c>
      <c r="E155" s="78" t="s">
        <v>955</v>
      </c>
      <c r="F155" s="82">
        <v>3950</v>
      </c>
      <c r="G155" s="80">
        <f t="shared" si="4"/>
        <v>3526.7857142857138</v>
      </c>
      <c r="H155" s="80">
        <f t="shared" si="5"/>
        <v>423.21428571428561</v>
      </c>
      <c r="I155" t="s">
        <v>956</v>
      </c>
    </row>
    <row r="156" spans="2:9" ht="14.25" customHeight="1">
      <c r="B156" s="77">
        <v>43629</v>
      </c>
      <c r="C156" s="78" t="s">
        <v>957</v>
      </c>
      <c r="D156" s="78" t="s">
        <v>958</v>
      </c>
      <c r="E156" s="78" t="s">
        <v>959</v>
      </c>
      <c r="F156" s="82">
        <v>79</v>
      </c>
      <c r="G156" s="80">
        <f t="shared" si="4"/>
        <v>70.535714285714278</v>
      </c>
      <c r="H156" s="80">
        <f t="shared" si="5"/>
        <v>8.4642857142857135</v>
      </c>
      <c r="I156" t="s">
        <v>90</v>
      </c>
    </row>
    <row r="157" spans="2:9" ht="14.25" customHeight="1">
      <c r="B157" s="77">
        <v>43642</v>
      </c>
      <c r="C157" s="78" t="s">
        <v>960</v>
      </c>
      <c r="D157" s="78" t="s">
        <v>961</v>
      </c>
      <c r="E157" s="78" t="s">
        <v>416</v>
      </c>
      <c r="F157" s="82">
        <v>500</v>
      </c>
      <c r="G157" s="80">
        <f t="shared" si="4"/>
        <v>446.42857142857139</v>
      </c>
      <c r="H157" s="80">
        <f t="shared" si="5"/>
        <v>53.571428571428562</v>
      </c>
      <c r="I157" t="s">
        <v>308</v>
      </c>
    </row>
    <row r="158" spans="2:9" ht="14.25" customHeight="1">
      <c r="B158" s="77">
        <v>43622</v>
      </c>
      <c r="C158" s="78" t="s">
        <v>337</v>
      </c>
      <c r="D158" s="78" t="s">
        <v>962</v>
      </c>
      <c r="E158" s="78" t="s">
        <v>421</v>
      </c>
      <c r="F158" s="82">
        <v>500</v>
      </c>
      <c r="G158" s="80">
        <f t="shared" si="4"/>
        <v>446.42857142857139</v>
      </c>
      <c r="H158" s="80">
        <f t="shared" si="5"/>
        <v>53.571428571428562</v>
      </c>
      <c r="I158" t="s">
        <v>308</v>
      </c>
    </row>
    <row r="159" spans="2:9">
      <c r="B159" s="77">
        <v>43622</v>
      </c>
      <c r="C159" s="78" t="s">
        <v>75</v>
      </c>
      <c r="D159" s="78" t="s">
        <v>963</v>
      </c>
      <c r="E159" s="78" t="s">
        <v>964</v>
      </c>
      <c r="F159" s="82">
        <v>500</v>
      </c>
      <c r="G159" s="80">
        <f t="shared" si="4"/>
        <v>446.42857142857139</v>
      </c>
      <c r="H159" s="80">
        <f t="shared" si="5"/>
        <v>53.571428571428562</v>
      </c>
      <c r="I159" t="s">
        <v>308</v>
      </c>
    </row>
    <row r="160" spans="2:9">
      <c r="B160" s="77">
        <v>43628</v>
      </c>
      <c r="C160" s="78" t="s">
        <v>965</v>
      </c>
      <c r="D160" s="78" t="s">
        <v>966</v>
      </c>
      <c r="E160" s="78" t="s">
        <v>967</v>
      </c>
      <c r="F160" s="82">
        <v>260</v>
      </c>
      <c r="G160" s="80">
        <f t="shared" si="4"/>
        <v>232.14285714285711</v>
      </c>
      <c r="H160" s="80">
        <f t="shared" si="5"/>
        <v>27.857142857142851</v>
      </c>
      <c r="I160" t="s">
        <v>90</v>
      </c>
    </row>
    <row r="161" spans="2:9">
      <c r="B161" s="77">
        <v>43623</v>
      </c>
      <c r="C161" s="78" t="s">
        <v>968</v>
      </c>
      <c r="D161" s="78" t="s">
        <v>969</v>
      </c>
      <c r="E161" s="78" t="s">
        <v>431</v>
      </c>
      <c r="F161" s="82">
        <v>1000</v>
      </c>
      <c r="G161" s="80">
        <f t="shared" si="4"/>
        <v>892.85714285714278</v>
      </c>
      <c r="H161" s="80">
        <f t="shared" si="5"/>
        <v>107.14285714285712</v>
      </c>
      <c r="I161" t="s">
        <v>308</v>
      </c>
    </row>
    <row r="162" spans="2:9">
      <c r="B162" s="77">
        <v>43633</v>
      </c>
      <c r="C162" s="78" t="s">
        <v>968</v>
      </c>
      <c r="D162" s="78" t="s">
        <v>970</v>
      </c>
      <c r="E162" s="78" t="s">
        <v>431</v>
      </c>
      <c r="F162" s="82">
        <v>1000</v>
      </c>
      <c r="G162" s="80">
        <f t="shared" si="4"/>
        <v>892.85714285714278</v>
      </c>
      <c r="H162" s="80">
        <f t="shared" si="5"/>
        <v>107.14285714285712</v>
      </c>
      <c r="I162" t="s">
        <v>308</v>
      </c>
    </row>
    <row r="163" spans="2:9">
      <c r="B163" s="77">
        <v>43629</v>
      </c>
      <c r="C163" s="78" t="s">
        <v>652</v>
      </c>
      <c r="D163" s="78" t="s">
        <v>653</v>
      </c>
      <c r="E163" s="78" t="s">
        <v>654</v>
      </c>
      <c r="F163" s="82">
        <v>301</v>
      </c>
      <c r="G163" s="80">
        <f t="shared" si="4"/>
        <v>268.75</v>
      </c>
      <c r="H163" s="80">
        <f t="shared" si="5"/>
        <v>32.25</v>
      </c>
      <c r="I163" t="s">
        <v>535</v>
      </c>
    </row>
    <row r="164" spans="2:9">
      <c r="B164" s="77">
        <v>43617</v>
      </c>
      <c r="C164" s="78" t="s">
        <v>971</v>
      </c>
      <c r="D164" s="78" t="s">
        <v>972</v>
      </c>
      <c r="E164" s="78" t="s">
        <v>657</v>
      </c>
      <c r="F164" s="82">
        <v>14</v>
      </c>
      <c r="G164" s="80">
        <f t="shared" si="4"/>
        <v>12.499999999999998</v>
      </c>
      <c r="H164" s="80">
        <f t="shared" si="5"/>
        <v>1.4999999999999998</v>
      </c>
      <c r="I164" t="s">
        <v>205</v>
      </c>
    </row>
    <row r="165" spans="2:9">
      <c r="B165" s="77">
        <v>43628</v>
      </c>
      <c r="C165" s="78" t="s">
        <v>435</v>
      </c>
      <c r="D165" s="78" t="s">
        <v>436</v>
      </c>
      <c r="E165" s="78" t="s">
        <v>437</v>
      </c>
      <c r="F165" s="82">
        <v>2051.33</v>
      </c>
      <c r="G165" s="80">
        <f t="shared" si="4"/>
        <v>1831.5446428571427</v>
      </c>
      <c r="H165" s="80">
        <f t="shared" si="5"/>
        <v>219.78535714285712</v>
      </c>
      <c r="I165" t="s">
        <v>535</v>
      </c>
    </row>
    <row r="166" spans="2:9">
      <c r="B166" s="77">
        <v>43628</v>
      </c>
      <c r="C166" s="78" t="s">
        <v>435</v>
      </c>
      <c r="D166" s="78" t="s">
        <v>436</v>
      </c>
      <c r="E166" s="78" t="s">
        <v>437</v>
      </c>
      <c r="F166" s="82">
        <v>8668.31</v>
      </c>
      <c r="G166" s="80">
        <f t="shared" si="4"/>
        <v>7739.5624999999991</v>
      </c>
      <c r="H166" s="80">
        <f t="shared" si="5"/>
        <v>928.74749999999983</v>
      </c>
      <c r="I166" t="s">
        <v>535</v>
      </c>
    </row>
    <row r="167" spans="2:9">
      <c r="B167" s="77">
        <v>43628</v>
      </c>
      <c r="C167" s="78" t="s">
        <v>435</v>
      </c>
      <c r="D167" s="78" t="s">
        <v>436</v>
      </c>
      <c r="E167" s="78" t="s">
        <v>437</v>
      </c>
      <c r="F167" s="82">
        <v>36219.699999999997</v>
      </c>
      <c r="G167" s="80">
        <f t="shared" si="4"/>
        <v>32339.017857142851</v>
      </c>
      <c r="H167" s="80">
        <f t="shared" si="5"/>
        <v>3880.682142857142</v>
      </c>
      <c r="I167" t="s">
        <v>535</v>
      </c>
    </row>
    <row r="168" spans="2:9">
      <c r="B168" s="77">
        <v>43635</v>
      </c>
      <c r="C168" s="78" t="s">
        <v>435</v>
      </c>
      <c r="D168" s="78" t="s">
        <v>973</v>
      </c>
      <c r="E168" s="78" t="s">
        <v>437</v>
      </c>
      <c r="F168" s="82">
        <v>156.75</v>
      </c>
      <c r="G168" s="80">
        <f t="shared" si="4"/>
        <v>139.95535714285714</v>
      </c>
      <c r="H168" s="80">
        <f t="shared" si="5"/>
        <v>16.794642857142858</v>
      </c>
      <c r="I168" t="s">
        <v>535</v>
      </c>
    </row>
    <row r="169" spans="2:9">
      <c r="B169" s="77">
        <v>43620</v>
      </c>
      <c r="C169" s="78" t="s">
        <v>974</v>
      </c>
      <c r="D169" s="78" t="s">
        <v>975</v>
      </c>
      <c r="E169" s="78" t="s">
        <v>976</v>
      </c>
      <c r="F169" s="82">
        <v>216</v>
      </c>
      <c r="G169" s="80">
        <f t="shared" si="4"/>
        <v>192.85714285714283</v>
      </c>
      <c r="H169" s="80">
        <f t="shared" si="5"/>
        <v>23.142857142857139</v>
      </c>
      <c r="I169" t="s">
        <v>7</v>
      </c>
    </row>
    <row r="170" spans="2:9">
      <c r="B170" s="77">
        <v>43632</v>
      </c>
      <c r="C170" s="78" t="s">
        <v>977</v>
      </c>
      <c r="D170" s="78" t="s">
        <v>978</v>
      </c>
      <c r="E170" s="78" t="s">
        <v>979</v>
      </c>
      <c r="F170" s="82">
        <v>113.5</v>
      </c>
      <c r="G170" s="80">
        <f t="shared" si="4"/>
        <v>101.33928571428571</v>
      </c>
      <c r="H170" s="80">
        <f t="shared" si="5"/>
        <v>12.160714285714285</v>
      </c>
      <c r="I170" t="s">
        <v>132</v>
      </c>
    </row>
    <row r="171" spans="2:9">
      <c r="B171" s="77">
        <v>43625</v>
      </c>
      <c r="C171" s="78" t="s">
        <v>980</v>
      </c>
      <c r="D171" s="78" t="s">
        <v>981</v>
      </c>
      <c r="E171" s="78" t="s">
        <v>982</v>
      </c>
      <c r="F171" s="82">
        <v>1104</v>
      </c>
      <c r="G171" s="80">
        <f t="shared" si="4"/>
        <v>985.71428571428567</v>
      </c>
      <c r="H171" s="80">
        <f t="shared" si="5"/>
        <v>118.28571428571428</v>
      </c>
      <c r="I171" t="s">
        <v>101</v>
      </c>
    </row>
    <row r="172" spans="2:9" ht="15.75" customHeight="1">
      <c r="B172" s="77">
        <v>43632</v>
      </c>
      <c r="C172" s="78" t="s">
        <v>907</v>
      </c>
      <c r="D172" s="78" t="s">
        <v>983</v>
      </c>
      <c r="E172" s="78" t="s">
        <v>984</v>
      </c>
      <c r="F172" s="82">
        <v>55</v>
      </c>
      <c r="G172" s="80">
        <f t="shared" si="4"/>
        <v>49.107142857142854</v>
      </c>
      <c r="H172" s="80">
        <f t="shared" si="5"/>
        <v>5.8928571428571423</v>
      </c>
      <c r="I172" t="s">
        <v>7</v>
      </c>
    </row>
    <row r="173" spans="2:9" ht="15.75" customHeight="1">
      <c r="B173" s="77">
        <v>43632</v>
      </c>
      <c r="C173" s="78" t="s">
        <v>907</v>
      </c>
      <c r="D173" s="78" t="s">
        <v>985</v>
      </c>
      <c r="E173" s="78" t="s">
        <v>984</v>
      </c>
      <c r="F173" s="82">
        <v>154</v>
      </c>
      <c r="G173" s="80">
        <f t="shared" si="4"/>
        <v>137.5</v>
      </c>
      <c r="H173" s="80">
        <f t="shared" si="5"/>
        <v>16.5</v>
      </c>
      <c r="I173" t="s">
        <v>7</v>
      </c>
    </row>
    <row r="174" spans="2:9" ht="15.75" customHeight="1">
      <c r="B174" s="77">
        <v>43632</v>
      </c>
      <c r="C174" s="78" t="s">
        <v>907</v>
      </c>
      <c r="D174" s="78" t="s">
        <v>986</v>
      </c>
      <c r="E174" s="78" t="s">
        <v>984</v>
      </c>
      <c r="F174" s="82">
        <v>38</v>
      </c>
      <c r="G174" s="80">
        <f t="shared" si="4"/>
        <v>33.928571428571423</v>
      </c>
      <c r="H174" s="80">
        <f t="shared" si="5"/>
        <v>4.0714285714285703</v>
      </c>
      <c r="I174" t="s">
        <v>7</v>
      </c>
    </row>
    <row r="175" spans="2:9" ht="15.75" customHeight="1">
      <c r="B175" s="77">
        <v>43618</v>
      </c>
      <c r="C175" s="78" t="s">
        <v>987</v>
      </c>
      <c r="D175" s="78" t="s">
        <v>988</v>
      </c>
      <c r="E175" s="78" t="s">
        <v>989</v>
      </c>
      <c r="F175" s="82">
        <v>327</v>
      </c>
      <c r="G175" s="80">
        <f t="shared" si="4"/>
        <v>291.96428571428567</v>
      </c>
      <c r="H175" s="80">
        <f t="shared" si="5"/>
        <v>35.035714285714278</v>
      </c>
      <c r="I175" t="s">
        <v>90</v>
      </c>
    </row>
    <row r="176" spans="2:9" ht="15.75" customHeight="1">
      <c r="B176" s="77">
        <v>43631</v>
      </c>
      <c r="C176" s="98" t="s">
        <v>593</v>
      </c>
      <c r="D176" s="84" t="s">
        <v>990</v>
      </c>
      <c r="E176" s="78" t="s">
        <v>991</v>
      </c>
      <c r="F176" s="82">
        <v>88</v>
      </c>
      <c r="G176" s="80">
        <f t="shared" si="4"/>
        <v>78.571428571428569</v>
      </c>
      <c r="H176" s="80">
        <f t="shared" si="5"/>
        <v>9.4285714285714288</v>
      </c>
      <c r="I176" t="s">
        <v>90</v>
      </c>
    </row>
    <row r="177" spans="2:9" ht="14.25" customHeight="1">
      <c r="B177" s="77">
        <v>43618</v>
      </c>
      <c r="C177" s="78" t="s">
        <v>465</v>
      </c>
      <c r="D177" s="78" t="s">
        <v>466</v>
      </c>
      <c r="E177" s="78" t="s">
        <v>467</v>
      </c>
      <c r="F177" s="82">
        <v>1500</v>
      </c>
      <c r="G177" s="80">
        <f t="shared" si="4"/>
        <v>1339.2857142857142</v>
      </c>
      <c r="H177" s="80">
        <f t="shared" si="5"/>
        <v>160.71428571428569</v>
      </c>
      <c r="I177" t="s">
        <v>308</v>
      </c>
    </row>
    <row r="178" spans="2:9" ht="14.25" customHeight="1">
      <c r="B178" s="77">
        <v>43618</v>
      </c>
      <c r="C178" s="78" t="s">
        <v>465</v>
      </c>
      <c r="D178" s="78" t="s">
        <v>466</v>
      </c>
      <c r="E178" s="78" t="s">
        <v>467</v>
      </c>
      <c r="F178" s="82">
        <v>1500</v>
      </c>
      <c r="G178" s="80">
        <f t="shared" si="4"/>
        <v>1339.2857142857142</v>
      </c>
      <c r="H178" s="80">
        <f t="shared" si="5"/>
        <v>160.71428571428569</v>
      </c>
      <c r="I178" t="s">
        <v>308</v>
      </c>
    </row>
    <row r="179" spans="2:9">
      <c r="B179" s="77">
        <v>43536</v>
      </c>
      <c r="C179" s="78" t="s">
        <v>992</v>
      </c>
      <c r="D179" s="78" t="s">
        <v>993</v>
      </c>
      <c r="E179" s="78" t="s">
        <v>994</v>
      </c>
      <c r="F179" s="79">
        <v>1000</v>
      </c>
      <c r="G179" s="80">
        <f t="shared" si="4"/>
        <v>892.85714285714278</v>
      </c>
      <c r="H179" s="80">
        <f t="shared" si="5"/>
        <v>107.14285714285712</v>
      </c>
      <c r="I179" t="s">
        <v>308</v>
      </c>
    </row>
    <row r="180" spans="2:9">
      <c r="B180" s="77">
        <v>43622</v>
      </c>
      <c r="C180" s="78" t="s">
        <v>995</v>
      </c>
      <c r="D180" s="78" t="s">
        <v>996</v>
      </c>
      <c r="E180" s="78" t="s">
        <v>997</v>
      </c>
      <c r="F180" s="82">
        <v>2300</v>
      </c>
      <c r="G180" s="80">
        <f t="shared" si="4"/>
        <v>2053.5714285714284</v>
      </c>
      <c r="H180" s="80">
        <f t="shared" si="5"/>
        <v>246.42857142857142</v>
      </c>
      <c r="I180" t="s">
        <v>7</v>
      </c>
    </row>
    <row r="181" spans="2:9" ht="13.5" customHeight="1">
      <c r="B181" s="77">
        <v>43638</v>
      </c>
      <c r="C181" s="78" t="s">
        <v>998</v>
      </c>
      <c r="D181" s="78" t="s">
        <v>999</v>
      </c>
      <c r="E181" s="78" t="s">
        <v>1000</v>
      </c>
      <c r="F181" s="82">
        <v>211</v>
      </c>
      <c r="G181" s="80">
        <f t="shared" si="4"/>
        <v>188.39285714285714</v>
      </c>
      <c r="H181" s="80">
        <f t="shared" si="5"/>
        <v>22.607142857142854</v>
      </c>
      <c r="I181" t="s">
        <v>90</v>
      </c>
    </row>
    <row r="182" spans="2:9">
      <c r="B182" s="77">
        <v>43619</v>
      </c>
      <c r="C182" s="78" t="s">
        <v>974</v>
      </c>
      <c r="D182" s="78" t="s">
        <v>975</v>
      </c>
      <c r="E182" s="78" t="s">
        <v>1001</v>
      </c>
      <c r="F182" s="82">
        <v>96</v>
      </c>
      <c r="G182" s="80">
        <f t="shared" si="4"/>
        <v>85.714285714285708</v>
      </c>
      <c r="H182" s="80">
        <f t="shared" si="5"/>
        <v>10.285714285714285</v>
      </c>
      <c r="I182" t="s">
        <v>7</v>
      </c>
    </row>
    <row r="183" spans="2:9">
      <c r="B183" s="77">
        <v>43627</v>
      </c>
      <c r="C183" s="78" t="s">
        <v>974</v>
      </c>
      <c r="D183" s="78" t="s">
        <v>975</v>
      </c>
      <c r="E183" s="78" t="s">
        <v>1001</v>
      </c>
      <c r="F183" s="82">
        <v>3600</v>
      </c>
      <c r="G183" s="80">
        <f t="shared" si="4"/>
        <v>3214.2857142857138</v>
      </c>
      <c r="H183" s="80">
        <f t="shared" si="5"/>
        <v>385.71428571428567</v>
      </c>
      <c r="I183" t="s">
        <v>7</v>
      </c>
    </row>
    <row r="184" spans="2:9">
      <c r="B184" s="77">
        <v>43623</v>
      </c>
      <c r="C184" s="78" t="s">
        <v>1002</v>
      </c>
      <c r="D184" s="78" t="s">
        <v>1003</v>
      </c>
      <c r="E184" s="78" t="s">
        <v>1004</v>
      </c>
      <c r="F184" s="82">
        <v>131</v>
      </c>
      <c r="G184" s="80">
        <f t="shared" si="4"/>
        <v>116.96428571428571</v>
      </c>
      <c r="H184" s="80">
        <f t="shared" si="5"/>
        <v>14.035714285714285</v>
      </c>
      <c r="I184" t="s">
        <v>90</v>
      </c>
    </row>
    <row r="185" spans="2:9">
      <c r="B185" s="77">
        <v>43621</v>
      </c>
      <c r="C185" s="78" t="s">
        <v>1005</v>
      </c>
      <c r="D185" s="78" t="s">
        <v>1006</v>
      </c>
      <c r="E185" s="78" t="s">
        <v>1007</v>
      </c>
      <c r="F185" s="82">
        <v>99</v>
      </c>
      <c r="G185" s="80">
        <f t="shared" si="4"/>
        <v>88.392857142857139</v>
      </c>
      <c r="H185" s="80">
        <f t="shared" si="5"/>
        <v>10.607142857142856</v>
      </c>
      <c r="I185" t="s">
        <v>90</v>
      </c>
    </row>
    <row r="186" spans="2:9">
      <c r="B186" s="77">
        <v>43621</v>
      </c>
      <c r="C186" s="78" t="s">
        <v>1005</v>
      </c>
      <c r="D186" s="78" t="s">
        <v>1006</v>
      </c>
      <c r="E186" s="78" t="s">
        <v>1007</v>
      </c>
      <c r="F186" s="82">
        <v>99</v>
      </c>
      <c r="G186" s="80">
        <f t="shared" si="4"/>
        <v>88.392857142857139</v>
      </c>
      <c r="H186" s="80">
        <f t="shared" si="5"/>
        <v>10.607142857142856</v>
      </c>
      <c r="I186" t="s">
        <v>90</v>
      </c>
    </row>
    <row r="187" spans="2:9">
      <c r="B187" s="77">
        <v>43621</v>
      </c>
      <c r="C187" s="78" t="s">
        <v>1005</v>
      </c>
      <c r="D187" s="78" t="s">
        <v>1006</v>
      </c>
      <c r="E187" s="78" t="s">
        <v>1007</v>
      </c>
      <c r="F187" s="82">
        <v>100</v>
      </c>
      <c r="G187" s="80">
        <f t="shared" si="4"/>
        <v>89.285714285714278</v>
      </c>
      <c r="H187" s="80">
        <f t="shared" si="5"/>
        <v>10.714285714285714</v>
      </c>
      <c r="I187" t="s">
        <v>90</v>
      </c>
    </row>
    <row r="188" spans="2:9">
      <c r="B188" s="77">
        <v>43631</v>
      </c>
      <c r="C188" s="78" t="s">
        <v>1008</v>
      </c>
      <c r="D188" s="78" t="s">
        <v>1009</v>
      </c>
      <c r="E188" s="78" t="s">
        <v>666</v>
      </c>
      <c r="F188" s="82">
        <v>5615</v>
      </c>
      <c r="G188" s="80">
        <f t="shared" si="4"/>
        <v>5013.3928571428569</v>
      </c>
      <c r="H188" s="80">
        <f t="shared" si="5"/>
        <v>601.60714285714278</v>
      </c>
      <c r="I188" t="s">
        <v>535</v>
      </c>
    </row>
    <row r="189" spans="2:9">
      <c r="B189" s="77">
        <v>43618</v>
      </c>
      <c r="C189" s="78" t="s">
        <v>907</v>
      </c>
      <c r="D189" s="78" t="s">
        <v>1010</v>
      </c>
      <c r="E189" s="78" t="s">
        <v>1011</v>
      </c>
      <c r="F189" s="82">
        <v>62</v>
      </c>
      <c r="G189" s="80">
        <f t="shared" si="4"/>
        <v>55.357142857142854</v>
      </c>
      <c r="H189" s="80">
        <f t="shared" si="5"/>
        <v>6.6428571428571423</v>
      </c>
      <c r="I189" t="s">
        <v>7</v>
      </c>
    </row>
    <row r="190" spans="2:9">
      <c r="B190" s="77">
        <v>43622</v>
      </c>
      <c r="C190" s="98" t="s">
        <v>481</v>
      </c>
      <c r="D190" s="78" t="s">
        <v>1012</v>
      </c>
      <c r="E190" s="78" t="s">
        <v>483</v>
      </c>
      <c r="F190" s="82">
        <v>6500</v>
      </c>
      <c r="G190" s="80">
        <f t="shared" si="4"/>
        <v>5803.5714285714284</v>
      </c>
      <c r="H190" s="80">
        <f t="shared" si="5"/>
        <v>696.42857142857133</v>
      </c>
      <c r="I190" t="s">
        <v>535</v>
      </c>
    </row>
    <row r="191" spans="2:9">
      <c r="B191" s="77">
        <v>43622</v>
      </c>
      <c r="C191" s="78" t="s">
        <v>481</v>
      </c>
      <c r="D191" s="78" t="s">
        <v>1012</v>
      </c>
      <c r="E191" s="78" t="s">
        <v>483</v>
      </c>
      <c r="F191" s="82">
        <v>6500</v>
      </c>
      <c r="G191" s="80">
        <f t="shared" si="4"/>
        <v>5803.5714285714284</v>
      </c>
      <c r="H191" s="80">
        <f t="shared" si="5"/>
        <v>696.42857142857133</v>
      </c>
      <c r="I191" t="s">
        <v>535</v>
      </c>
    </row>
    <row r="192" spans="2:9">
      <c r="B192" s="77">
        <v>43640</v>
      </c>
      <c r="C192" s="78" t="s">
        <v>481</v>
      </c>
      <c r="D192" s="78" t="s">
        <v>1012</v>
      </c>
      <c r="E192" s="78" t="s">
        <v>483</v>
      </c>
      <c r="F192" s="82">
        <v>18740</v>
      </c>
      <c r="G192" s="80">
        <f t="shared" si="4"/>
        <v>16732.142857142855</v>
      </c>
      <c r="H192" s="80">
        <f t="shared" si="5"/>
        <v>2007.8571428571424</v>
      </c>
      <c r="I192" t="s">
        <v>535</v>
      </c>
    </row>
    <row r="193" spans="1:9">
      <c r="B193" s="77">
        <v>43630</v>
      </c>
      <c r="C193" s="78" t="s">
        <v>485</v>
      </c>
      <c r="D193" s="78" t="s">
        <v>1013</v>
      </c>
      <c r="E193" s="78" t="s">
        <v>487</v>
      </c>
      <c r="F193" s="82">
        <v>414</v>
      </c>
      <c r="G193" s="80">
        <f t="shared" si="4"/>
        <v>369.64285714285711</v>
      </c>
      <c r="H193" s="80">
        <f t="shared" si="5"/>
        <v>44.357142857142854</v>
      </c>
      <c r="I193" t="s">
        <v>90</v>
      </c>
    </row>
    <row r="194" spans="1:9">
      <c r="B194" s="77">
        <v>43637</v>
      </c>
      <c r="C194" s="78" t="s">
        <v>485</v>
      </c>
      <c r="D194" s="78" t="s">
        <v>1014</v>
      </c>
      <c r="E194" s="78" t="s">
        <v>487</v>
      </c>
      <c r="F194" s="82">
        <v>375</v>
      </c>
      <c r="G194" s="80">
        <f t="shared" si="4"/>
        <v>334.82142857142856</v>
      </c>
      <c r="H194" s="80">
        <f t="shared" si="5"/>
        <v>40.178571428571423</v>
      </c>
      <c r="I194" t="s">
        <v>90</v>
      </c>
    </row>
    <row r="195" spans="1:9">
      <c r="B195" s="77">
        <v>43637</v>
      </c>
      <c r="C195" s="78" t="s">
        <v>1015</v>
      </c>
      <c r="D195" s="78" t="s">
        <v>1016</v>
      </c>
      <c r="E195" s="78" t="s">
        <v>1017</v>
      </c>
      <c r="F195" s="82">
        <v>500</v>
      </c>
      <c r="G195" s="80">
        <f t="shared" si="4"/>
        <v>446.42857142857139</v>
      </c>
      <c r="H195" s="80">
        <f t="shared" si="5"/>
        <v>53.571428571428562</v>
      </c>
      <c r="I195" t="s">
        <v>308</v>
      </c>
    </row>
    <row r="196" spans="1:9">
      <c r="B196" s="77">
        <v>43626</v>
      </c>
      <c r="C196" s="78" t="s">
        <v>1018</v>
      </c>
      <c r="D196" s="78" t="s">
        <v>1019</v>
      </c>
      <c r="E196" s="78" t="s">
        <v>1020</v>
      </c>
      <c r="F196" s="82">
        <v>59</v>
      </c>
      <c r="G196" s="80">
        <f t="shared" ref="G196:G203" si="6">F196/1.12</f>
        <v>52.678571428571423</v>
      </c>
      <c r="H196" s="80">
        <f t="shared" ref="H196:H203" si="7">G196*0.12</f>
        <v>6.3214285714285703</v>
      </c>
      <c r="I196" t="s">
        <v>90</v>
      </c>
    </row>
    <row r="197" spans="1:9">
      <c r="B197" s="77">
        <v>43626</v>
      </c>
      <c r="C197" s="78" t="s">
        <v>1018</v>
      </c>
      <c r="D197" s="78" t="s">
        <v>1021</v>
      </c>
      <c r="E197" s="78" t="s">
        <v>1020</v>
      </c>
      <c r="F197" s="82">
        <v>59</v>
      </c>
      <c r="G197" s="80">
        <f t="shared" si="6"/>
        <v>52.678571428571423</v>
      </c>
      <c r="H197" s="80">
        <f t="shared" si="7"/>
        <v>6.3214285714285703</v>
      </c>
      <c r="I197" t="s">
        <v>90</v>
      </c>
    </row>
    <row r="198" spans="1:9">
      <c r="B198" s="77">
        <v>43626</v>
      </c>
      <c r="C198" s="78" t="s">
        <v>1018</v>
      </c>
      <c r="D198" s="78" t="s">
        <v>1019</v>
      </c>
      <c r="E198" s="78" t="s">
        <v>1022</v>
      </c>
      <c r="F198" s="82">
        <v>256</v>
      </c>
      <c r="G198" s="80">
        <f t="shared" si="6"/>
        <v>228.57142857142856</v>
      </c>
      <c r="H198" s="80">
        <f t="shared" si="7"/>
        <v>27.428571428571427</v>
      </c>
      <c r="I198" t="s">
        <v>90</v>
      </c>
    </row>
    <row r="199" spans="1:9">
      <c r="B199" s="77">
        <v>43622</v>
      </c>
      <c r="C199" s="78" t="s">
        <v>508</v>
      </c>
      <c r="D199" s="78" t="s">
        <v>506</v>
      </c>
      <c r="E199" s="78" t="s">
        <v>507</v>
      </c>
      <c r="F199" s="82">
        <v>40.520000000000003</v>
      </c>
      <c r="G199" s="80">
        <f t="shared" si="6"/>
        <v>36.178571428571431</v>
      </c>
      <c r="H199" s="80">
        <f t="shared" si="7"/>
        <v>4.3414285714285716</v>
      </c>
      <c r="I199" t="s">
        <v>90</v>
      </c>
    </row>
    <row r="200" spans="1:9">
      <c r="B200" s="77">
        <v>43622</v>
      </c>
      <c r="C200" s="78" t="s">
        <v>508</v>
      </c>
      <c r="D200" s="78" t="s">
        <v>506</v>
      </c>
      <c r="E200" s="78" t="s">
        <v>507</v>
      </c>
      <c r="F200" s="82">
        <v>50</v>
      </c>
      <c r="G200" s="80">
        <f t="shared" si="6"/>
        <v>44.642857142857139</v>
      </c>
      <c r="H200" s="80">
        <f t="shared" si="7"/>
        <v>5.3571428571428568</v>
      </c>
      <c r="I200" t="s">
        <v>90</v>
      </c>
    </row>
    <row r="201" spans="1:9">
      <c r="A201" s="110"/>
      <c r="B201" s="77">
        <v>43532</v>
      </c>
      <c r="C201" s="78" t="s">
        <v>1023</v>
      </c>
      <c r="D201" s="78" t="s">
        <v>1024</v>
      </c>
      <c r="E201" s="78" t="s">
        <v>1025</v>
      </c>
      <c r="F201" s="79">
        <v>88</v>
      </c>
      <c r="G201" s="80">
        <f t="shared" si="6"/>
        <v>78.571428571428569</v>
      </c>
      <c r="H201" s="80">
        <f t="shared" si="7"/>
        <v>9.4285714285714288</v>
      </c>
      <c r="I201" t="s">
        <v>90</v>
      </c>
    </row>
    <row r="202" spans="1:9">
      <c r="A202" s="110"/>
      <c r="B202" s="77">
        <v>43635</v>
      </c>
      <c r="C202" s="78" t="s">
        <v>1026</v>
      </c>
      <c r="D202" s="78" t="s">
        <v>1027</v>
      </c>
      <c r="E202" s="78"/>
      <c r="F202" s="82">
        <v>5000</v>
      </c>
      <c r="G202" s="80">
        <f t="shared" si="6"/>
        <v>4464.2857142857138</v>
      </c>
      <c r="H202" s="80">
        <f t="shared" si="7"/>
        <v>535.71428571428567</v>
      </c>
      <c r="I202" t="s">
        <v>205</v>
      </c>
    </row>
    <row r="203" spans="1:9">
      <c r="B203" s="77">
        <v>43635</v>
      </c>
      <c r="C203" s="78" t="s">
        <v>1028</v>
      </c>
      <c r="D203" s="78" t="s">
        <v>1029</v>
      </c>
      <c r="E203" s="78"/>
      <c r="F203" s="82">
        <v>8000</v>
      </c>
      <c r="G203" s="80">
        <f t="shared" si="6"/>
        <v>7142.8571428571422</v>
      </c>
      <c r="H203" s="80">
        <f t="shared" si="7"/>
        <v>857.142857142857</v>
      </c>
      <c r="I203" t="s">
        <v>205</v>
      </c>
    </row>
    <row r="205" spans="1:9">
      <c r="F205" s="111">
        <f>SUM(F4:F204)</f>
        <v>768368.60999999987</v>
      </c>
      <c r="G205" s="111">
        <f>SUM(G4:G204)</f>
        <v>686043.4017857142</v>
      </c>
      <c r="H205" s="111">
        <f>SUM(H4:H204)</f>
        <v>82325.208214285696</v>
      </c>
    </row>
    <row r="207" spans="1:9">
      <c r="D207"/>
      <c r="E207" s="78" t="s">
        <v>1030</v>
      </c>
      <c r="F207" s="112">
        <f>SUM(F4:F203)</f>
        <v>768368.60999999987</v>
      </c>
      <c r="G207" s="112">
        <f>SUM(G4:G203)</f>
        <v>686043.4017857142</v>
      </c>
      <c r="H207" s="112">
        <f>SUM(H4:H203)</f>
        <v>82325.208214285696</v>
      </c>
    </row>
    <row r="208" spans="1:9">
      <c r="F208" s="113">
        <f>[2]Sheet1!J13</f>
        <v>768368.60800000047</v>
      </c>
      <c r="G208" s="73">
        <f>F207/1.12</f>
        <v>686043.40178571409</v>
      </c>
      <c r="H208" s="73">
        <f>G208*0.12</f>
        <v>82325.208214285682</v>
      </c>
    </row>
    <row r="209" spans="1:8">
      <c r="F209" s="103">
        <f>SUM(F207)</f>
        <v>768368.60999999987</v>
      </c>
      <c r="H209" s="113">
        <f>H208-82271.67</f>
        <v>53.538214285683353</v>
      </c>
    </row>
    <row r="210" spans="1:8">
      <c r="F210" s="113">
        <f>F208-F209</f>
        <v>-1.9999993965029716E-3</v>
      </c>
    </row>
    <row r="211" spans="1:8">
      <c r="A211" s="77"/>
    </row>
    <row r="212" spans="1:8">
      <c r="D212" s="114" t="s">
        <v>1031</v>
      </c>
      <c r="E212" s="114"/>
      <c r="F212" s="73">
        <f>[2]Sheet1!K13</f>
        <v>3078329.6992000001</v>
      </c>
      <c r="G212" s="73">
        <f>[2]Sheet1!K14</f>
        <v>2748508.66</v>
      </c>
      <c r="H212" s="73">
        <f>[2]Sheet1!K15</f>
        <v>329821.0392</v>
      </c>
    </row>
    <row r="213" spans="1:8">
      <c r="F213" s="113">
        <f>F205+[2]May!F127+[2]April!F344</f>
        <v>3078329.6999999997</v>
      </c>
      <c r="G213" s="113">
        <f>G207+[2]May!G127+[2]April!G344</f>
        <v>2748508.6607142859</v>
      </c>
      <c r="H213" s="113">
        <f>H207+[2]May!H127+[2]April!H344</f>
        <v>329821.03928571416</v>
      </c>
    </row>
    <row r="214" spans="1:8">
      <c r="F214" s="113">
        <f>F212-F213</f>
        <v>-7.9999957233667374E-4</v>
      </c>
      <c r="G214" s="113">
        <f>G212-G213</f>
        <v>-7.1428576484322548E-4</v>
      </c>
      <c r="H214" s="113">
        <f>H212-H213</f>
        <v>-8.5714156739413738E-5</v>
      </c>
    </row>
    <row r="217" spans="1:8">
      <c r="E217" t="s">
        <v>450</v>
      </c>
      <c r="F217" s="73">
        <f>SUMIF(I4:I203,E217,F4:F203)</f>
        <v>3189.35</v>
      </c>
      <c r="G217" s="90">
        <f>F217/1.12</f>
        <v>2847.6339285714284</v>
      </c>
    </row>
    <row r="218" spans="1:8">
      <c r="E218" t="s">
        <v>387</v>
      </c>
      <c r="F218" s="73">
        <f>SUMIF(I4:I203,E218,F4:F203)</f>
        <v>1920.23</v>
      </c>
      <c r="G218" s="90">
        <f t="shared" ref="G218:G229" si="8">F218/1.12</f>
        <v>1714.4910714285713</v>
      </c>
    </row>
    <row r="219" spans="1:8">
      <c r="E219" t="s">
        <v>132</v>
      </c>
      <c r="F219" s="73">
        <f>SUMIF(I4:I203,E219,F4:F203)</f>
        <v>2071</v>
      </c>
      <c r="G219" s="73">
        <f t="shared" si="8"/>
        <v>1849.1071428571427</v>
      </c>
    </row>
    <row r="220" spans="1:8">
      <c r="E220" t="s">
        <v>108</v>
      </c>
      <c r="F220" s="73">
        <f>SUMIF(I4:I203,E220,F4:F203)</f>
        <v>4017</v>
      </c>
      <c r="G220" s="90">
        <f t="shared" si="8"/>
        <v>3586.6071428571427</v>
      </c>
    </row>
    <row r="221" spans="1:8">
      <c r="E221" t="s">
        <v>8</v>
      </c>
      <c r="F221" s="73">
        <f>SUMIF(I4:I203,E221,F4:F203)</f>
        <v>23610.239999999998</v>
      </c>
      <c r="G221" s="90">
        <f t="shared" si="8"/>
        <v>21080.571428571424</v>
      </c>
    </row>
    <row r="222" spans="1:8">
      <c r="E222" t="s">
        <v>64</v>
      </c>
      <c r="F222" s="73">
        <f>SUMIF(I4:I203,E222,F4:F203)</f>
        <v>8368</v>
      </c>
      <c r="G222" s="73">
        <f t="shared" si="8"/>
        <v>7471.4285714285706</v>
      </c>
    </row>
    <row r="223" spans="1:8">
      <c r="E223" t="s">
        <v>956</v>
      </c>
      <c r="F223" s="73">
        <f>SUMIF(I4:I203,E223,F4:F203)</f>
        <v>3950</v>
      </c>
      <c r="G223" s="73">
        <f t="shared" si="8"/>
        <v>3526.7857142857138</v>
      </c>
    </row>
    <row r="224" spans="1:8">
      <c r="E224" t="s">
        <v>101</v>
      </c>
      <c r="F224" s="73">
        <f>SUMIF(I4:I203,E224,F4:F203)</f>
        <v>4766.75</v>
      </c>
      <c r="G224" s="73">
        <f t="shared" si="8"/>
        <v>4256.0267857142853</v>
      </c>
    </row>
    <row r="225" spans="5:7">
      <c r="E225" t="s">
        <v>7</v>
      </c>
      <c r="F225" s="73">
        <f>SUMIF(I4:I203,E225,F4:F203)</f>
        <v>12957</v>
      </c>
      <c r="G225" s="90">
        <f t="shared" si="8"/>
        <v>11568.749999999998</v>
      </c>
    </row>
    <row r="226" spans="5:7">
      <c r="E226" t="s">
        <v>535</v>
      </c>
      <c r="F226" s="73">
        <f>SUMIF(I4:I203,E226,F4:F203)</f>
        <v>647723.31999999995</v>
      </c>
      <c r="G226" s="90">
        <f t="shared" si="8"/>
        <v>578324.39285714272</v>
      </c>
    </row>
    <row r="227" spans="5:7">
      <c r="E227" t="s">
        <v>308</v>
      </c>
      <c r="F227" s="73">
        <f>SUMIF(I4:I203,E227,F4:F203)</f>
        <v>20500</v>
      </c>
      <c r="G227" s="90">
        <f t="shared" si="8"/>
        <v>18303.571428571428</v>
      </c>
    </row>
    <row r="228" spans="5:7">
      <c r="E228" t="s">
        <v>90</v>
      </c>
      <c r="F228" s="73">
        <f>SUMIF(I4:I203,E228,F4:F203)</f>
        <v>13565.52</v>
      </c>
      <c r="G228" s="90">
        <f t="shared" si="8"/>
        <v>12112.071428571428</v>
      </c>
    </row>
    <row r="229" spans="5:7">
      <c r="E229" t="s">
        <v>205</v>
      </c>
      <c r="F229" s="73">
        <f>SUMIF(I4:I203,E229,F4:F203)</f>
        <v>21730.2</v>
      </c>
      <c r="G229" s="90">
        <f t="shared" si="8"/>
        <v>19401.964285714286</v>
      </c>
    </row>
    <row r="230" spans="5:7">
      <c r="F230" s="111">
        <f>SUM(F217:F229)</f>
        <v>768368.60999999987</v>
      </c>
      <c r="G230" s="111">
        <f>SUM(G217:G229)</f>
        <v>686043.40178571432</v>
      </c>
    </row>
    <row r="231" spans="5:7">
      <c r="F231" s="113">
        <f>F207-F230</f>
        <v>0</v>
      </c>
      <c r="G231" s="113">
        <f>G207-G230</f>
        <v>0</v>
      </c>
    </row>
  </sheetData>
  <mergeCells count="1">
    <mergeCell ref="B1:C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" sqref="C1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ITR 2019 Returns  (final)</vt:lpstr>
      <vt:lpstr>April</vt:lpstr>
      <vt:lpstr>May</vt:lpstr>
      <vt:lpstr>June</vt:lpstr>
      <vt:lpstr>Sheet2</vt:lpstr>
      <vt:lpstr>Sheet3</vt:lpstr>
      <vt:lpstr>'ITR 2019 Returns  (final)'!Print_Area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2020-04-24T10:11:39Z</dcterms:modified>
</cp:coreProperties>
</file>