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-001\Desktop\models\DCF\"/>
    </mc:Choice>
  </mc:AlternateContent>
  <xr:revisionPtr revIDLastSave="0" documentId="13_ncr:1_{F0F38BE1-5B94-42EA-A848-4E5ACE90D013}" xr6:coauthVersionLast="47" xr6:coauthVersionMax="47" xr10:uidLastSave="{00000000-0000-0000-0000-000000000000}"/>
  <bookViews>
    <workbookView xWindow="-108" yWindow="-108" windowWidth="23256" windowHeight="12456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2" i="2" l="1"/>
  <c r="AP32" i="2"/>
  <c r="U31" i="2"/>
  <c r="U15" i="2" s="1"/>
  <c r="T31" i="2"/>
  <c r="S31" i="2"/>
  <c r="AA51" i="2"/>
  <c r="AA98" i="2"/>
  <c r="AA99" i="2" s="1"/>
  <c r="AA90" i="2"/>
  <c r="AA92" i="2" s="1"/>
  <c r="AA86" i="2"/>
  <c r="AA85" i="2"/>
  <c r="AA87" i="2" s="1"/>
  <c r="M8" i="1"/>
  <c r="AA74" i="2"/>
  <c r="AA70" i="2"/>
  <c r="AA78" i="2" s="1"/>
  <c r="AA59" i="2"/>
  <c r="AA66" i="2" s="1"/>
  <c r="Z66" i="2"/>
  <c r="Y66" i="2"/>
  <c r="X66" i="2"/>
  <c r="W66" i="2"/>
  <c r="V66" i="2"/>
  <c r="Z58" i="2"/>
  <c r="Y58" i="2"/>
  <c r="X58" i="2"/>
  <c r="AA104" i="2"/>
  <c r="AA38" i="2"/>
  <c r="Z104" i="2"/>
  <c r="Y104" i="2"/>
  <c r="X104" i="2"/>
  <c r="Z51" i="2"/>
  <c r="Y51" i="2"/>
  <c r="AB32" i="2"/>
  <c r="AA32" i="2"/>
  <c r="X51" i="2"/>
  <c r="W51" i="2"/>
  <c r="X37" i="2"/>
  <c r="W104" i="2"/>
  <c r="V104" i="2"/>
  <c r="W14" i="2"/>
  <c r="W15" i="2"/>
  <c r="M7" i="2"/>
  <c r="L7" i="2"/>
  <c r="K7" i="2"/>
  <c r="P7" i="2"/>
  <c r="O7" i="2"/>
  <c r="N7" i="2"/>
  <c r="T7" i="2"/>
  <c r="S7" i="2"/>
  <c r="R7" i="2"/>
  <c r="Q7" i="2"/>
  <c r="U7" i="2"/>
  <c r="AO51" i="2"/>
  <c r="V15" i="2"/>
  <c r="V14" i="2"/>
  <c r="V11" i="2"/>
  <c r="V34" i="2"/>
  <c r="AF32" i="2"/>
  <c r="AG32" i="2"/>
  <c r="AJ45" i="2"/>
  <c r="W37" i="2"/>
  <c r="W36" i="2"/>
  <c r="W35" i="2"/>
  <c r="U104" i="2"/>
  <c r="U100" i="2"/>
  <c r="T110" i="2"/>
  <c r="S110" i="2"/>
  <c r="R110" i="2"/>
  <c r="U110" i="2"/>
  <c r="U97" i="2"/>
  <c r="U95" i="2"/>
  <c r="U94" i="2"/>
  <c r="U91" i="2"/>
  <c r="U85" i="2"/>
  <c r="U84" i="2"/>
  <c r="U83" i="2"/>
  <c r="U82" i="2"/>
  <c r="U81" i="2"/>
  <c r="U70" i="2"/>
  <c r="U78" i="2" s="1"/>
  <c r="U64" i="2"/>
  <c r="U59" i="2"/>
  <c r="U66" i="2" s="1"/>
  <c r="AO35" i="2"/>
  <c r="AP35" i="2" s="1"/>
  <c r="AQ35" i="2" s="1"/>
  <c r="AR35" i="2" s="1"/>
  <c r="AS35" i="2" s="1"/>
  <c r="AT35" i="2" s="1"/>
  <c r="Q70" i="2"/>
  <c r="Q78" i="2" s="1"/>
  <c r="Q64" i="2"/>
  <c r="Q59" i="2"/>
  <c r="Q66" i="2" s="1"/>
  <c r="C42" i="2"/>
  <c r="C38" i="2"/>
  <c r="AL37" i="2"/>
  <c r="AL38" i="2" s="1"/>
  <c r="H37" i="2"/>
  <c r="H38" i="2" s="1"/>
  <c r="G37" i="2"/>
  <c r="G38" i="2" s="1"/>
  <c r="C32" i="2"/>
  <c r="C34" i="2" s="1"/>
  <c r="C54" i="2" s="1"/>
  <c r="G32" i="2"/>
  <c r="G34" i="2" s="1"/>
  <c r="G54" i="2" s="1"/>
  <c r="D38" i="2"/>
  <c r="D32" i="2"/>
  <c r="D34" i="2" s="1"/>
  <c r="D54" i="2" s="1"/>
  <c r="E38" i="2"/>
  <c r="I38" i="2"/>
  <c r="E32" i="2"/>
  <c r="E34" i="2" s="1"/>
  <c r="E54" i="2" s="1"/>
  <c r="AK42" i="2"/>
  <c r="AK38" i="2"/>
  <c r="O48" i="2"/>
  <c r="F38" i="2"/>
  <c r="J38" i="2"/>
  <c r="AK32" i="2"/>
  <c r="AK34" i="2" s="1"/>
  <c r="AK54" i="2" s="1"/>
  <c r="AJ32" i="2"/>
  <c r="AI32" i="2"/>
  <c r="AH32" i="2"/>
  <c r="I32" i="2"/>
  <c r="M47" i="2" s="1"/>
  <c r="H32" i="2"/>
  <c r="L47" i="2" s="1"/>
  <c r="F32" i="2"/>
  <c r="F34" i="2" s="1"/>
  <c r="F54" i="2" s="1"/>
  <c r="J32" i="2"/>
  <c r="N47" i="2" s="1"/>
  <c r="T104" i="2"/>
  <c r="S104" i="2"/>
  <c r="P100" i="2"/>
  <c r="Q100" i="2" s="1"/>
  <c r="P95" i="2"/>
  <c r="Q95" i="2" s="1"/>
  <c r="P94" i="2"/>
  <c r="Q94" i="2" s="1"/>
  <c r="P91" i="2"/>
  <c r="Q91" i="2" s="1"/>
  <c r="P89" i="2"/>
  <c r="Q89" i="2" s="1"/>
  <c r="P85" i="2"/>
  <c r="Q85" i="2" s="1"/>
  <c r="P84" i="2"/>
  <c r="Q84" i="2" s="1"/>
  <c r="P83" i="2"/>
  <c r="Q83" i="2" s="1"/>
  <c r="P82" i="2"/>
  <c r="Q82" i="2" s="1"/>
  <c r="P81" i="2"/>
  <c r="Q81" i="2" s="1"/>
  <c r="P70" i="2"/>
  <c r="P78" i="2" s="1"/>
  <c r="P64" i="2"/>
  <c r="P59" i="2"/>
  <c r="O98" i="2"/>
  <c r="O99" i="2" s="1"/>
  <c r="O90" i="2"/>
  <c r="O92" i="2" s="1"/>
  <c r="O86" i="2"/>
  <c r="O87" i="2" s="1"/>
  <c r="O106" i="2" s="1"/>
  <c r="O70" i="2"/>
  <c r="O78" i="2" s="1"/>
  <c r="O64" i="2"/>
  <c r="O59" i="2"/>
  <c r="U48" i="2"/>
  <c r="U51" i="2"/>
  <c r="V51" i="2"/>
  <c r="T32" i="2"/>
  <c r="T47" i="2" s="1"/>
  <c r="T48" i="2"/>
  <c r="T98" i="2"/>
  <c r="T99" i="2" s="1"/>
  <c r="T90" i="2"/>
  <c r="T89" i="2"/>
  <c r="T92" i="2" s="1"/>
  <c r="T86" i="2"/>
  <c r="T87" i="2" s="1"/>
  <c r="T70" i="2"/>
  <c r="T78" i="2" s="1"/>
  <c r="T64" i="2"/>
  <c r="T59" i="2"/>
  <c r="T51" i="2"/>
  <c r="AA58" i="2" l="1"/>
  <c r="AA101" i="2"/>
  <c r="W16" i="2"/>
  <c r="AA34" i="2"/>
  <c r="V16" i="2"/>
  <c r="AI47" i="2"/>
  <c r="T66" i="2"/>
  <c r="X32" i="2"/>
  <c r="AJ47" i="2"/>
  <c r="T106" i="2"/>
  <c r="AH47" i="2"/>
  <c r="AK47" i="2"/>
  <c r="AG47" i="2"/>
  <c r="X38" i="2"/>
  <c r="Y38" i="2"/>
  <c r="Q58" i="2"/>
  <c r="U58" i="2"/>
  <c r="Y32" i="2"/>
  <c r="U14" i="2"/>
  <c r="U32" i="2"/>
  <c r="U113" i="2" s="1"/>
  <c r="T58" i="2"/>
  <c r="W38" i="2"/>
  <c r="AA52" i="2" s="1"/>
  <c r="T14" i="2"/>
  <c r="G47" i="2"/>
  <c r="T15" i="2"/>
  <c r="U16" i="2" s="1"/>
  <c r="I47" i="2"/>
  <c r="J47" i="2"/>
  <c r="H47" i="2"/>
  <c r="C39" i="2"/>
  <c r="G39" i="2"/>
  <c r="J34" i="2"/>
  <c r="J54" i="2" s="1"/>
  <c r="H34" i="2"/>
  <c r="H54" i="2" s="1"/>
  <c r="D39" i="2"/>
  <c r="T101" i="2"/>
  <c r="P86" i="2"/>
  <c r="P90" i="2"/>
  <c r="Q90" i="2" s="1"/>
  <c r="Q92" i="2" s="1"/>
  <c r="I34" i="2"/>
  <c r="I54" i="2" s="1"/>
  <c r="O66" i="2"/>
  <c r="E39" i="2"/>
  <c r="T34" i="2"/>
  <c r="T11" i="2"/>
  <c r="AK39" i="2"/>
  <c r="F39" i="2"/>
  <c r="O101" i="2"/>
  <c r="P66" i="2"/>
  <c r="P98" i="2"/>
  <c r="L38" i="2"/>
  <c r="K38" i="2"/>
  <c r="W40" i="2"/>
  <c r="M38" i="2"/>
  <c r="R99" i="2"/>
  <c r="R90" i="2"/>
  <c r="R92" i="2" s="1"/>
  <c r="R86" i="2"/>
  <c r="R87" i="2" s="1"/>
  <c r="R106" i="2" s="1"/>
  <c r="N70" i="2"/>
  <c r="N78" i="2" s="1"/>
  <c r="R70" i="2"/>
  <c r="R78" i="2" s="1"/>
  <c r="R64" i="2"/>
  <c r="R59" i="2"/>
  <c r="N64" i="2"/>
  <c r="N59" i="2"/>
  <c r="AM51" i="2"/>
  <c r="AN51" i="2"/>
  <c r="AN32" i="2"/>
  <c r="AM32" i="2"/>
  <c r="AL32" i="2"/>
  <c r="R51" i="2"/>
  <c r="S51" i="2"/>
  <c r="AO37" i="2"/>
  <c r="AP37" i="2" s="1"/>
  <c r="AQ37" i="2" s="1"/>
  <c r="AR37" i="2" s="1"/>
  <c r="AS37" i="2" s="1"/>
  <c r="AT37" i="2" s="1"/>
  <c r="AU37" i="2" s="1"/>
  <c r="AV37" i="2" s="1"/>
  <c r="AW37" i="2" s="1"/>
  <c r="AO36" i="2"/>
  <c r="AP36" i="2" s="1"/>
  <c r="AQ36" i="2" s="1"/>
  <c r="AR36" i="2" s="1"/>
  <c r="AS36" i="2" s="1"/>
  <c r="AT36" i="2" s="1"/>
  <c r="AU36" i="2" s="1"/>
  <c r="AV36" i="2" s="1"/>
  <c r="AW36" i="2" s="1"/>
  <c r="AN38" i="2"/>
  <c r="AM38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N38" i="2"/>
  <c r="N34" i="2"/>
  <c r="N54" i="2" s="1"/>
  <c r="M34" i="2"/>
  <c r="M54" i="2" s="1"/>
  <c r="L34" i="2"/>
  <c r="L54" i="2" s="1"/>
  <c r="R34" i="2"/>
  <c r="R54" i="2" s="1"/>
  <c r="Q34" i="2"/>
  <c r="Q54" i="2" s="1"/>
  <c r="P34" i="2"/>
  <c r="P54" i="2" s="1"/>
  <c r="R38" i="2"/>
  <c r="Q38" i="2"/>
  <c r="P38" i="2"/>
  <c r="O38" i="2"/>
  <c r="P47" i="2"/>
  <c r="R48" i="2"/>
  <c r="Q48" i="2"/>
  <c r="P48" i="2"/>
  <c r="R47" i="2"/>
  <c r="Q47" i="2"/>
  <c r="R31" i="2"/>
  <c r="Z32" i="2" s="1"/>
  <c r="AD31" i="2" s="1"/>
  <c r="AD32" i="2" s="1"/>
  <c r="AD47" i="2" s="1"/>
  <c r="Q31" i="2"/>
  <c r="P31" i="2"/>
  <c r="P15" i="2" s="1"/>
  <c r="O31" i="2"/>
  <c r="O32" i="2" s="1"/>
  <c r="N31" i="2"/>
  <c r="N15" i="2" s="1"/>
  <c r="M31" i="2"/>
  <c r="M15" i="2" s="1"/>
  <c r="L31" i="2"/>
  <c r="L15" i="2" s="1"/>
  <c r="K31" i="2"/>
  <c r="K15" i="2" s="1"/>
  <c r="R11" i="2"/>
  <c r="Q11" i="2"/>
  <c r="P11" i="2"/>
  <c r="N11" i="2"/>
  <c r="M11" i="2"/>
  <c r="L11" i="2"/>
  <c r="S48" i="2"/>
  <c r="M4" i="1"/>
  <c r="M7" i="1" s="1"/>
  <c r="S98" i="2"/>
  <c r="S89" i="2"/>
  <c r="U89" i="2" s="1"/>
  <c r="S90" i="2"/>
  <c r="U90" i="2" s="1"/>
  <c r="S86" i="2"/>
  <c r="S87" i="2" s="1"/>
  <c r="S70" i="2"/>
  <c r="S78" i="2" s="1"/>
  <c r="S64" i="2"/>
  <c r="S59" i="2"/>
  <c r="S58" i="2" s="1"/>
  <c r="S38" i="2"/>
  <c r="Y34" i="2" l="1"/>
  <c r="AC31" i="2"/>
  <c r="AC32" i="2" s="1"/>
  <c r="AC47" i="2" s="1"/>
  <c r="AA39" i="2"/>
  <c r="AA54" i="2"/>
  <c r="X34" i="2"/>
  <c r="AB47" i="2"/>
  <c r="R52" i="2"/>
  <c r="G41" i="2"/>
  <c r="G55" i="2"/>
  <c r="C41" i="2"/>
  <c r="C43" i="2" s="1"/>
  <c r="C44" i="2" s="1"/>
  <c r="C55" i="2"/>
  <c r="E41" i="2"/>
  <c r="E43" i="2" s="1"/>
  <c r="E44" i="2" s="1"/>
  <c r="E55" i="2"/>
  <c r="D41" i="2"/>
  <c r="D56" i="2" s="1"/>
  <c r="D55" i="2"/>
  <c r="AK41" i="2"/>
  <c r="AK43" i="2" s="1"/>
  <c r="AK44" i="2" s="1"/>
  <c r="AK55" i="2"/>
  <c r="F41" i="2"/>
  <c r="F56" i="2" s="1"/>
  <c r="F55" i="2"/>
  <c r="Q52" i="2"/>
  <c r="Z38" i="2"/>
  <c r="S52" i="2"/>
  <c r="W52" i="2"/>
  <c r="S106" i="2"/>
  <c r="I39" i="2"/>
  <c r="X47" i="2"/>
  <c r="Z34" i="2"/>
  <c r="Z54" i="2" s="1"/>
  <c r="S99" i="2"/>
  <c r="U98" i="2"/>
  <c r="U99" i="2" s="1"/>
  <c r="R66" i="2"/>
  <c r="R58" i="2"/>
  <c r="Y47" i="2"/>
  <c r="Q12" i="2"/>
  <c r="U86" i="2"/>
  <c r="U87" i="2" s="1"/>
  <c r="U106" i="2" s="1"/>
  <c r="U92" i="2"/>
  <c r="P92" i="2"/>
  <c r="S14" i="2"/>
  <c r="W32" i="2"/>
  <c r="P87" i="2"/>
  <c r="P106" i="2" s="1"/>
  <c r="Q86" i="2"/>
  <c r="Q87" i="2" s="1"/>
  <c r="Q106" i="2" s="1"/>
  <c r="E56" i="2"/>
  <c r="G43" i="2"/>
  <c r="G44" i="2" s="1"/>
  <c r="G56" i="2"/>
  <c r="P99" i="2"/>
  <c r="Q98" i="2"/>
  <c r="Q99" i="2" s="1"/>
  <c r="J39" i="2"/>
  <c r="H39" i="2"/>
  <c r="AM34" i="2"/>
  <c r="AM54" i="2" s="1"/>
  <c r="AM47" i="2"/>
  <c r="AL34" i="2"/>
  <c r="AL47" i="2"/>
  <c r="Q15" i="2"/>
  <c r="Q16" i="2" s="1"/>
  <c r="U17" i="2" s="1"/>
  <c r="U47" i="2"/>
  <c r="R15" i="2"/>
  <c r="Z47" i="2"/>
  <c r="T38" i="2"/>
  <c r="AN59" i="2"/>
  <c r="N66" i="2"/>
  <c r="AN47" i="2"/>
  <c r="U38" i="2"/>
  <c r="T54" i="2"/>
  <c r="S32" i="2"/>
  <c r="AO32" i="2" s="1"/>
  <c r="R101" i="2"/>
  <c r="K32" i="2"/>
  <c r="AN34" i="2"/>
  <c r="AN54" i="2" s="1"/>
  <c r="M39" i="2"/>
  <c r="Q14" i="2"/>
  <c r="O15" i="2"/>
  <c r="O16" i="2" s="1"/>
  <c r="R12" i="2"/>
  <c r="W45" i="2"/>
  <c r="L39" i="2"/>
  <c r="P39" i="2"/>
  <c r="V38" i="2"/>
  <c r="V52" i="2" s="1"/>
  <c r="AP38" i="2"/>
  <c r="AO38" i="2"/>
  <c r="Q39" i="2"/>
  <c r="R39" i="2"/>
  <c r="O14" i="2"/>
  <c r="P14" i="2"/>
  <c r="O34" i="2"/>
  <c r="N39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92" i="2"/>
  <c r="S66" i="2"/>
  <c r="AA41" i="2" l="1"/>
  <c r="AA55" i="2"/>
  <c r="W11" i="2"/>
  <c r="W12" i="2" s="1"/>
  <c r="AA47" i="2"/>
  <c r="D43" i="2"/>
  <c r="D44" i="2" s="1"/>
  <c r="F43" i="2"/>
  <c r="F44" i="2" s="1"/>
  <c r="C56" i="2"/>
  <c r="T107" i="2"/>
  <c r="W47" i="2"/>
  <c r="U107" i="2"/>
  <c r="N41" i="2"/>
  <c r="N43" i="2" s="1"/>
  <c r="N44" i="2" s="1"/>
  <c r="N55" i="2"/>
  <c r="R41" i="2"/>
  <c r="R43" i="2" s="1"/>
  <c r="R55" i="2"/>
  <c r="Q41" i="2"/>
  <c r="Q43" i="2" s="1"/>
  <c r="Q55" i="2"/>
  <c r="M41" i="2"/>
  <c r="M56" i="2" s="1"/>
  <c r="M55" i="2"/>
  <c r="J41" i="2"/>
  <c r="J43" i="2" s="1"/>
  <c r="J44" i="2" s="1"/>
  <c r="J55" i="2"/>
  <c r="I41" i="2"/>
  <c r="I55" i="2"/>
  <c r="AK56" i="2"/>
  <c r="P41" i="2"/>
  <c r="P43" i="2" s="1"/>
  <c r="P55" i="2"/>
  <c r="L41" i="2"/>
  <c r="L56" i="2" s="1"/>
  <c r="L55" i="2"/>
  <c r="S101" i="2"/>
  <c r="H41" i="2"/>
  <c r="H55" i="2"/>
  <c r="Z39" i="2"/>
  <c r="Z41" i="2" s="1"/>
  <c r="U52" i="2"/>
  <c r="Y52" i="2"/>
  <c r="T39" i="2"/>
  <c r="T52" i="2"/>
  <c r="X52" i="2"/>
  <c r="Z52" i="2"/>
  <c r="W34" i="2"/>
  <c r="W33" i="2" s="1"/>
  <c r="Y54" i="2"/>
  <c r="Y39" i="2"/>
  <c r="P101" i="2"/>
  <c r="X54" i="2"/>
  <c r="X39" i="2"/>
  <c r="U101" i="2"/>
  <c r="Q13" i="2"/>
  <c r="S11" i="2"/>
  <c r="S12" i="2" s="1"/>
  <c r="W13" i="2" s="1"/>
  <c r="S47" i="2"/>
  <c r="AR32" i="2"/>
  <c r="AS32" i="2" s="1"/>
  <c r="S16" i="2"/>
  <c r="U34" i="2"/>
  <c r="U39" i="2" s="1"/>
  <c r="U11" i="2"/>
  <c r="S107" i="2"/>
  <c r="R107" i="2"/>
  <c r="O47" i="2"/>
  <c r="K47" i="2"/>
  <c r="AM39" i="2"/>
  <c r="Q101" i="2"/>
  <c r="R16" i="2"/>
  <c r="AL54" i="2"/>
  <c r="AL39" i="2"/>
  <c r="AN39" i="2"/>
  <c r="V54" i="2"/>
  <c r="V47" i="2"/>
  <c r="P16" i="2"/>
  <c r="T17" i="2" s="1"/>
  <c r="N56" i="2"/>
  <c r="R56" i="2"/>
  <c r="K11" i="2"/>
  <c r="L12" i="2" s="1"/>
  <c r="P13" i="2" s="1"/>
  <c r="K34" i="2"/>
  <c r="AO45" i="2"/>
  <c r="AP45" i="2" s="1"/>
  <c r="AQ45" i="2" s="1"/>
  <c r="AR45" i="2" s="1"/>
  <c r="R13" i="2"/>
  <c r="O39" i="2"/>
  <c r="O54" i="2"/>
  <c r="AQ38" i="2"/>
  <c r="Q17" i="2"/>
  <c r="S34" i="2"/>
  <c r="O12" i="2"/>
  <c r="AA43" i="2" l="1"/>
  <c r="AA56" i="2"/>
  <c r="S17" i="2"/>
  <c r="W17" i="2"/>
  <c r="M43" i="2"/>
  <c r="M44" i="2" s="1"/>
  <c r="Z56" i="2"/>
  <c r="AN41" i="2"/>
  <c r="AN43" i="2" s="1"/>
  <c r="AN44" i="2" s="1"/>
  <c r="AN55" i="2"/>
  <c r="L43" i="2"/>
  <c r="L44" i="2" s="1"/>
  <c r="AL41" i="2"/>
  <c r="AL43" i="2" s="1"/>
  <c r="AL44" i="2" s="1"/>
  <c r="AL55" i="2"/>
  <c r="Y41" i="2"/>
  <c r="Y56" i="2" s="1"/>
  <c r="Y55" i="2"/>
  <c r="P56" i="2"/>
  <c r="Q56" i="2"/>
  <c r="Z55" i="2"/>
  <c r="H56" i="2"/>
  <c r="H43" i="2"/>
  <c r="H44" i="2" s="1"/>
  <c r="X41" i="2"/>
  <c r="X56" i="2" s="1"/>
  <c r="X55" i="2"/>
  <c r="I43" i="2"/>
  <c r="I44" i="2" s="1"/>
  <c r="I56" i="2"/>
  <c r="R17" i="2"/>
  <c r="V17" i="2"/>
  <c r="O41" i="2"/>
  <c r="O43" i="2" s="1"/>
  <c r="O55" i="2"/>
  <c r="AM41" i="2"/>
  <c r="AM43" i="2" s="1"/>
  <c r="AM44" i="2" s="1"/>
  <c r="AM55" i="2"/>
  <c r="T41" i="2"/>
  <c r="T56" i="2" s="1"/>
  <c r="T55" i="2"/>
  <c r="J56" i="2"/>
  <c r="U12" i="2"/>
  <c r="U13" i="2" s="1"/>
  <c r="V12" i="2"/>
  <c r="V13" i="2" s="1"/>
  <c r="U41" i="2"/>
  <c r="U56" i="2" s="1"/>
  <c r="U55" i="2"/>
  <c r="T12" i="2"/>
  <c r="T13" i="2" s="1"/>
  <c r="W54" i="2"/>
  <c r="W39" i="2"/>
  <c r="AN56" i="2"/>
  <c r="V39" i="2"/>
  <c r="S13" i="2"/>
  <c r="P17" i="2"/>
  <c r="Q44" i="2"/>
  <c r="Q80" i="2"/>
  <c r="U54" i="2"/>
  <c r="P44" i="2"/>
  <c r="P80" i="2"/>
  <c r="K54" i="2"/>
  <c r="K39" i="2"/>
  <c r="R44" i="2"/>
  <c r="R80" i="2"/>
  <c r="S39" i="2"/>
  <c r="S54" i="2"/>
  <c r="AS45" i="2"/>
  <c r="AO47" i="2"/>
  <c r="AO34" i="2"/>
  <c r="AO54" i="2" s="1"/>
  <c r="AR38" i="2"/>
  <c r="AA44" i="2" l="1"/>
  <c r="AA80" i="2"/>
  <c r="AL56" i="2"/>
  <c r="Y43" i="2"/>
  <c r="Y44" i="2" s="1"/>
  <c r="K41" i="2"/>
  <c r="K43" i="2" s="1"/>
  <c r="K44" i="2" s="1"/>
  <c r="K55" i="2"/>
  <c r="X43" i="2"/>
  <c r="X44" i="2" s="1"/>
  <c r="W41" i="2"/>
  <c r="W42" i="2" s="1"/>
  <c r="W56" i="2" s="1"/>
  <c r="W55" i="2"/>
  <c r="AM56" i="2"/>
  <c r="S41" i="2"/>
  <c r="S43" i="2" s="1"/>
  <c r="S44" i="2" s="1"/>
  <c r="S55" i="2"/>
  <c r="O56" i="2"/>
  <c r="T43" i="2"/>
  <c r="Z43" i="2"/>
  <c r="Z44" i="2" s="1"/>
  <c r="V41" i="2"/>
  <c r="V55" i="2"/>
  <c r="O44" i="2"/>
  <c r="O80" i="2"/>
  <c r="U43" i="2"/>
  <c r="U80" i="2" s="1"/>
  <c r="AT45" i="2"/>
  <c r="AS38" i="2"/>
  <c r="AO39" i="2"/>
  <c r="AP34" i="2"/>
  <c r="AP54" i="2" s="1"/>
  <c r="AP47" i="2"/>
  <c r="AO33" i="2"/>
  <c r="K56" i="2" l="1"/>
  <c r="S56" i="2"/>
  <c r="W43" i="2"/>
  <c r="W44" i="2" s="1"/>
  <c r="T44" i="2"/>
  <c r="T80" i="2"/>
  <c r="AO41" i="2"/>
  <c r="AO42" i="2" s="1"/>
  <c r="AO56" i="2" s="1"/>
  <c r="AO55" i="2"/>
  <c r="V56" i="2"/>
  <c r="S80" i="2"/>
  <c r="U44" i="2"/>
  <c r="AU45" i="2"/>
  <c r="AU35" i="2"/>
  <c r="AT38" i="2"/>
  <c r="AP33" i="2"/>
  <c r="AP39" i="2"/>
  <c r="AP55" i="2" s="1"/>
  <c r="AQ34" i="2"/>
  <c r="AQ54" i="2" s="1"/>
  <c r="AQ47" i="2"/>
  <c r="V43" i="2" l="1"/>
  <c r="V44" i="2" s="1"/>
  <c r="AO43" i="2"/>
  <c r="AO44" i="2" s="1"/>
  <c r="AV45" i="2"/>
  <c r="AQ33" i="2"/>
  <c r="AQ39" i="2"/>
  <c r="AQ55" i="2" s="1"/>
  <c r="AR34" i="2"/>
  <c r="AR54" i="2" s="1"/>
  <c r="AR47" i="2"/>
  <c r="AV35" i="2"/>
  <c r="AU38" i="2"/>
  <c r="V58" i="2" l="1"/>
  <c r="AO59" i="2"/>
  <c r="AP40" i="2" s="1"/>
  <c r="AP41" i="2" s="1"/>
  <c r="AP42" i="2" s="1"/>
  <c r="AP56" i="2" s="1"/>
  <c r="AW45" i="2"/>
  <c r="AW35" i="2"/>
  <c r="AW38" i="2" s="1"/>
  <c r="AV38" i="2"/>
  <c r="AR33" i="2"/>
  <c r="AR39" i="2"/>
  <c r="AR55" i="2" s="1"/>
  <c r="AT32" i="2"/>
  <c r="AS34" i="2"/>
  <c r="AS54" i="2" s="1"/>
  <c r="AS47" i="2"/>
  <c r="AP43" i="2" l="1"/>
  <c r="AP59" i="2" s="1"/>
  <c r="AQ40" i="2" s="1"/>
  <c r="W58" i="2"/>
  <c r="AU32" i="2"/>
  <c r="AT34" i="2"/>
  <c r="AT33" i="2" s="1"/>
  <c r="AT47" i="2"/>
  <c r="AS33" i="2"/>
  <c r="AS39" i="2"/>
  <c r="AS55" i="2" s="1"/>
  <c r="AP44" i="2" l="1"/>
  <c r="AT39" i="2"/>
  <c r="AT55" i="2" s="1"/>
  <c r="AT54" i="2"/>
  <c r="AQ41" i="2"/>
  <c r="AV32" i="2"/>
  <c r="AU34" i="2"/>
  <c r="AU33" i="2" s="1"/>
  <c r="AU47" i="2"/>
  <c r="AU39" i="2" l="1"/>
  <c r="AU55" i="2" s="1"/>
  <c r="AU54" i="2"/>
  <c r="AQ42" i="2"/>
  <c r="AQ56" i="2" s="1"/>
  <c r="AW32" i="2"/>
  <c r="AV34" i="2"/>
  <c r="AV33" i="2" s="1"/>
  <c r="AV47" i="2"/>
  <c r="AV39" i="2" l="1"/>
  <c r="AV55" i="2" s="1"/>
  <c r="AV54" i="2"/>
  <c r="AQ43" i="2"/>
  <c r="AW47" i="2"/>
  <c r="AW34" i="2"/>
  <c r="AW39" i="2" l="1"/>
  <c r="AW55" i="2" s="1"/>
  <c r="AW54" i="2"/>
  <c r="AW33" i="2"/>
  <c r="AQ44" i="2"/>
  <c r="AQ59" i="2"/>
  <c r="AR40" i="2" s="1"/>
  <c r="AR41" i="2" l="1"/>
  <c r="AR42" i="2" l="1"/>
  <c r="AR56" i="2" s="1"/>
  <c r="AR43" i="2" l="1"/>
  <c r="AR44" i="2" l="1"/>
  <c r="AR59" i="2"/>
  <c r="AS40" i="2" s="1"/>
  <c r="AS41" i="2" s="1"/>
  <c r="AS42" i="2" l="1"/>
  <c r="AS56" i="2" s="1"/>
  <c r="AS43" i="2" l="1"/>
  <c r="AS44" i="2" s="1"/>
  <c r="AS59" i="2" l="1"/>
  <c r="AT40" i="2" s="1"/>
  <c r="AT41" i="2" s="1"/>
  <c r="AT42" i="2" l="1"/>
  <c r="AT56" i="2" s="1"/>
  <c r="AT43" i="2" l="1"/>
  <c r="AT44" i="2" l="1"/>
  <c r="AT59" i="2"/>
  <c r="AU40" i="2" s="1"/>
  <c r="AU41" i="2" l="1"/>
  <c r="AU42" i="2" l="1"/>
  <c r="AU56" i="2" s="1"/>
  <c r="AU43" i="2" l="1"/>
  <c r="AU44" i="2" l="1"/>
  <c r="AU59" i="2"/>
  <c r="AV40" i="2" s="1"/>
  <c r="AV41" i="2" l="1"/>
  <c r="AV42" i="2" l="1"/>
  <c r="AV56" i="2" s="1"/>
  <c r="AV43" i="2" l="1"/>
  <c r="AV44" i="2" l="1"/>
  <c r="AV59" i="2"/>
  <c r="AW40" i="2" s="1"/>
  <c r="AW41" i="2" l="1"/>
  <c r="AW42" i="2" l="1"/>
  <c r="AW56" i="2" s="1"/>
  <c r="AW43" i="2" l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BB55" i="2" l="1"/>
  <c r="BB59" i="2" s="1"/>
  <c r="BB60" i="2" s="1"/>
  <c r="AW44" i="2"/>
  <c r="AW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</commentList>
</comments>
</file>

<file path=xl/sharedStrings.xml><?xml version="1.0" encoding="utf-8"?>
<sst xmlns="http://schemas.openxmlformats.org/spreadsheetml/2006/main" count="250" uniqueCount="215">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</sst>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1288</xdr:colOff>
      <xdr:row>0</xdr:row>
      <xdr:rowOff>12390</xdr:rowOff>
    </xdr:from>
    <xdr:to>
      <xdr:col>27</xdr:col>
      <xdr:colOff>1288</xdr:colOff>
      <xdr:row>128</xdr:row>
      <xdr:rowOff>12391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6783873" y="12390"/>
          <a:ext cx="0" cy="19677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0</xdr:row>
      <xdr:rowOff>0</xdr:rowOff>
    </xdr:from>
    <xdr:to>
      <xdr:col>40</xdr:col>
      <xdr:colOff>28575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1" dT="2022-09-30T13:25:09.70" personId="{527D12BE-C9D2-4ADE-8FA6-64C9EAF4387F}" id="{FBBFA768-8F12-42F0-9C0B-EE828045336C}">
    <text>Reels &gt;1B run-rate</text>
  </threadedComment>
  <threadedComment ref="R32" dT="2022-06-12T02:12:46.51" personId="{527D12BE-C9D2-4ADE-8FA6-64C9EAF4387F}" id="{0E3DC74B-1EA6-4DE1-9FC1-22223C626216}">
    <text>Q321: 31.5B-34B guidance</text>
  </threadedComment>
  <threadedComment ref="S32" dT="2022-06-12T01:45:07.26" personId="{527D12BE-C9D2-4ADE-8FA6-64C9EAF4387F}" id="{BD43B5D8-C5C9-4E17-8362-9EF57E1B35E5}">
    <text>Q421 guidance: 27-29B</text>
  </threadedComment>
  <threadedComment ref="T32" dT="2022-06-11T18:28:26.10" personId="{527D12BE-C9D2-4ADE-8FA6-64C9EAF4387F}" id="{8C543166-7E6A-448B-B7E3-720F51E35135}">
    <text>Q122 guidance: 28-30B</text>
  </threadedComment>
  <threadedComment ref="U32" dT="2022-07-27T23:03:53.04" personId="{527D12BE-C9D2-4ADE-8FA6-64C9EAF4387F}" id="{37B1D132-4F99-4BFA-B9DE-FA9D39796D75}">
    <text>Q222 guidance: 26-28.5B</text>
  </threadedComment>
  <threadedComment ref="V32" dT="2022-10-27T13:48:29.91" personId="{527D12BE-C9D2-4ADE-8FA6-64C9EAF4387F}" id="{9BAC047B-9C13-4083-9E91-56CC4B86282A}">
    <text>Q322: 30.0-32.5B</text>
  </threadedComment>
  <threadedComment ref="W32" dT="2023-02-01T21:20:58.90" personId="{527D12BE-C9D2-4ADE-8FA6-64C9EAF4387F}" id="{48BE0944-3BDD-4973-B1C2-88AA905BEB25}">
    <text>26.0-28.5B given Q422
Consensus 27.65B 4/26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abSelected="1" topLeftCell="B1" zoomScale="175" zoomScaleNormal="175" workbookViewId="0">
      <selection activeCell="I13" sqref="I13"/>
    </sheetView>
  </sheetViews>
  <sheetFormatPr defaultColWidth="8.88671875" defaultRowHeight="13.2" x14ac:dyDescent="0.25"/>
  <cols>
    <col min="2" max="2" width="13" customWidth="1"/>
    <col min="13" max="13" width="9.6640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443</v>
      </c>
    </row>
    <row r="3" spans="1:14" x14ac:dyDescent="0.25">
      <c r="B3" t="s">
        <v>29</v>
      </c>
      <c r="C3" t="s">
        <v>106</v>
      </c>
      <c r="L3" t="s">
        <v>2</v>
      </c>
      <c r="M3" s="3">
        <v>2625</v>
      </c>
      <c r="N3" s="1" t="s">
        <v>204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1162875</v>
      </c>
    </row>
    <row r="5" spans="1:14" x14ac:dyDescent="0.25">
      <c r="C5" t="s">
        <v>214</v>
      </c>
      <c r="L5" t="s">
        <v>4</v>
      </c>
      <c r="M5" s="3"/>
      <c r="N5" s="1"/>
    </row>
    <row r="6" spans="1:14" x14ac:dyDescent="0.25">
      <c r="B6" t="s">
        <v>31</v>
      </c>
      <c r="L6" t="s">
        <v>5</v>
      </c>
      <c r="M6" s="3"/>
      <c r="N6" s="1"/>
    </row>
    <row r="7" spans="1:14" x14ac:dyDescent="0.25">
      <c r="L7" t="s">
        <v>6</v>
      </c>
      <c r="M7" s="3">
        <f>+M4-M5+M6</f>
        <v>1162875</v>
      </c>
    </row>
    <row r="8" spans="1:14" x14ac:dyDescent="0.25">
      <c r="B8" s="5" t="s">
        <v>34</v>
      </c>
      <c r="M8">
        <f>+M7/(47000*1.1)</f>
        <v>22.492746615087036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x14ac:dyDescent="0.25">
      <c r="B18" t="s">
        <v>92</v>
      </c>
      <c r="L18" s="5" t="s">
        <v>75</v>
      </c>
    </row>
    <row r="19" spans="2:12" x14ac:dyDescent="0.25">
      <c r="B19" t="s">
        <v>102</v>
      </c>
      <c r="L19" t="s">
        <v>195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A115"/>
  <sheetViews>
    <sheetView zoomScale="205" zoomScaleNormal="205" workbookViewId="0">
      <pane xSplit="2" ySplit="2" topLeftCell="AU43" activePane="bottomRight" state="frozen"/>
      <selection pane="topRight" activeCell="C1" sqref="C1"/>
      <selection pane="bottomLeft" activeCell="A3" sqref="A3"/>
      <selection pane="bottomRight" activeCell="AU48" sqref="AU48"/>
    </sheetView>
  </sheetViews>
  <sheetFormatPr defaultColWidth="8.88671875" defaultRowHeight="13.2" x14ac:dyDescent="0.25"/>
  <cols>
    <col min="1" max="1" width="5" bestFit="1" customWidth="1"/>
    <col min="2" max="2" width="21.88671875" customWidth="1"/>
    <col min="3" max="25" width="9.109375" style="1"/>
  </cols>
  <sheetData>
    <row r="1" spans="1:49" x14ac:dyDescent="0.25">
      <c r="A1" s="2" t="s">
        <v>7</v>
      </c>
    </row>
    <row r="2" spans="1:49" x14ac:dyDescent="0.25">
      <c r="C2" s="1" t="s">
        <v>124</v>
      </c>
      <c r="D2" s="1" t="s">
        <v>123</v>
      </c>
      <c r="E2" s="1" t="s">
        <v>122</v>
      </c>
      <c r="F2" s="1" t="s">
        <v>121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204</v>
      </c>
      <c r="AB2" s="1" t="s">
        <v>205</v>
      </c>
      <c r="AC2" s="1" t="s">
        <v>206</v>
      </c>
      <c r="AD2" s="1" t="s">
        <v>207</v>
      </c>
      <c r="AF2">
        <v>2013</v>
      </c>
      <c r="AG2">
        <v>2014</v>
      </c>
      <c r="AH2">
        <v>2015</v>
      </c>
      <c r="AI2">
        <f>+AH2+1</f>
        <v>2016</v>
      </c>
      <c r="AJ2">
        <f t="shared" ref="AJ2:AW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  <c r="AU2">
        <f t="shared" si="0"/>
        <v>2028</v>
      </c>
      <c r="AV2">
        <f t="shared" si="0"/>
        <v>2029</v>
      </c>
      <c r="AW2">
        <f t="shared" si="0"/>
        <v>2030</v>
      </c>
    </row>
    <row r="3" spans="1:49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  <c r="AA3" s="3">
        <v>3240</v>
      </c>
    </row>
    <row r="4" spans="1:49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49" s="3" customFormat="1" x14ac:dyDescent="0.25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49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49" s="3" customFormat="1" x14ac:dyDescent="0.25">
      <c r="B7" s="3" t="s">
        <v>203</v>
      </c>
      <c r="C7" s="6"/>
      <c r="D7" s="6"/>
      <c r="E7" s="6"/>
      <c r="F7" s="6"/>
      <c r="G7" s="6"/>
      <c r="H7" s="6"/>
      <c r="I7" s="6"/>
      <c r="J7" s="9"/>
      <c r="K7" s="9">
        <f t="shared" ref="K7:U7" si="1">+K27/K6</f>
        <v>42.969230769230769</v>
      </c>
      <c r="L7" s="9">
        <f t="shared" si="1"/>
        <v>45.752525252525253</v>
      </c>
      <c r="M7" s="9">
        <f t="shared" si="1"/>
        <v>50.95918367346939</v>
      </c>
      <c r="N7" s="9">
        <f t="shared" si="1"/>
        <v>67.435897435897431</v>
      </c>
      <c r="O7" s="9">
        <f t="shared" si="1"/>
        <v>61.01025641025641</v>
      </c>
      <c r="P7" s="9">
        <f t="shared" si="1"/>
        <v>68.543589743589749</v>
      </c>
      <c r="Q7" s="9">
        <f t="shared" si="1"/>
        <v>66.806122448979593</v>
      </c>
      <c r="R7" s="9">
        <f t="shared" si="1"/>
        <v>77.241025641025644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6"/>
      <c r="W7" s="6"/>
      <c r="X7" s="6"/>
      <c r="Y7" s="6"/>
    </row>
    <row r="8" spans="1:49" s="3" customFormat="1" x14ac:dyDescent="0.25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49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49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49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W11" si="2">+K32/K4</f>
        <v>5.9321070234113709</v>
      </c>
      <c r="L11" s="9">
        <f t="shared" si="2"/>
        <v>5.9512738853503189</v>
      </c>
      <c r="M11" s="9">
        <f t="shared" si="2"/>
        <v>6.6884735202492216</v>
      </c>
      <c r="N11" s="9">
        <f t="shared" si="2"/>
        <v>8.5066666666666659</v>
      </c>
      <c r="O11" s="9">
        <f t="shared" si="2"/>
        <v>7.5857971014492751</v>
      </c>
      <c r="P11" s="9">
        <f t="shared" si="2"/>
        <v>8.2840455840455842</v>
      </c>
      <c r="Q11" s="9">
        <f t="shared" si="2"/>
        <v>8.1033519553072626</v>
      </c>
      <c r="R11" s="9">
        <f t="shared" si="2"/>
        <v>9.3791086350974933</v>
      </c>
      <c r="S11" s="9">
        <f t="shared" si="2"/>
        <v>7.6670329670329673</v>
      </c>
      <c r="T11" s="9">
        <f t="shared" si="2"/>
        <v>7.8964383561643832</v>
      </c>
      <c r="U11" s="9">
        <f t="shared" si="2"/>
        <v>7.4700808625336927</v>
      </c>
      <c r="V11" s="9">
        <f t="shared" si="2"/>
        <v>8.6002673796791438</v>
      </c>
      <c r="W11" s="9">
        <f t="shared" si="2"/>
        <v>7.5183727034120738</v>
      </c>
      <c r="X11" s="6"/>
      <c r="Y11" s="6"/>
    </row>
    <row r="12" spans="1:49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3">AVERAGE(K11:L11)</f>
        <v>5.9416904543808453</v>
      </c>
      <c r="M12" s="9">
        <f t="shared" si="3"/>
        <v>6.3198737027997698</v>
      </c>
      <c r="N12" s="9">
        <f t="shared" si="3"/>
        <v>7.5975700934579438</v>
      </c>
      <c r="O12" s="9">
        <f t="shared" si="3"/>
        <v>8.0462318840579705</v>
      </c>
      <c r="P12" s="9">
        <f t="shared" si="3"/>
        <v>7.9349213427474297</v>
      </c>
      <c r="Q12" s="9">
        <f t="shared" si="3"/>
        <v>8.1936987696764234</v>
      </c>
      <c r="R12" s="9">
        <f t="shared" si="3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</row>
    <row r="13" spans="1:49" s="13" customFormat="1" x14ac:dyDescent="0.25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4">P12/L12-1</f>
        <v>0.33546528612862403</v>
      </c>
      <c r="Q13" s="16">
        <f t="shared" si="4"/>
        <v>0.29649723317200616</v>
      </c>
      <c r="R13" s="16">
        <f t="shared" si="4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</row>
    <row r="14" spans="1:49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W14" si="5">+K31/K4</f>
        <v>5.8327759197324411</v>
      </c>
      <c r="L14" s="9">
        <f t="shared" si="5"/>
        <v>5.834713375796178</v>
      </c>
      <c r="M14" s="9">
        <f t="shared" si="5"/>
        <v>6.6109034267912774</v>
      </c>
      <c r="N14" s="9">
        <f t="shared" si="5"/>
        <v>8.2384848484848483</v>
      </c>
      <c r="O14" s="9">
        <f t="shared" si="5"/>
        <v>7.373623188405797</v>
      </c>
      <c r="P14" s="9">
        <f t="shared" si="5"/>
        <v>8.1424501424501425</v>
      </c>
      <c r="Q14" s="9">
        <f t="shared" si="5"/>
        <v>7.8983240223463689</v>
      </c>
      <c r="R14" s="9">
        <f t="shared" si="5"/>
        <v>9.0916434540389979</v>
      </c>
      <c r="S14" s="9">
        <f t="shared" si="5"/>
        <v>7.4170329670329673</v>
      </c>
      <c r="T14" s="9">
        <f t="shared" si="5"/>
        <v>7.7128767123287671</v>
      </c>
      <c r="U14" s="9">
        <f t="shared" si="5"/>
        <v>7.3415094339622637</v>
      </c>
      <c r="V14" s="9">
        <f t="shared" si="5"/>
        <v>8.3566844919786103</v>
      </c>
      <c r="W14" s="9">
        <f t="shared" si="5"/>
        <v>7.3755905511811024</v>
      </c>
      <c r="X14" s="6"/>
      <c r="Y14" s="6"/>
    </row>
    <row r="15" spans="1:49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W15" si="6">+K31/K3</f>
        <v>7.3898305084745761</v>
      </c>
      <c r="L15" s="9">
        <f t="shared" si="6"/>
        <v>7.4174089068825912</v>
      </c>
      <c r="M15" s="9">
        <f t="shared" si="6"/>
        <v>8.3547244094488189</v>
      </c>
      <c r="N15" s="9">
        <f t="shared" si="6"/>
        <v>10.456538461538461</v>
      </c>
      <c r="O15" s="9">
        <f t="shared" si="6"/>
        <v>9.3525735294117656</v>
      </c>
      <c r="P15" s="9">
        <f t="shared" si="6"/>
        <v>10.355072463768115</v>
      </c>
      <c r="Q15" s="9">
        <f t="shared" si="6"/>
        <v>10.062633451957295</v>
      </c>
      <c r="R15" s="9">
        <f t="shared" si="6"/>
        <v>11.574113475177304</v>
      </c>
      <c r="S15" s="9">
        <f t="shared" si="6"/>
        <v>9.4069686411149824</v>
      </c>
      <c r="T15" s="9">
        <f t="shared" si="6"/>
        <v>9.7750000000000004</v>
      </c>
      <c r="U15" s="9">
        <f t="shared" si="6"/>
        <v>9.2959044368600683</v>
      </c>
      <c r="V15" s="9">
        <f t="shared" si="6"/>
        <v>10.558783783783785</v>
      </c>
      <c r="W15" s="9">
        <f t="shared" si="6"/>
        <v>9.3049668874172191</v>
      </c>
      <c r="X15" s="6"/>
      <c r="Y15" s="6"/>
    </row>
    <row r="16" spans="1:49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7">AVERAGE(K15:L15)</f>
        <v>7.4036197076785832</v>
      </c>
      <c r="M16" s="9">
        <f t="shared" si="7"/>
        <v>7.8860666581657046</v>
      </c>
      <c r="N16" s="9">
        <f t="shared" si="7"/>
        <v>9.405631435493639</v>
      </c>
      <c r="O16" s="9">
        <f t="shared" si="7"/>
        <v>9.9045559954751141</v>
      </c>
      <c r="P16" s="9">
        <f t="shared" si="7"/>
        <v>9.8538229965899404</v>
      </c>
      <c r="Q16" s="9">
        <f t="shared" si="7"/>
        <v>10.208852957862705</v>
      </c>
      <c r="R16" s="9">
        <f t="shared" si="7"/>
        <v>10.818373463567299</v>
      </c>
      <c r="S16" s="9">
        <f>AVERAGE(R15:S15)</f>
        <v>10.490541058146142</v>
      </c>
      <c r="T16" s="9">
        <f t="shared" ref="T16:U16" si="8">AVERAGE(S15:T15)</f>
        <v>9.5909843205574923</v>
      </c>
      <c r="U16" s="9">
        <f t="shared" si="8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</row>
    <row r="17" spans="2:49" s="13" customFormat="1" x14ac:dyDescent="0.25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9">P16/L16-1</f>
        <v>0.33094667009573109</v>
      </c>
      <c r="Q17" s="16">
        <f t="shared" si="9"/>
        <v>0.29454307202588104</v>
      </c>
      <c r="R17" s="16">
        <f t="shared" si="9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49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49" s="3" customFormat="1" x14ac:dyDescent="0.25">
      <c r="B19" s="3" t="s">
        <v>209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12024</v>
      </c>
      <c r="T19" s="6">
        <v>12788</v>
      </c>
      <c r="U19" s="6">
        <v>12766</v>
      </c>
      <c r="V19" s="6">
        <v>15005</v>
      </c>
      <c r="W19" s="6">
        <v>12710</v>
      </c>
      <c r="X19" s="6">
        <v>14131</v>
      </c>
      <c r="Y19" s="6">
        <v>14956</v>
      </c>
      <c r="Z19" s="3">
        <v>17784</v>
      </c>
      <c r="AA19" s="3">
        <v>15451</v>
      </c>
    </row>
    <row r="20" spans="2:49" s="3" customFormat="1" x14ac:dyDescent="0.25">
      <c r="B20" s="3" t="s">
        <v>210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6364</v>
      </c>
      <c r="T20" s="6">
        <v>6360</v>
      </c>
      <c r="U20" s="6">
        <v>5707</v>
      </c>
      <c r="V20" s="6">
        <v>6904</v>
      </c>
      <c r="W20" s="6">
        <v>6269</v>
      </c>
      <c r="X20" s="6">
        <v>7268</v>
      </c>
      <c r="Y20" s="6">
        <v>7721</v>
      </c>
      <c r="Z20" s="3">
        <v>9159</v>
      </c>
      <c r="AA20" s="3">
        <v>8327</v>
      </c>
    </row>
    <row r="21" spans="2:49" s="3" customFormat="1" x14ac:dyDescent="0.25">
      <c r="B21" s="3" t="s">
        <v>211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5661</v>
      </c>
      <c r="T21" s="6">
        <v>5835</v>
      </c>
      <c r="U21" s="6">
        <v>5717</v>
      </c>
      <c r="V21" s="6">
        <v>5968</v>
      </c>
      <c r="W21" s="6">
        <v>5893</v>
      </c>
      <c r="X21" s="6">
        <v>6435</v>
      </c>
      <c r="Y21" s="6">
        <v>6829</v>
      </c>
      <c r="Z21" s="3">
        <v>7316</v>
      </c>
      <c r="AA21" s="3">
        <v>7338</v>
      </c>
    </row>
    <row r="22" spans="2:49" s="3" customFormat="1" x14ac:dyDescent="0.25">
      <c r="B22" s="3" t="s">
        <v>212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2949</v>
      </c>
      <c r="T22" s="6">
        <v>3169</v>
      </c>
      <c r="U22" s="6">
        <v>3047</v>
      </c>
      <c r="V22" s="6">
        <v>3377</v>
      </c>
      <c r="W22" s="6">
        <v>3229</v>
      </c>
      <c r="X22" s="6">
        <v>3664</v>
      </c>
      <c r="Y22" s="6">
        <v>4137</v>
      </c>
      <c r="Z22" s="3">
        <v>4447</v>
      </c>
      <c r="AA22" s="3">
        <v>4519</v>
      </c>
    </row>
    <row r="23" spans="2:49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49" s="3" customFormat="1" x14ac:dyDescent="0.25">
      <c r="B24" s="3" t="s">
        <v>213</v>
      </c>
      <c r="C24" s="6"/>
      <c r="D24" s="6"/>
      <c r="E24" s="6"/>
      <c r="F24" s="6"/>
      <c r="G24" s="6"/>
      <c r="H24" s="6"/>
      <c r="I24" s="6"/>
      <c r="J24" s="6"/>
      <c r="K24" s="6">
        <v>1654</v>
      </c>
      <c r="L24" s="6">
        <v>1539</v>
      </c>
      <c r="M24" s="6">
        <v>1980</v>
      </c>
      <c r="N24" s="6">
        <v>2512</v>
      </c>
      <c r="O24" s="6">
        <v>2434</v>
      </c>
      <c r="P24" s="6">
        <v>2857</v>
      </c>
      <c r="Q24" s="6">
        <v>2963</v>
      </c>
      <c r="R24" s="6">
        <v>3220</v>
      </c>
      <c r="S24" s="6"/>
      <c r="T24" s="6"/>
      <c r="U24" s="6"/>
      <c r="V24" s="21"/>
      <c r="W24" s="6">
        <v>3145</v>
      </c>
      <c r="X24" s="6"/>
      <c r="Y24" s="6"/>
      <c r="AA24" s="3">
        <v>4093</v>
      </c>
    </row>
    <row r="25" spans="2:49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>
        <v>3236</v>
      </c>
      <c r="L25" s="6">
        <v>3312</v>
      </c>
      <c r="M25" s="6">
        <v>4202</v>
      </c>
      <c r="N25" s="6">
        <v>4703</v>
      </c>
      <c r="O25" s="6">
        <v>4735</v>
      </c>
      <c r="P25" s="6">
        <v>5152</v>
      </c>
      <c r="Q25" s="6">
        <v>5398</v>
      </c>
      <c r="R25" s="6">
        <v>6183</v>
      </c>
      <c r="S25" s="6"/>
      <c r="T25" s="6"/>
      <c r="U25" s="6"/>
      <c r="V25" s="21"/>
      <c r="W25" s="6">
        <v>7292</v>
      </c>
      <c r="X25" s="6"/>
      <c r="Y25" s="6"/>
      <c r="AA25" s="3">
        <v>10312</v>
      </c>
    </row>
    <row r="26" spans="2:49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>
        <v>4171</v>
      </c>
      <c r="L26" s="6">
        <v>4411</v>
      </c>
      <c r="M26" s="6">
        <v>5051</v>
      </c>
      <c r="N26" s="6">
        <v>6822</v>
      </c>
      <c r="O26" s="6">
        <v>6373</v>
      </c>
      <c r="P26" s="6">
        <v>7205</v>
      </c>
      <c r="Q26" s="6">
        <v>6821</v>
      </c>
      <c r="R26" s="6">
        <v>8174</v>
      </c>
      <c r="S26" s="6"/>
      <c r="T26" s="6"/>
      <c r="U26" s="6"/>
      <c r="V26" s="21"/>
      <c r="W26" s="6">
        <v>6759</v>
      </c>
      <c r="X26" s="6"/>
      <c r="Y26" s="6"/>
      <c r="AA26" s="3">
        <v>8404</v>
      </c>
    </row>
    <row r="27" spans="2:49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>
        <v>8379</v>
      </c>
      <c r="L27" s="6">
        <v>9059</v>
      </c>
      <c r="M27" s="6">
        <v>9988</v>
      </c>
      <c r="N27" s="6">
        <v>13150</v>
      </c>
      <c r="O27" s="6">
        <v>11897</v>
      </c>
      <c r="P27" s="6">
        <v>13366</v>
      </c>
      <c r="Q27" s="6">
        <v>13094</v>
      </c>
      <c r="R27" s="6">
        <v>15062</v>
      </c>
      <c r="S27" s="6"/>
      <c r="T27" s="6"/>
      <c r="U27" s="6"/>
      <c r="V27" s="21"/>
      <c r="W27" s="6">
        <v>11449</v>
      </c>
      <c r="X27" s="6"/>
      <c r="Y27" s="6"/>
      <c r="AA27" s="3">
        <v>13646</v>
      </c>
    </row>
    <row r="28" spans="2:49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1"/>
      <c r="W28" s="6"/>
      <c r="X28" s="6"/>
      <c r="Y28" s="6"/>
    </row>
    <row r="29" spans="2:49" s="3" customFormat="1" x14ac:dyDescent="0.25">
      <c r="B29" s="3" t="s">
        <v>55</v>
      </c>
      <c r="C29" s="6">
        <v>171</v>
      </c>
      <c r="D29" s="6">
        <v>193</v>
      </c>
      <c r="E29" s="6">
        <v>188</v>
      </c>
      <c r="F29" s="6">
        <v>274</v>
      </c>
      <c r="G29" s="6">
        <v>165</v>
      </c>
      <c r="H29" s="6">
        <v>262</v>
      </c>
      <c r="I29" s="6">
        <v>269</v>
      </c>
      <c r="J29" s="6">
        <v>346</v>
      </c>
      <c r="K29" s="6">
        <v>297</v>
      </c>
      <c r="L29" s="6"/>
      <c r="M29" s="6"/>
      <c r="N29" s="6">
        <v>168</v>
      </c>
      <c r="O29" s="6">
        <v>198</v>
      </c>
      <c r="P29" s="6">
        <v>192</v>
      </c>
      <c r="Q29" s="6">
        <v>176</v>
      </c>
      <c r="R29" s="6">
        <v>155</v>
      </c>
      <c r="S29" s="6">
        <v>215</v>
      </c>
      <c r="T29" s="6">
        <v>218</v>
      </c>
      <c r="U29" s="6">
        <v>192</v>
      </c>
      <c r="V29" s="6">
        <v>184</v>
      </c>
      <c r="W29" s="6">
        <v>205</v>
      </c>
      <c r="X29" s="6">
        <v>225</v>
      </c>
      <c r="Y29" s="6">
        <v>293</v>
      </c>
      <c r="Z29" s="3">
        <v>334</v>
      </c>
      <c r="AA29" s="3">
        <v>380</v>
      </c>
      <c r="AK29" s="3">
        <v>825</v>
      </c>
      <c r="AL29" s="3">
        <v>541</v>
      </c>
      <c r="AM29" s="3">
        <v>657</v>
      </c>
      <c r="AN29" s="3">
        <v>721</v>
      </c>
    </row>
    <row r="30" spans="2:49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717</v>
      </c>
      <c r="O30" s="6">
        <v>534</v>
      </c>
      <c r="P30" s="6">
        <v>305</v>
      </c>
      <c r="Q30" s="6">
        <v>558</v>
      </c>
      <c r="R30" s="6">
        <v>877</v>
      </c>
      <c r="S30" s="6">
        <v>695</v>
      </c>
      <c r="T30" s="6">
        <v>452</v>
      </c>
      <c r="U30" s="6">
        <v>285</v>
      </c>
      <c r="V30" s="6">
        <v>727</v>
      </c>
      <c r="W30" s="6">
        <v>339</v>
      </c>
      <c r="X30" s="6">
        <v>276</v>
      </c>
      <c r="Y30" s="6">
        <v>210</v>
      </c>
      <c r="Z30" s="3">
        <v>1071</v>
      </c>
      <c r="AA30" s="3">
        <v>440</v>
      </c>
      <c r="AL30" s="3">
        <v>501</v>
      </c>
      <c r="AM30" s="3">
        <v>1139</v>
      </c>
      <c r="AN30" s="3">
        <v>2274</v>
      </c>
    </row>
    <row r="31" spans="2:49" s="3" customFormat="1" x14ac:dyDescent="0.25">
      <c r="B31" s="3" t="s">
        <v>82</v>
      </c>
      <c r="C31" s="6">
        <v>11795</v>
      </c>
      <c r="D31" s="6">
        <v>13038</v>
      </c>
      <c r="E31" s="6">
        <v>13539</v>
      </c>
      <c r="F31" s="6">
        <v>16640</v>
      </c>
      <c r="G31" s="6">
        <v>14912</v>
      </c>
      <c r="H31" s="6">
        <v>16624</v>
      </c>
      <c r="I31" s="6">
        <v>17383</v>
      </c>
      <c r="J31" s="6">
        <v>20736</v>
      </c>
      <c r="K31" s="6">
        <f>SUM(K24:K27)</f>
        <v>17440</v>
      </c>
      <c r="L31" s="6">
        <f t="shared" ref="L31:R31" si="10">SUM(L24:L27)</f>
        <v>18321</v>
      </c>
      <c r="M31" s="6">
        <f t="shared" si="10"/>
        <v>21221</v>
      </c>
      <c r="N31" s="6">
        <f t="shared" si="10"/>
        <v>27187</v>
      </c>
      <c r="O31" s="6">
        <f t="shared" si="10"/>
        <v>25439</v>
      </c>
      <c r="P31" s="6">
        <f t="shared" si="10"/>
        <v>28580</v>
      </c>
      <c r="Q31" s="6">
        <f t="shared" si="10"/>
        <v>28276</v>
      </c>
      <c r="R31" s="6">
        <f t="shared" si="10"/>
        <v>32639</v>
      </c>
      <c r="S31" s="6">
        <f>SUM(S19:S22)</f>
        <v>26998</v>
      </c>
      <c r="T31" s="6">
        <f>SUM(T19:T22)</f>
        <v>28152</v>
      </c>
      <c r="U31" s="6">
        <f>SUM(U19:U22)</f>
        <v>27237</v>
      </c>
      <c r="V31" s="6">
        <v>31254</v>
      </c>
      <c r="W31" s="6">
        <v>28101</v>
      </c>
      <c r="X31" s="6">
        <v>31498</v>
      </c>
      <c r="Y31" s="6">
        <v>33643</v>
      </c>
      <c r="Z31" s="6">
        <v>38706</v>
      </c>
      <c r="AA31" s="6">
        <v>35635</v>
      </c>
      <c r="AB31" s="6">
        <v>37500</v>
      </c>
      <c r="AC31" s="6">
        <f>+Y32*1.1</f>
        <v>37560.600000000006</v>
      </c>
      <c r="AD31" s="6">
        <f>+Z32*1.1</f>
        <v>44122.100000000006</v>
      </c>
      <c r="AF31" s="3">
        <v>7872</v>
      </c>
      <c r="AG31" s="3">
        <v>12466</v>
      </c>
      <c r="AH31" s="3">
        <v>17928</v>
      </c>
      <c r="AI31" s="3">
        <v>27638</v>
      </c>
      <c r="AJ31" s="3">
        <v>40653</v>
      </c>
      <c r="AK31" s="3">
        <v>55013</v>
      </c>
      <c r="AL31" s="3">
        <v>69655</v>
      </c>
      <c r="AM31" s="3">
        <v>84169</v>
      </c>
      <c r="AN31" s="3">
        <v>114934</v>
      </c>
    </row>
    <row r="32" spans="2:49" s="7" customFormat="1" x14ac:dyDescent="0.25">
      <c r="B32" s="7" t="s">
        <v>24</v>
      </c>
      <c r="C32" s="8">
        <f t="shared" ref="C32:I32" si="11">SUM(C29:C31)</f>
        <v>11966</v>
      </c>
      <c r="D32" s="8">
        <f t="shared" si="11"/>
        <v>13231</v>
      </c>
      <c r="E32" s="8">
        <f t="shared" si="11"/>
        <v>13727</v>
      </c>
      <c r="F32" s="8">
        <f t="shared" si="11"/>
        <v>16914</v>
      </c>
      <c r="G32" s="8">
        <f t="shared" ref="G32" si="12">SUM(G29:G31)</f>
        <v>15077</v>
      </c>
      <c r="H32" s="8">
        <f t="shared" si="11"/>
        <v>16886</v>
      </c>
      <c r="I32" s="8">
        <f t="shared" si="11"/>
        <v>17652</v>
      </c>
      <c r="J32" s="8">
        <f>SUM(J29:J31)</f>
        <v>21082</v>
      </c>
      <c r="K32" s="8">
        <f>SUM(K29:K31)</f>
        <v>17737</v>
      </c>
      <c r="L32" s="8">
        <v>18687</v>
      </c>
      <c r="M32" s="8">
        <v>21470</v>
      </c>
      <c r="N32" s="8">
        <v>28072</v>
      </c>
      <c r="O32" s="8">
        <f>SUM(O29:O31)</f>
        <v>26171</v>
      </c>
      <c r="P32" s="8">
        <v>29077</v>
      </c>
      <c r="Q32" s="8">
        <v>29010</v>
      </c>
      <c r="R32" s="8">
        <v>33671</v>
      </c>
      <c r="S32" s="8">
        <f>SUM(S29:S31)</f>
        <v>27908</v>
      </c>
      <c r="T32" s="8">
        <f>SUM(T29:T31)</f>
        <v>28822</v>
      </c>
      <c r="U32" s="8">
        <f>SUM(U29:U31)</f>
        <v>27714</v>
      </c>
      <c r="V32" s="8">
        <v>32165</v>
      </c>
      <c r="W32" s="8">
        <f>SUM(W29:W31)</f>
        <v>28645</v>
      </c>
      <c r="X32" s="8">
        <f>SUM(X29:X31)</f>
        <v>31999</v>
      </c>
      <c r="Y32" s="8">
        <f t="shared" ref="Y32:AD32" si="13">SUM(Y29:Y31)</f>
        <v>34146</v>
      </c>
      <c r="Z32" s="8">
        <f t="shared" si="13"/>
        <v>40111</v>
      </c>
      <c r="AA32" s="8">
        <f t="shared" si="13"/>
        <v>36455</v>
      </c>
      <c r="AB32" s="8">
        <f t="shared" si="13"/>
        <v>37500</v>
      </c>
      <c r="AC32" s="8">
        <f t="shared" si="13"/>
        <v>37560.600000000006</v>
      </c>
      <c r="AD32" s="8">
        <f t="shared" si="13"/>
        <v>44122.100000000006</v>
      </c>
      <c r="AF32" s="7">
        <f t="shared" ref="AF32:AK32" si="14">SUM(AF29:AF31)</f>
        <v>7872</v>
      </c>
      <c r="AG32" s="7">
        <f t="shared" si="14"/>
        <v>12466</v>
      </c>
      <c r="AH32" s="7">
        <f t="shared" si="14"/>
        <v>17928</v>
      </c>
      <c r="AI32" s="7">
        <f t="shared" si="14"/>
        <v>27638</v>
      </c>
      <c r="AJ32" s="7">
        <f t="shared" si="14"/>
        <v>40653</v>
      </c>
      <c r="AK32" s="7">
        <f t="shared" si="14"/>
        <v>55838</v>
      </c>
      <c r="AL32" s="7">
        <f>SUM(AL29:AL31)</f>
        <v>70697</v>
      </c>
      <c r="AM32" s="7">
        <f t="shared" ref="AM32:AN32" si="15">SUM(AM29:AM31)</f>
        <v>85965</v>
      </c>
      <c r="AN32" s="7">
        <f t="shared" si="15"/>
        <v>117929</v>
      </c>
      <c r="AO32" s="7">
        <f>SUM(S32:V32)</f>
        <v>116609</v>
      </c>
      <c r="AP32" s="7">
        <f>SUM(W32:Z32)</f>
        <v>134901</v>
      </c>
      <c r="AQ32" s="7">
        <f>SUM(AA32:AD32)</f>
        <v>155637.70000000001</v>
      </c>
      <c r="AR32" s="7">
        <f>+AQ32*1.1</f>
        <v>171201.47000000003</v>
      </c>
      <c r="AS32" s="7">
        <f>+AR32*1.05</f>
        <v>179761.54350000003</v>
      </c>
      <c r="AT32" s="7">
        <f t="shared" ref="AT32:AW32" si="16">+AS32*1.03</f>
        <v>185154.38980500004</v>
      </c>
      <c r="AU32" s="7">
        <f t="shared" si="16"/>
        <v>190709.02149915005</v>
      </c>
      <c r="AV32" s="7">
        <f t="shared" si="16"/>
        <v>196430.29214412457</v>
      </c>
      <c r="AW32" s="7">
        <f t="shared" si="16"/>
        <v>202323.20090844831</v>
      </c>
    </row>
    <row r="33" spans="2:105" s="3" customFormat="1" x14ac:dyDescent="0.25">
      <c r="B33" s="3" t="s">
        <v>36</v>
      </c>
      <c r="C33" s="6">
        <v>1927</v>
      </c>
      <c r="D33" s="6">
        <v>2214</v>
      </c>
      <c r="E33" s="6">
        <v>2418</v>
      </c>
      <c r="F33" s="6">
        <v>2796</v>
      </c>
      <c r="G33" s="6">
        <v>2816</v>
      </c>
      <c r="H33" s="6">
        <v>3307</v>
      </c>
      <c r="I33" s="6">
        <v>3155</v>
      </c>
      <c r="J33" s="6">
        <v>3492</v>
      </c>
      <c r="K33" s="6">
        <v>3459</v>
      </c>
      <c r="L33" s="6">
        <v>3829</v>
      </c>
      <c r="M33" s="6">
        <v>4194</v>
      </c>
      <c r="N33" s="6">
        <v>5210</v>
      </c>
      <c r="O33" s="6">
        <v>5131</v>
      </c>
      <c r="P33" s="6">
        <v>5399</v>
      </c>
      <c r="Q33" s="6">
        <v>5771</v>
      </c>
      <c r="R33" s="6">
        <v>6348</v>
      </c>
      <c r="S33" s="6">
        <v>6005</v>
      </c>
      <c r="T33" s="6">
        <v>5192</v>
      </c>
      <c r="U33" s="6">
        <v>5716</v>
      </c>
      <c r="V33" s="6">
        <v>8336</v>
      </c>
      <c r="W33" s="6">
        <f>+W32-W34</f>
        <v>6015.4500000000007</v>
      </c>
      <c r="X33" s="6">
        <v>5945</v>
      </c>
      <c r="Y33" s="6">
        <v>6210</v>
      </c>
      <c r="Z33" s="6">
        <v>7695</v>
      </c>
      <c r="AA33" s="6">
        <v>6640</v>
      </c>
      <c r="AB33" s="6"/>
      <c r="AC33" s="6"/>
      <c r="AD33" s="6"/>
      <c r="AK33" s="3">
        <v>9355</v>
      </c>
      <c r="AL33" s="3">
        <v>12770</v>
      </c>
      <c r="AM33" s="3">
        <v>16692</v>
      </c>
      <c r="AN33" s="3">
        <v>22649</v>
      </c>
      <c r="AO33" s="3">
        <f>+AO32-AO34</f>
        <v>22155.709999999992</v>
      </c>
      <c r="AP33" s="3">
        <f t="shared" ref="AP33:AW33" si="17">+AP32-AP34</f>
        <v>25631.189999999988</v>
      </c>
      <c r="AQ33" s="3">
        <f t="shared" si="17"/>
        <v>29571.163</v>
      </c>
      <c r="AR33" s="3">
        <f t="shared" si="17"/>
        <v>32528.279299999995</v>
      </c>
      <c r="AS33" s="3">
        <f t="shared" si="17"/>
        <v>34154.693265000009</v>
      </c>
      <c r="AT33" s="3">
        <f t="shared" si="17"/>
        <v>35179.334062949987</v>
      </c>
      <c r="AU33" s="3">
        <f t="shared" si="17"/>
        <v>36234.714084838488</v>
      </c>
      <c r="AV33" s="3">
        <f t="shared" si="17"/>
        <v>37321.75550738367</v>
      </c>
      <c r="AW33" s="3">
        <f t="shared" si="17"/>
        <v>38441.408172605181</v>
      </c>
    </row>
    <row r="34" spans="2:105" s="3" customFormat="1" x14ac:dyDescent="0.25">
      <c r="B34" s="3" t="s">
        <v>37</v>
      </c>
      <c r="C34" s="6">
        <f t="shared" ref="C34:D34" si="18">+C32-C33</f>
        <v>10039</v>
      </c>
      <c r="D34" s="6">
        <f t="shared" si="18"/>
        <v>11017</v>
      </c>
      <c r="E34" s="6">
        <f t="shared" ref="E34:G34" si="19">+E32-E33</f>
        <v>11309</v>
      </c>
      <c r="F34" s="6">
        <f t="shared" si="19"/>
        <v>14118</v>
      </c>
      <c r="G34" s="6">
        <f t="shared" si="19"/>
        <v>12261</v>
      </c>
      <c r="H34" s="6">
        <f t="shared" ref="H34" si="20">+H32-H33</f>
        <v>13579</v>
      </c>
      <c r="I34" s="6">
        <f t="shared" ref="I34:J34" si="21">+I32-I33</f>
        <v>14497</v>
      </c>
      <c r="J34" s="6">
        <f t="shared" si="21"/>
        <v>17590</v>
      </c>
      <c r="K34" s="6">
        <f t="shared" ref="K34:N34" si="22">+K32-K33</f>
        <v>14278</v>
      </c>
      <c r="L34" s="6">
        <f t="shared" si="22"/>
        <v>14858</v>
      </c>
      <c r="M34" s="6">
        <f t="shared" si="22"/>
        <v>17276</v>
      </c>
      <c r="N34" s="6">
        <f t="shared" si="22"/>
        <v>22862</v>
      </c>
      <c r="O34" s="6">
        <f>+O32-O33</f>
        <v>21040</v>
      </c>
      <c r="P34" s="6">
        <f t="shared" ref="P34:R34" si="23">+P32-P33</f>
        <v>23678</v>
      </c>
      <c r="Q34" s="6">
        <f t="shared" si="23"/>
        <v>23239</v>
      </c>
      <c r="R34" s="6">
        <f t="shared" si="23"/>
        <v>27323</v>
      </c>
      <c r="S34" s="6">
        <f>+S32-S33</f>
        <v>21903</v>
      </c>
      <c r="T34" s="6">
        <f>+T32-T33</f>
        <v>23630</v>
      </c>
      <c r="U34" s="6">
        <f>+U32-U33</f>
        <v>21998</v>
      </c>
      <c r="V34" s="6">
        <f>+V32-V33</f>
        <v>23829</v>
      </c>
      <c r="W34" s="6">
        <f>+W32*0.79</f>
        <v>22629.55</v>
      </c>
      <c r="X34" s="6">
        <f>X32-X33</f>
        <v>26054</v>
      </c>
      <c r="Y34" s="6">
        <f>Y32-Y33</f>
        <v>27936</v>
      </c>
      <c r="Z34" s="6">
        <f t="shared" ref="Z34" si="24">+Z32*0.79</f>
        <v>31687.690000000002</v>
      </c>
      <c r="AA34" s="6">
        <f>+AA32-AA33</f>
        <v>29815</v>
      </c>
      <c r="AB34" s="6"/>
      <c r="AC34" s="6"/>
      <c r="AD34" s="6"/>
      <c r="AK34" s="3">
        <f>+AK32-AK33</f>
        <v>46483</v>
      </c>
      <c r="AL34" s="3">
        <f>+AL32-AL33</f>
        <v>57927</v>
      </c>
      <c r="AM34" s="3">
        <f>+AM32-AM33</f>
        <v>69273</v>
      </c>
      <c r="AN34" s="3">
        <f t="shared" ref="AN34" si="25">+AN32-AN33</f>
        <v>95280</v>
      </c>
      <c r="AO34" s="3">
        <f>+AO32*0.81</f>
        <v>94453.290000000008</v>
      </c>
      <c r="AP34" s="3">
        <f t="shared" ref="AP34:AW34" si="26">+AP32*0.81</f>
        <v>109269.81000000001</v>
      </c>
      <c r="AQ34" s="3">
        <f t="shared" si="26"/>
        <v>126066.53700000001</v>
      </c>
      <c r="AR34" s="3">
        <f t="shared" si="26"/>
        <v>138673.19070000004</v>
      </c>
      <c r="AS34" s="3">
        <f t="shared" si="26"/>
        <v>145606.85023500002</v>
      </c>
      <c r="AT34" s="3">
        <f t="shared" si="26"/>
        <v>149975.05574205006</v>
      </c>
      <c r="AU34" s="3">
        <f t="shared" si="26"/>
        <v>154474.30741431157</v>
      </c>
      <c r="AV34" s="3">
        <f t="shared" si="26"/>
        <v>159108.5366367409</v>
      </c>
      <c r="AW34" s="3">
        <f t="shared" si="26"/>
        <v>163881.79273584313</v>
      </c>
    </row>
    <row r="35" spans="2:105" s="3" customFormat="1" x14ac:dyDescent="0.25">
      <c r="B35" s="3" t="s">
        <v>38</v>
      </c>
      <c r="C35" s="6">
        <v>2238</v>
      </c>
      <c r="D35" s="6">
        <v>2523</v>
      </c>
      <c r="E35" s="6">
        <v>2657</v>
      </c>
      <c r="F35" s="6">
        <v>2855</v>
      </c>
      <c r="G35" s="6">
        <v>2860</v>
      </c>
      <c r="H35" s="6">
        <v>3315</v>
      </c>
      <c r="I35" s="6">
        <v>3548</v>
      </c>
      <c r="J35" s="6">
        <v>3877</v>
      </c>
      <c r="K35" s="6">
        <v>4015</v>
      </c>
      <c r="L35" s="6">
        <v>4462</v>
      </c>
      <c r="M35" s="6">
        <v>4763</v>
      </c>
      <c r="N35" s="6">
        <v>5208</v>
      </c>
      <c r="O35" s="6">
        <v>5197</v>
      </c>
      <c r="P35" s="6">
        <v>6096</v>
      </c>
      <c r="Q35" s="6">
        <v>6316</v>
      </c>
      <c r="R35" s="6">
        <v>7046</v>
      </c>
      <c r="S35" s="6">
        <v>7707</v>
      </c>
      <c r="T35" s="6">
        <v>8690</v>
      </c>
      <c r="U35" s="6">
        <v>9170</v>
      </c>
      <c r="V35" s="6">
        <v>9771</v>
      </c>
      <c r="W35" s="6">
        <f>+S35*0.9</f>
        <v>6936.3</v>
      </c>
      <c r="X35" s="6">
        <v>9344</v>
      </c>
      <c r="Y35" s="6">
        <v>9241</v>
      </c>
      <c r="Z35" s="6">
        <v>10517</v>
      </c>
      <c r="AA35" s="6">
        <v>9978</v>
      </c>
      <c r="AB35" s="6"/>
      <c r="AC35" s="6"/>
      <c r="AD35" s="6"/>
      <c r="AK35" s="3">
        <v>10273</v>
      </c>
      <c r="AL35" s="3">
        <v>13600</v>
      </c>
      <c r="AM35" s="3">
        <v>18447</v>
      </c>
      <c r="AN35" s="3">
        <v>24655</v>
      </c>
      <c r="AO35" s="3">
        <f t="shared" ref="AO35:AT35" si="27">+AN35*0.9</f>
        <v>22189.5</v>
      </c>
      <c r="AP35" s="3">
        <f t="shared" si="27"/>
        <v>19970.55</v>
      </c>
      <c r="AQ35" s="3">
        <f t="shared" si="27"/>
        <v>17973.494999999999</v>
      </c>
      <c r="AR35" s="3">
        <f t="shared" si="27"/>
        <v>16176.145499999999</v>
      </c>
      <c r="AS35" s="3">
        <f t="shared" si="27"/>
        <v>14558.530949999998</v>
      </c>
      <c r="AT35" s="3">
        <f t="shared" si="27"/>
        <v>13102.677854999998</v>
      </c>
      <c r="AU35" s="3">
        <f t="shared" ref="AU35:AW35" si="28">+AT35*0.9</f>
        <v>11792.410069499998</v>
      </c>
      <c r="AV35" s="3">
        <f t="shared" si="28"/>
        <v>10613.169062549998</v>
      </c>
      <c r="AW35" s="3">
        <f t="shared" si="28"/>
        <v>9551.8521562949991</v>
      </c>
    </row>
    <row r="36" spans="2:105" s="3" customFormat="1" x14ac:dyDescent="0.25">
      <c r="B36" s="3" t="s">
        <v>40</v>
      </c>
      <c r="C36" s="6">
        <v>1595</v>
      </c>
      <c r="D36" s="6">
        <v>1855</v>
      </c>
      <c r="E36" s="6">
        <v>1928</v>
      </c>
      <c r="F36" s="6">
        <v>2467</v>
      </c>
      <c r="G36" s="6">
        <v>2020</v>
      </c>
      <c r="H36" s="6">
        <v>2414</v>
      </c>
      <c r="I36" s="6">
        <v>2416</v>
      </c>
      <c r="J36" s="6">
        <v>3026</v>
      </c>
      <c r="K36" s="6">
        <v>2787</v>
      </c>
      <c r="L36" s="6">
        <v>2840</v>
      </c>
      <c r="M36" s="6">
        <v>2683</v>
      </c>
      <c r="N36" s="6">
        <v>3280</v>
      </c>
      <c r="O36" s="6">
        <v>2843</v>
      </c>
      <c r="P36" s="6">
        <v>3259</v>
      </c>
      <c r="Q36" s="6">
        <v>3554</v>
      </c>
      <c r="R36" s="6">
        <v>4387</v>
      </c>
      <c r="S36" s="6">
        <v>3312</v>
      </c>
      <c r="T36" s="6">
        <v>3595</v>
      </c>
      <c r="U36" s="6">
        <v>3780</v>
      </c>
      <c r="V36" s="6">
        <v>4574</v>
      </c>
      <c r="W36" s="6">
        <f t="shared" ref="W36:W37" si="29">+S36*0.9</f>
        <v>2980.8</v>
      </c>
      <c r="X36" s="6">
        <v>3154</v>
      </c>
      <c r="Y36" s="6">
        <v>2877</v>
      </c>
      <c r="Z36" s="6">
        <v>3226</v>
      </c>
      <c r="AA36" s="6">
        <v>2564</v>
      </c>
      <c r="AB36" s="6"/>
      <c r="AC36" s="6"/>
      <c r="AD36" s="6"/>
      <c r="AK36" s="3">
        <v>7846</v>
      </c>
      <c r="AL36" s="3">
        <v>9876</v>
      </c>
      <c r="AM36" s="3">
        <v>11591</v>
      </c>
      <c r="AN36" s="3">
        <v>14043</v>
      </c>
      <c r="AO36" s="3">
        <f>+AN36</f>
        <v>14043</v>
      </c>
      <c r="AP36" s="3">
        <f t="shared" ref="AP36:AW36" si="30">+AO36</f>
        <v>14043</v>
      </c>
      <c r="AQ36" s="3">
        <f t="shared" si="30"/>
        <v>14043</v>
      </c>
      <c r="AR36" s="3">
        <f t="shared" si="30"/>
        <v>14043</v>
      </c>
      <c r="AS36" s="3">
        <f t="shared" si="30"/>
        <v>14043</v>
      </c>
      <c r="AT36" s="3">
        <f t="shared" si="30"/>
        <v>14043</v>
      </c>
      <c r="AU36" s="3">
        <f t="shared" si="30"/>
        <v>14043</v>
      </c>
      <c r="AV36" s="3">
        <f t="shared" si="30"/>
        <v>14043</v>
      </c>
      <c r="AW36" s="3">
        <f t="shared" si="30"/>
        <v>14043</v>
      </c>
    </row>
    <row r="37" spans="2:105" s="3" customFormat="1" x14ac:dyDescent="0.25">
      <c r="B37" s="3" t="s">
        <v>39</v>
      </c>
      <c r="C37" s="6">
        <v>757</v>
      </c>
      <c r="D37" s="6">
        <v>776</v>
      </c>
      <c r="E37" s="6">
        <v>943</v>
      </c>
      <c r="F37" s="6">
        <v>976</v>
      </c>
      <c r="G37" s="6">
        <f>4064-3000</f>
        <v>1064</v>
      </c>
      <c r="H37" s="6">
        <f>3224-2000</f>
        <v>1224</v>
      </c>
      <c r="I37" s="6">
        <v>1348</v>
      </c>
      <c r="J37" s="6">
        <v>1829</v>
      </c>
      <c r="K37" s="6">
        <v>1583</v>
      </c>
      <c r="L37" s="6">
        <v>1593</v>
      </c>
      <c r="M37" s="6">
        <v>1790</v>
      </c>
      <c r="N37" s="6">
        <v>1599</v>
      </c>
      <c r="O37" s="6">
        <v>1622</v>
      </c>
      <c r="P37" s="6">
        <v>1956</v>
      </c>
      <c r="Q37" s="6">
        <v>2946</v>
      </c>
      <c r="R37" s="6">
        <v>3305</v>
      </c>
      <c r="S37" s="6">
        <v>2360</v>
      </c>
      <c r="T37" s="6">
        <v>2987</v>
      </c>
      <c r="U37" s="6">
        <v>3384</v>
      </c>
      <c r="V37" s="6">
        <v>3085</v>
      </c>
      <c r="W37" s="6">
        <f t="shared" si="29"/>
        <v>2124</v>
      </c>
      <c r="X37" s="6">
        <f>4164-1870</f>
        <v>2294</v>
      </c>
      <c r="Y37" s="6">
        <v>2070</v>
      </c>
      <c r="Z37" s="6">
        <v>2289</v>
      </c>
      <c r="AA37" s="6">
        <v>3455</v>
      </c>
      <c r="AB37" s="6"/>
      <c r="AC37" s="6"/>
      <c r="AD37" s="6"/>
      <c r="AK37" s="3">
        <v>3451</v>
      </c>
      <c r="AL37" s="3">
        <f>10465-5000</f>
        <v>5465</v>
      </c>
      <c r="AM37" s="3">
        <v>6564</v>
      </c>
      <c r="AN37" s="3">
        <v>9829</v>
      </c>
      <c r="AO37" s="3">
        <f t="shared" ref="AO37:AW37" si="31">+AN37</f>
        <v>9829</v>
      </c>
      <c r="AP37" s="3">
        <f t="shared" si="31"/>
        <v>9829</v>
      </c>
      <c r="AQ37" s="3">
        <f t="shared" si="31"/>
        <v>9829</v>
      </c>
      <c r="AR37" s="3">
        <f t="shared" si="31"/>
        <v>9829</v>
      </c>
      <c r="AS37" s="3">
        <f t="shared" si="31"/>
        <v>9829</v>
      </c>
      <c r="AT37" s="3">
        <f t="shared" si="31"/>
        <v>9829</v>
      </c>
      <c r="AU37" s="3">
        <f t="shared" si="31"/>
        <v>9829</v>
      </c>
      <c r="AV37" s="3">
        <f t="shared" si="31"/>
        <v>9829</v>
      </c>
      <c r="AW37" s="3">
        <f t="shared" si="31"/>
        <v>9829</v>
      </c>
    </row>
    <row r="38" spans="2:105" s="3" customFormat="1" x14ac:dyDescent="0.25">
      <c r="B38" s="3" t="s">
        <v>41</v>
      </c>
      <c r="C38" s="6">
        <f t="shared" ref="C38:D38" si="32">+C37+C36+C35</f>
        <v>4590</v>
      </c>
      <c r="D38" s="6">
        <f t="shared" si="32"/>
        <v>5154</v>
      </c>
      <c r="E38" s="6">
        <f t="shared" ref="E38:G38" si="33">+E37+E36+E35</f>
        <v>5528</v>
      </c>
      <c r="F38" s="6">
        <f t="shared" si="33"/>
        <v>6298</v>
      </c>
      <c r="G38" s="6">
        <f t="shared" si="33"/>
        <v>5944</v>
      </c>
      <c r="H38" s="6">
        <f t="shared" ref="H38:I38" si="34">+H37+H36+H35</f>
        <v>6953</v>
      </c>
      <c r="I38" s="6">
        <f t="shared" si="34"/>
        <v>7312</v>
      </c>
      <c r="J38" s="6">
        <f t="shared" ref="J38:K38" si="35">+J37+J36+J35</f>
        <v>8732</v>
      </c>
      <c r="K38" s="6">
        <f t="shared" si="35"/>
        <v>8385</v>
      </c>
      <c r="L38" s="6">
        <f t="shared" ref="L38" si="36">+L37+L36+L35</f>
        <v>8895</v>
      </c>
      <c r="M38" s="6">
        <f t="shared" ref="M38" si="37">+M37+M36+M35</f>
        <v>9236</v>
      </c>
      <c r="N38" s="6">
        <f t="shared" ref="N38" si="38">+N37+N36+N35</f>
        <v>10087</v>
      </c>
      <c r="O38" s="6">
        <f t="shared" ref="O38:R38" si="39">+O37+O36+O35</f>
        <v>9662</v>
      </c>
      <c r="P38" s="6">
        <f t="shared" si="39"/>
        <v>11311</v>
      </c>
      <c r="Q38" s="6">
        <f t="shared" si="39"/>
        <v>12816</v>
      </c>
      <c r="R38" s="6">
        <f t="shared" si="39"/>
        <v>14738</v>
      </c>
      <c r="S38" s="6">
        <f>+S37+S36+S35</f>
        <v>13379</v>
      </c>
      <c r="T38" s="6">
        <f t="shared" ref="T38:V38" si="40">+T37+T36+T35</f>
        <v>15272</v>
      </c>
      <c r="U38" s="6">
        <f t="shared" si="40"/>
        <v>16334</v>
      </c>
      <c r="V38" s="6">
        <f t="shared" si="40"/>
        <v>17430</v>
      </c>
      <c r="W38" s="6">
        <f t="shared" ref="W38:AA38" si="41">+W37+W36+W35</f>
        <v>12041.1</v>
      </c>
      <c r="X38" s="6">
        <f t="shared" si="41"/>
        <v>14792</v>
      </c>
      <c r="Y38" s="6">
        <f t="shared" si="41"/>
        <v>14188</v>
      </c>
      <c r="Z38" s="6">
        <f t="shared" si="41"/>
        <v>16032</v>
      </c>
      <c r="AA38" s="6">
        <f t="shared" si="41"/>
        <v>15997</v>
      </c>
      <c r="AB38" s="6"/>
      <c r="AC38" s="6"/>
      <c r="AD38" s="6"/>
      <c r="AK38" s="3">
        <f>SUM(AK35:AK37)</f>
        <v>21570</v>
      </c>
      <c r="AL38" s="3">
        <f>SUM(AL35:AL37)</f>
        <v>28941</v>
      </c>
      <c r="AM38" s="3">
        <f>SUM(AM35:AM37)</f>
        <v>36602</v>
      </c>
      <c r="AN38" s="3">
        <f t="shared" ref="AN38" si="42">SUM(AN35:AN37)</f>
        <v>48527</v>
      </c>
      <c r="AO38" s="3">
        <f t="shared" ref="AO38" si="43">SUM(AO35:AO37)</f>
        <v>46061.5</v>
      </c>
      <c r="AP38" s="3">
        <f t="shared" ref="AP38" si="44">SUM(AP35:AP37)</f>
        <v>43842.55</v>
      </c>
      <c r="AQ38" s="3">
        <f t="shared" ref="AQ38" si="45">SUM(AQ35:AQ37)</f>
        <v>41845.494999999995</v>
      </c>
      <c r="AR38" s="3">
        <f t="shared" ref="AR38" si="46">SUM(AR35:AR37)</f>
        <v>40048.145499999999</v>
      </c>
      <c r="AS38" s="3">
        <f t="shared" ref="AS38" si="47">SUM(AS35:AS37)</f>
        <v>38430.53095</v>
      </c>
      <c r="AT38" s="3">
        <f t="shared" ref="AT38" si="48">SUM(AT35:AT37)</f>
        <v>36974.677855000002</v>
      </c>
      <c r="AU38" s="3">
        <f t="shared" ref="AU38" si="49">SUM(AU35:AU37)</f>
        <v>35664.410069499994</v>
      </c>
      <c r="AV38" s="3">
        <f t="shared" ref="AV38" si="50">SUM(AV35:AV37)</f>
        <v>34485.169062549998</v>
      </c>
      <c r="AW38" s="3">
        <f t="shared" ref="AW38" si="51">SUM(AW35:AW37)</f>
        <v>33423.852156294997</v>
      </c>
    </row>
    <row r="39" spans="2:105" s="3" customFormat="1" x14ac:dyDescent="0.25">
      <c r="B39" s="3" t="s">
        <v>42</v>
      </c>
      <c r="C39" s="6">
        <f t="shared" ref="C39:D39" si="52">+C34-C38</f>
        <v>5449</v>
      </c>
      <c r="D39" s="6">
        <f t="shared" si="52"/>
        <v>5863</v>
      </c>
      <c r="E39" s="6">
        <f t="shared" ref="E39:G39" si="53">+E34-E38</f>
        <v>5781</v>
      </c>
      <c r="F39" s="6">
        <f t="shared" si="53"/>
        <v>7820</v>
      </c>
      <c r="G39" s="6">
        <f t="shared" si="53"/>
        <v>6317</v>
      </c>
      <c r="H39" s="6">
        <f t="shared" ref="H39:I39" si="54">+H34-H38</f>
        <v>6626</v>
      </c>
      <c r="I39" s="6">
        <f t="shared" si="54"/>
        <v>7185</v>
      </c>
      <c r="J39" s="6">
        <f t="shared" ref="J39:K39" si="55">+J34-J38</f>
        <v>8858</v>
      </c>
      <c r="K39" s="6">
        <f t="shared" si="55"/>
        <v>5893</v>
      </c>
      <c r="L39" s="6">
        <f t="shared" ref="L39" si="56">+L34-L38</f>
        <v>5963</v>
      </c>
      <c r="M39" s="6">
        <f t="shared" ref="M39" si="57">+M34-M38</f>
        <v>8040</v>
      </c>
      <c r="N39" s="6">
        <f t="shared" ref="N39" si="58">+N34-N38</f>
        <v>12775</v>
      </c>
      <c r="O39" s="6">
        <f t="shared" ref="O39:R39" si="59">+O34-O38</f>
        <v>11378</v>
      </c>
      <c r="P39" s="6">
        <f t="shared" si="59"/>
        <v>12367</v>
      </c>
      <c r="Q39" s="6">
        <f t="shared" si="59"/>
        <v>10423</v>
      </c>
      <c r="R39" s="6">
        <f t="shared" si="59"/>
        <v>12585</v>
      </c>
      <c r="S39" s="6">
        <f>+S34-S38</f>
        <v>8524</v>
      </c>
      <c r="T39" s="6">
        <f t="shared" ref="T39:V39" si="60">+T34-T38</f>
        <v>8358</v>
      </c>
      <c r="U39" s="6">
        <f t="shared" si="60"/>
        <v>5664</v>
      </c>
      <c r="V39" s="6">
        <f t="shared" si="60"/>
        <v>6399</v>
      </c>
      <c r="W39" s="6">
        <f t="shared" ref="W39:AA39" si="61">+W34-W38</f>
        <v>10588.449999999999</v>
      </c>
      <c r="X39" s="6">
        <f t="shared" si="61"/>
        <v>11262</v>
      </c>
      <c r="Y39" s="6">
        <f t="shared" si="61"/>
        <v>13748</v>
      </c>
      <c r="Z39" s="6">
        <f t="shared" si="61"/>
        <v>15655.690000000002</v>
      </c>
      <c r="AA39" s="6">
        <f t="shared" si="61"/>
        <v>13818</v>
      </c>
      <c r="AB39" s="6"/>
      <c r="AC39" s="6"/>
      <c r="AD39" s="6"/>
      <c r="AK39" s="3">
        <f>AK34-AK38</f>
        <v>24913</v>
      </c>
      <c r="AL39" s="3">
        <f>AL34-AL38</f>
        <v>28986</v>
      </c>
      <c r="AM39" s="3">
        <f>AM34-AM38</f>
        <v>32671</v>
      </c>
      <c r="AN39" s="3">
        <f t="shared" ref="AN39" si="62">AN34-AN38</f>
        <v>46753</v>
      </c>
      <c r="AO39" s="3">
        <f t="shared" ref="AO39" si="63">AO34-AO38</f>
        <v>48391.790000000008</v>
      </c>
      <c r="AP39" s="3">
        <f t="shared" ref="AP39" si="64">AP34-AP38</f>
        <v>65427.260000000009</v>
      </c>
      <c r="AQ39" s="3">
        <f t="shared" ref="AQ39" si="65">AQ34-AQ38</f>
        <v>84221.042000000016</v>
      </c>
      <c r="AR39" s="3">
        <f t="shared" ref="AR39" si="66">AR34-AR38</f>
        <v>98625.045200000037</v>
      </c>
      <c r="AS39" s="3">
        <f t="shared" ref="AS39" si="67">AS34-AS38</f>
        <v>107176.31928500002</v>
      </c>
      <c r="AT39" s="3">
        <f t="shared" ref="AT39" si="68">AT34-AT38</f>
        <v>113000.37788705005</v>
      </c>
      <c r="AU39" s="3">
        <f t="shared" ref="AU39" si="69">AU34-AU38</f>
        <v>118809.89734481157</v>
      </c>
      <c r="AV39" s="3">
        <f t="shared" ref="AV39" si="70">AV34-AV38</f>
        <v>124623.3675741909</v>
      </c>
      <c r="AW39" s="3">
        <f t="shared" ref="AW39" si="71">AW34-AW38</f>
        <v>130457.94057954813</v>
      </c>
    </row>
    <row r="40" spans="2:105" s="3" customFormat="1" x14ac:dyDescent="0.25">
      <c r="B40" s="3" t="s">
        <v>43</v>
      </c>
      <c r="C40" s="6">
        <v>161</v>
      </c>
      <c r="D40" s="6">
        <v>5</v>
      </c>
      <c r="E40" s="6">
        <v>131</v>
      </c>
      <c r="F40" s="6">
        <v>151</v>
      </c>
      <c r="G40" s="6">
        <v>206</v>
      </c>
      <c r="H40" s="6">
        <v>206</v>
      </c>
      <c r="I40" s="6">
        <v>144</v>
      </c>
      <c r="J40" s="6">
        <v>311</v>
      </c>
      <c r="K40" s="6">
        <v>-32</v>
      </c>
      <c r="L40" s="6">
        <v>168</v>
      </c>
      <c r="M40" s="6">
        <v>93</v>
      </c>
      <c r="N40" s="6">
        <v>280</v>
      </c>
      <c r="O40" s="6">
        <v>125</v>
      </c>
      <c r="P40" s="6">
        <v>146</v>
      </c>
      <c r="Q40" s="6">
        <v>142</v>
      </c>
      <c r="R40" s="6">
        <v>117</v>
      </c>
      <c r="S40" s="6">
        <v>384</v>
      </c>
      <c r="T40" s="6">
        <v>-172</v>
      </c>
      <c r="U40" s="6">
        <v>-88</v>
      </c>
      <c r="V40" s="6">
        <v>-250</v>
      </c>
      <c r="W40" s="6">
        <f>+V40</f>
        <v>-250</v>
      </c>
      <c r="X40" s="6">
        <v>-99</v>
      </c>
      <c r="Y40" s="6">
        <v>272</v>
      </c>
      <c r="Z40" s="6">
        <v>424</v>
      </c>
      <c r="AA40" s="6">
        <v>365</v>
      </c>
      <c r="AB40" s="6"/>
      <c r="AC40" s="6"/>
      <c r="AD40" s="6"/>
      <c r="AK40" s="3">
        <v>448</v>
      </c>
      <c r="AL40" s="3">
        <v>826</v>
      </c>
      <c r="AM40" s="3">
        <v>509</v>
      </c>
      <c r="AN40" s="3">
        <v>531</v>
      </c>
      <c r="AP40" s="3">
        <f t="shared" ref="AP40:AW40" si="72">+AO59*$BB$58</f>
        <v>0</v>
      </c>
      <c r="AQ40" s="3">
        <f t="shared" si="72"/>
        <v>1073.0070640000004</v>
      </c>
      <c r="AR40" s="3">
        <f t="shared" si="72"/>
        <v>2471.8294686496006</v>
      </c>
      <c r="AS40" s="3">
        <f t="shared" si="72"/>
        <v>4129.8182132154543</v>
      </c>
      <c r="AT40" s="3">
        <f t="shared" si="72"/>
        <v>5955.2388681861885</v>
      </c>
      <c r="AU40" s="3">
        <f t="shared" si="72"/>
        <v>7906.1109829720635</v>
      </c>
      <c r="AV40" s="3">
        <f t="shared" si="72"/>
        <v>9984.2535195477139</v>
      </c>
      <c r="AW40" s="3">
        <f t="shared" si="72"/>
        <v>12191.818505485027</v>
      </c>
    </row>
    <row r="41" spans="2:105" s="3" customFormat="1" x14ac:dyDescent="0.25">
      <c r="B41" s="3" t="s">
        <v>44</v>
      </c>
      <c r="C41" s="6">
        <f t="shared" ref="C41:D41" si="73">+C39+C40</f>
        <v>5610</v>
      </c>
      <c r="D41" s="6">
        <f t="shared" si="73"/>
        <v>5868</v>
      </c>
      <c r="E41" s="6">
        <f t="shared" ref="E41:G41" si="74">+E39+E40</f>
        <v>5912</v>
      </c>
      <c r="F41" s="6">
        <f t="shared" si="74"/>
        <v>7971</v>
      </c>
      <c r="G41" s="6">
        <f t="shared" si="74"/>
        <v>6523</v>
      </c>
      <c r="H41" s="6">
        <f t="shared" ref="H41" si="75">+H39+H40</f>
        <v>6832</v>
      </c>
      <c r="I41" s="6">
        <f t="shared" ref="I41:J41" si="76">+I39+I40</f>
        <v>7329</v>
      </c>
      <c r="J41" s="6">
        <f t="shared" si="76"/>
        <v>9169</v>
      </c>
      <c r="K41" s="6">
        <f t="shared" ref="K41:R41" si="77">+K39+K40</f>
        <v>5861</v>
      </c>
      <c r="L41" s="6">
        <f t="shared" si="77"/>
        <v>6131</v>
      </c>
      <c r="M41" s="6">
        <f t="shared" si="77"/>
        <v>8133</v>
      </c>
      <c r="N41" s="6">
        <f t="shared" si="77"/>
        <v>13055</v>
      </c>
      <c r="O41" s="6">
        <f t="shared" si="77"/>
        <v>11503</v>
      </c>
      <c r="P41" s="6">
        <f t="shared" si="77"/>
        <v>12513</v>
      </c>
      <c r="Q41" s="6">
        <f t="shared" si="77"/>
        <v>10565</v>
      </c>
      <c r="R41" s="6">
        <f t="shared" si="77"/>
        <v>12702</v>
      </c>
      <c r="S41" s="6">
        <f>+S39+S40</f>
        <v>8908</v>
      </c>
      <c r="T41" s="6">
        <f t="shared" ref="T41:AA41" si="78">+T39+T40</f>
        <v>8186</v>
      </c>
      <c r="U41" s="6">
        <f t="shared" si="78"/>
        <v>5576</v>
      </c>
      <c r="V41" s="6">
        <f t="shared" si="78"/>
        <v>6149</v>
      </c>
      <c r="W41" s="6">
        <f t="shared" si="78"/>
        <v>10338.449999999999</v>
      </c>
      <c r="X41" s="6">
        <f t="shared" si="78"/>
        <v>11163</v>
      </c>
      <c r="Y41" s="6">
        <f t="shared" si="78"/>
        <v>14020</v>
      </c>
      <c r="Z41" s="6">
        <f t="shared" si="78"/>
        <v>16079.690000000002</v>
      </c>
      <c r="AA41" s="6">
        <f t="shared" si="78"/>
        <v>14183</v>
      </c>
      <c r="AB41" s="6"/>
      <c r="AC41" s="6"/>
      <c r="AD41" s="6"/>
      <c r="AK41" s="3">
        <f>+AK39+AK40</f>
        <v>25361</v>
      </c>
      <c r="AL41" s="3">
        <f>+AL39+AL40</f>
        <v>29812</v>
      </c>
      <c r="AM41" s="3">
        <f>+AM39+AM40</f>
        <v>33180</v>
      </c>
      <c r="AN41" s="3">
        <f t="shared" ref="AN41" si="79">+AN39+AN40</f>
        <v>47284</v>
      </c>
      <c r="AO41" s="3">
        <f t="shared" ref="AO41" si="80">+AO39+AO40</f>
        <v>48391.790000000008</v>
      </c>
      <c r="AP41" s="3">
        <f t="shared" ref="AP41" si="81">+AP39+AP40</f>
        <v>65427.260000000009</v>
      </c>
      <c r="AQ41" s="3">
        <f t="shared" ref="AQ41" si="82">+AQ39+AQ40</f>
        <v>85294.049064000021</v>
      </c>
      <c r="AR41" s="3">
        <f t="shared" ref="AR41" si="83">+AR39+AR40</f>
        <v>101096.87466864963</v>
      </c>
      <c r="AS41" s="3">
        <f t="shared" ref="AS41" si="84">+AS39+AS40</f>
        <v>111306.13749821548</v>
      </c>
      <c r="AT41" s="3">
        <f t="shared" ref="AT41" si="85">+AT39+AT40</f>
        <v>118955.61675523625</v>
      </c>
      <c r="AU41" s="3">
        <f t="shared" ref="AU41" si="86">+AU39+AU40</f>
        <v>126716.00832778364</v>
      </c>
      <c r="AV41" s="3">
        <f t="shared" ref="AV41" si="87">+AV39+AV40</f>
        <v>134607.62109373862</v>
      </c>
      <c r="AW41" s="3">
        <f t="shared" ref="AW41" si="88">+AW39+AW40</f>
        <v>142649.75908503315</v>
      </c>
    </row>
    <row r="42" spans="2:105" s="3" customFormat="1" x14ac:dyDescent="0.25">
      <c r="B42" s="3" t="s">
        <v>45</v>
      </c>
      <c r="C42" s="6">
        <f>622+1</f>
        <v>623</v>
      </c>
      <c r="D42" s="6">
        <v>762</v>
      </c>
      <c r="E42" s="6">
        <v>775</v>
      </c>
      <c r="F42" s="6">
        <v>1089</v>
      </c>
      <c r="G42" s="6">
        <v>2216</v>
      </c>
      <c r="H42" s="6">
        <v>2216</v>
      </c>
      <c r="I42" s="6">
        <v>1238</v>
      </c>
      <c r="J42" s="6">
        <v>1820</v>
      </c>
      <c r="K42" s="6">
        <v>959</v>
      </c>
      <c r="L42" s="6">
        <v>953</v>
      </c>
      <c r="M42" s="6">
        <v>287</v>
      </c>
      <c r="N42" s="6">
        <v>1836</v>
      </c>
      <c r="O42" s="6">
        <v>2006</v>
      </c>
      <c r="P42" s="6">
        <v>2119</v>
      </c>
      <c r="Q42" s="6">
        <v>1371</v>
      </c>
      <c r="R42" s="6">
        <v>2417</v>
      </c>
      <c r="S42" s="6">
        <v>1443</v>
      </c>
      <c r="T42" s="6">
        <v>1499</v>
      </c>
      <c r="U42" s="6">
        <v>1181</v>
      </c>
      <c r="V42" s="6">
        <v>1497</v>
      </c>
      <c r="W42" s="6">
        <f t="shared" ref="W42" si="89">+W41*0.19</f>
        <v>1964.3054999999997</v>
      </c>
      <c r="X42" s="6">
        <v>1505</v>
      </c>
      <c r="Y42" s="6">
        <v>2437</v>
      </c>
      <c r="Z42" s="6">
        <v>2791</v>
      </c>
      <c r="AA42" s="6">
        <v>1814</v>
      </c>
      <c r="AB42" s="6"/>
      <c r="AC42" s="6"/>
      <c r="AD42" s="6"/>
      <c r="AK42" s="3">
        <f>3249+1</f>
        <v>3250</v>
      </c>
      <c r="AL42" s="3">
        <v>6327</v>
      </c>
      <c r="AM42" s="3">
        <v>4034</v>
      </c>
      <c r="AN42" s="3">
        <v>7914</v>
      </c>
      <c r="AO42" s="3">
        <f>+AO41*0.18</f>
        <v>8710.5222000000012</v>
      </c>
      <c r="AP42" s="3">
        <f t="shared" ref="AP42:AW42" si="90">+AP41*0.18</f>
        <v>11776.906800000001</v>
      </c>
      <c r="AQ42" s="3">
        <f t="shared" si="90"/>
        <v>15352.928831520003</v>
      </c>
      <c r="AR42" s="3">
        <f t="shared" si="90"/>
        <v>18197.437440356935</v>
      </c>
      <c r="AS42" s="3">
        <f t="shared" si="90"/>
        <v>20035.104749678787</v>
      </c>
      <c r="AT42" s="3">
        <f t="shared" si="90"/>
        <v>21412.011015942524</v>
      </c>
      <c r="AU42" s="3">
        <f t="shared" si="90"/>
        <v>22808.881499001054</v>
      </c>
      <c r="AV42" s="3">
        <f t="shared" si="90"/>
        <v>24229.371796872951</v>
      </c>
      <c r="AW42" s="3">
        <f t="shared" si="90"/>
        <v>25676.956635305967</v>
      </c>
    </row>
    <row r="43" spans="2:105" s="3" customFormat="1" x14ac:dyDescent="0.25">
      <c r="B43" s="3" t="s">
        <v>46</v>
      </c>
      <c r="C43" s="6">
        <f t="shared" ref="C43:D43" si="91">+C41-C42</f>
        <v>4987</v>
      </c>
      <c r="D43" s="6">
        <f t="shared" si="91"/>
        <v>5106</v>
      </c>
      <c r="E43" s="6">
        <f t="shared" ref="E43:G43" si="92">+E41-E42</f>
        <v>5137</v>
      </c>
      <c r="F43" s="6">
        <f t="shared" si="92"/>
        <v>6882</v>
      </c>
      <c r="G43" s="6">
        <f t="shared" si="92"/>
        <v>4307</v>
      </c>
      <c r="H43" s="6">
        <f t="shared" ref="H43" si="93">+H41-H42</f>
        <v>4616</v>
      </c>
      <c r="I43" s="6">
        <f t="shared" ref="I43:J43" si="94">+I41-I42</f>
        <v>6091</v>
      </c>
      <c r="J43" s="6">
        <f t="shared" si="94"/>
        <v>7349</v>
      </c>
      <c r="K43" s="6">
        <f t="shared" ref="K43:L43" si="95">+K41-K42</f>
        <v>4902</v>
      </c>
      <c r="L43" s="6">
        <f t="shared" si="95"/>
        <v>5178</v>
      </c>
      <c r="M43" s="6">
        <f t="shared" ref="M43:R43" si="96">+M41-M42</f>
        <v>7846</v>
      </c>
      <c r="N43" s="6">
        <f t="shared" si="96"/>
        <v>11219</v>
      </c>
      <c r="O43" s="6">
        <f t="shared" si="96"/>
        <v>9497</v>
      </c>
      <c r="P43" s="6">
        <f t="shared" si="96"/>
        <v>10394</v>
      </c>
      <c r="Q43" s="6">
        <f t="shared" si="96"/>
        <v>9194</v>
      </c>
      <c r="R43" s="6">
        <f t="shared" si="96"/>
        <v>10285</v>
      </c>
      <c r="S43" s="6">
        <f>+S41-S42</f>
        <v>7465</v>
      </c>
      <c r="T43" s="6">
        <f t="shared" ref="T43:V43" si="97">+T41-T42</f>
        <v>6687</v>
      </c>
      <c r="U43" s="6">
        <f t="shared" si="97"/>
        <v>4395</v>
      </c>
      <c r="V43" s="6">
        <f t="shared" si="97"/>
        <v>4652</v>
      </c>
      <c r="W43" s="6">
        <f t="shared" ref="W43:AA43" si="98">+W41-W42</f>
        <v>8374.1444999999985</v>
      </c>
      <c r="X43" s="6">
        <f t="shared" si="98"/>
        <v>9658</v>
      </c>
      <c r="Y43" s="6">
        <f t="shared" si="98"/>
        <v>11583</v>
      </c>
      <c r="Z43" s="6">
        <f t="shared" si="98"/>
        <v>13288.690000000002</v>
      </c>
      <c r="AA43" s="6">
        <f t="shared" si="98"/>
        <v>12369</v>
      </c>
      <c r="AB43" s="6"/>
      <c r="AC43" s="6"/>
      <c r="AD43" s="6"/>
      <c r="AK43" s="3">
        <f>+AK41-AK42</f>
        <v>22111</v>
      </c>
      <c r="AL43" s="3">
        <f>+AL41-AL42</f>
        <v>23485</v>
      </c>
      <c r="AM43" s="3">
        <f>+AM41-AM42</f>
        <v>29146</v>
      </c>
      <c r="AN43" s="3">
        <f t="shared" ref="AN43" si="99">+AN41-AN42</f>
        <v>39370</v>
      </c>
      <c r="AO43" s="3">
        <f t="shared" ref="AO43" si="100">+AO41-AO42</f>
        <v>39681.267800000009</v>
      </c>
      <c r="AP43" s="3">
        <f t="shared" ref="AP43" si="101">+AP41-AP42</f>
        <v>53650.353200000012</v>
      </c>
      <c r="AQ43" s="3">
        <f t="shared" ref="AQ43" si="102">+AQ41-AQ42</f>
        <v>69941.120232480025</v>
      </c>
      <c r="AR43" s="3">
        <f t="shared" ref="AR43" si="103">+AR41-AR42</f>
        <v>82899.437228292692</v>
      </c>
      <c r="AS43" s="3">
        <f t="shared" ref="AS43" si="104">+AS41-AS42</f>
        <v>91271.032748536702</v>
      </c>
      <c r="AT43" s="3">
        <f t="shared" ref="AT43" si="105">+AT41-AT42</f>
        <v>97543.605739293722</v>
      </c>
      <c r="AU43" s="3">
        <f t="shared" ref="AU43" si="106">+AU41-AU42</f>
        <v>103907.12682878258</v>
      </c>
      <c r="AV43" s="3">
        <f t="shared" ref="AV43" si="107">+AV41-AV42</f>
        <v>110378.24929686567</v>
      </c>
      <c r="AW43" s="3">
        <f t="shared" ref="AW43" si="108">+AW41-AW42</f>
        <v>116972.80244972718</v>
      </c>
      <c r="AX43" s="3">
        <f t="shared" ref="AX43:CC43" si="109">+AW43*(1+$BB$57)</f>
        <v>111124.16232724082</v>
      </c>
      <c r="AY43" s="3">
        <f t="shared" si="109"/>
        <v>105567.95421087877</v>
      </c>
      <c r="AZ43" s="3">
        <f t="shared" si="109"/>
        <v>100289.55650033483</v>
      </c>
      <c r="BA43" s="3">
        <f t="shared" si="109"/>
        <v>95275.078675318087</v>
      </c>
      <c r="BB43" s="3">
        <f t="shared" si="109"/>
        <v>90511.324741552176</v>
      </c>
      <c r="BC43" s="3">
        <f t="shared" si="109"/>
        <v>85985.758504474565</v>
      </c>
      <c r="BD43" s="3">
        <f t="shared" si="109"/>
        <v>81686.470579250832</v>
      </c>
      <c r="BE43" s="3">
        <f t="shared" si="109"/>
        <v>77602.147050288288</v>
      </c>
      <c r="BF43" s="3">
        <f t="shared" si="109"/>
        <v>73722.039697773871</v>
      </c>
      <c r="BG43" s="3">
        <f t="shared" si="109"/>
        <v>70035.937712885177</v>
      </c>
      <c r="BH43" s="3">
        <f t="shared" si="109"/>
        <v>66534.140827240917</v>
      </c>
      <c r="BI43" s="3">
        <f t="shared" si="109"/>
        <v>63207.433785878871</v>
      </c>
      <c r="BJ43" s="3">
        <f t="shared" si="109"/>
        <v>60047.062096584923</v>
      </c>
      <c r="BK43" s="3">
        <f t="shared" si="109"/>
        <v>57044.708991755673</v>
      </c>
      <c r="BL43" s="3">
        <f t="shared" si="109"/>
        <v>54192.473542167885</v>
      </c>
      <c r="BM43" s="3">
        <f t="shared" si="109"/>
        <v>51482.849865059492</v>
      </c>
      <c r="BN43" s="3">
        <f t="shared" si="109"/>
        <v>48908.707371806515</v>
      </c>
      <c r="BO43" s="3">
        <f t="shared" si="109"/>
        <v>46463.272003216189</v>
      </c>
      <c r="BP43" s="3">
        <f t="shared" si="109"/>
        <v>44140.108403055376</v>
      </c>
      <c r="BQ43" s="3">
        <f t="shared" si="109"/>
        <v>41933.102982902608</v>
      </c>
      <c r="BR43" s="3">
        <f t="shared" si="109"/>
        <v>39836.447833757476</v>
      </c>
      <c r="BS43" s="3">
        <f t="shared" si="109"/>
        <v>37844.625442069599</v>
      </c>
      <c r="BT43" s="3">
        <f t="shared" si="109"/>
        <v>35952.394169966115</v>
      </c>
      <c r="BU43" s="3">
        <f t="shared" si="109"/>
        <v>34154.774461467809</v>
      </c>
      <c r="BV43" s="3">
        <f t="shared" si="109"/>
        <v>32447.035738394417</v>
      </c>
      <c r="BW43" s="3">
        <f t="shared" si="109"/>
        <v>30824.683951474693</v>
      </c>
      <c r="BX43" s="3">
        <f t="shared" si="109"/>
        <v>29283.449753900957</v>
      </c>
      <c r="BY43" s="3">
        <f t="shared" si="109"/>
        <v>27819.277266205907</v>
      </c>
      <c r="BZ43" s="3">
        <f t="shared" si="109"/>
        <v>26428.313402895612</v>
      </c>
      <c r="CA43" s="3">
        <f t="shared" si="109"/>
        <v>25106.897732750829</v>
      </c>
      <c r="CB43" s="3">
        <f t="shared" si="109"/>
        <v>23851.552846113285</v>
      </c>
      <c r="CC43" s="3">
        <f t="shared" si="109"/>
        <v>22658.975203807619</v>
      </c>
      <c r="CD43" s="3">
        <f t="shared" ref="CD43:DA43" si="110">+CC43*(1+$BB$57)</f>
        <v>21526.026443617237</v>
      </c>
      <c r="CE43" s="3">
        <f t="shared" si="110"/>
        <v>20449.725121436375</v>
      </c>
      <c r="CF43" s="3">
        <f t="shared" si="110"/>
        <v>19427.238865364554</v>
      </c>
      <c r="CG43" s="3">
        <f t="shared" si="110"/>
        <v>18455.876922096326</v>
      </c>
      <c r="CH43" s="3">
        <f t="shared" si="110"/>
        <v>17533.083075991508</v>
      </c>
      <c r="CI43" s="3">
        <f t="shared" si="110"/>
        <v>16656.428922191932</v>
      </c>
      <c r="CJ43" s="3">
        <f t="shared" si="110"/>
        <v>15823.607476082334</v>
      </c>
      <c r="CK43" s="3">
        <f t="shared" si="110"/>
        <v>15032.427102278216</v>
      </c>
      <c r="CL43" s="3">
        <f t="shared" si="110"/>
        <v>14280.805747164304</v>
      </c>
      <c r="CM43" s="3">
        <f t="shared" si="110"/>
        <v>13566.765459806089</v>
      </c>
      <c r="CN43" s="3">
        <f t="shared" si="110"/>
        <v>12888.427186815785</v>
      </c>
      <c r="CO43" s="3">
        <f t="shared" si="110"/>
        <v>12244.005827474995</v>
      </c>
      <c r="CP43" s="3">
        <f t="shared" si="110"/>
        <v>11631.805536101245</v>
      </c>
      <c r="CQ43" s="3">
        <f t="shared" si="110"/>
        <v>11050.215259296183</v>
      </c>
      <c r="CR43" s="3">
        <f t="shared" si="110"/>
        <v>10497.704496331373</v>
      </c>
      <c r="CS43" s="3">
        <f t="shared" si="110"/>
        <v>9972.8192715148034</v>
      </c>
      <c r="CT43" s="3">
        <f t="shared" si="110"/>
        <v>9474.1783079390625</v>
      </c>
      <c r="CU43" s="3">
        <f t="shared" si="110"/>
        <v>9000.4693925421088</v>
      </c>
      <c r="CV43" s="3">
        <f t="shared" si="110"/>
        <v>8550.4459229150034</v>
      </c>
      <c r="CW43" s="3">
        <f t="shared" si="110"/>
        <v>8122.9236267692531</v>
      </c>
      <c r="CX43" s="3">
        <f t="shared" si="110"/>
        <v>7716.7774454307901</v>
      </c>
      <c r="CY43" s="3">
        <f t="shared" si="110"/>
        <v>7330.9385731592502</v>
      </c>
      <c r="CZ43" s="3">
        <f t="shared" si="110"/>
        <v>6964.3916445012874</v>
      </c>
      <c r="DA43" s="3">
        <f t="shared" si="110"/>
        <v>6616.1720622762223</v>
      </c>
    </row>
    <row r="44" spans="2:105" x14ac:dyDescent="0.25">
      <c r="B44" s="3" t="s">
        <v>47</v>
      </c>
      <c r="C44" s="9">
        <f t="shared" ref="C44:D44" si="111">+C43/C45</f>
        <v>1.6933786078098472</v>
      </c>
      <c r="D44" s="9">
        <f t="shared" si="111"/>
        <v>1.7426621160409557</v>
      </c>
      <c r="E44" s="9">
        <f t="shared" ref="E44:G44" si="112">+E43/E45</f>
        <v>1.7634740817027119</v>
      </c>
      <c r="F44" s="9">
        <f t="shared" si="112"/>
        <v>2.3846153846153846</v>
      </c>
      <c r="G44" s="9">
        <f t="shared" si="112"/>
        <v>1.4980869565217392</v>
      </c>
      <c r="H44" s="9">
        <f t="shared" ref="H44" si="113">+H43/H45</f>
        <v>1.6055652173913044</v>
      </c>
      <c r="I44" s="9">
        <f t="shared" ref="I44:J44" si="114">+I43/I45</f>
        <v>2.1193458594293668</v>
      </c>
      <c r="J44" s="9">
        <f t="shared" si="114"/>
        <v>2.559735283873215</v>
      </c>
      <c r="K44" s="9">
        <f t="shared" ref="K44:L44" si="115">+K43/K45</f>
        <v>1.7092050209205021</v>
      </c>
      <c r="L44" s="9">
        <f t="shared" si="115"/>
        <v>1.7985411601250434</v>
      </c>
      <c r="M44" s="9">
        <f t="shared" ref="M44:R44" si="116">+M43/M45</f>
        <v>2.7139398132134209</v>
      </c>
      <c r="N44" s="9">
        <f t="shared" si="116"/>
        <v>3.882006920415225</v>
      </c>
      <c r="O44" s="9">
        <f t="shared" si="116"/>
        <v>3.2952810548230396</v>
      </c>
      <c r="P44" s="9">
        <f t="shared" si="116"/>
        <v>3.6127911018421965</v>
      </c>
      <c r="Q44" s="9">
        <f t="shared" si="116"/>
        <v>3.2158097236796084</v>
      </c>
      <c r="R44" s="9">
        <f t="shared" si="116"/>
        <v>3.6745266166488033</v>
      </c>
      <c r="S44" s="9">
        <f>+S43/S45</f>
        <v>2.7224653537563821</v>
      </c>
      <c r="T44" s="9">
        <f t="shared" ref="T44:V44" si="117">+T43/T45</f>
        <v>2.4647991153704387</v>
      </c>
      <c r="U44" s="9">
        <f t="shared" si="117"/>
        <v>1.6356531447711202</v>
      </c>
      <c r="V44" s="9">
        <f t="shared" si="117"/>
        <v>1.7621212121212122</v>
      </c>
      <c r="W44" s="9">
        <f t="shared" ref="W44:AA44" si="118">+W43/W45</f>
        <v>3.1720244318181812</v>
      </c>
      <c r="X44" s="9">
        <f t="shared" si="118"/>
        <v>3.6975497702909648</v>
      </c>
      <c r="Y44" s="9">
        <f t="shared" si="118"/>
        <v>4.3858386974630825</v>
      </c>
      <c r="Z44" s="9">
        <f t="shared" si="118"/>
        <v>5.0527338403041835</v>
      </c>
      <c r="AA44" s="9">
        <f t="shared" si="118"/>
        <v>4.7119999999999997</v>
      </c>
      <c r="AB44" s="9"/>
      <c r="AC44" s="9"/>
      <c r="AD44" s="9"/>
      <c r="AK44" s="17">
        <f>+AK43/AK45</f>
        <v>7.5696679219445393</v>
      </c>
      <c r="AL44" s="17">
        <f>+AL43/AL45</f>
        <v>8.1658553546592483</v>
      </c>
      <c r="AM44" s="17">
        <f>+AM43/AM45</f>
        <v>10.092105263157896</v>
      </c>
      <c r="AN44" s="17">
        <f t="shared" ref="AN44" si="119">+AN43/AN45</f>
        <v>13.770549143057012</v>
      </c>
      <c r="AO44" s="17">
        <f t="shared" ref="AO44" si="120">+AO43/AO45</f>
        <v>14.721301354108704</v>
      </c>
      <c r="AP44" s="17">
        <f t="shared" ref="AP44" si="121">+AP43/AP45</f>
        <v>19.903673975143764</v>
      </c>
      <c r="AQ44" s="17">
        <f t="shared" ref="AQ44" si="122">+AQ43/AQ45</f>
        <v>25.947364211641634</v>
      </c>
      <c r="AR44" s="17">
        <f t="shared" ref="AR44" si="123">+AR43/AR45</f>
        <v>30.754753191724241</v>
      </c>
      <c r="AS44" s="17">
        <f t="shared" ref="AS44" si="124">+AS43/AS45</f>
        <v>33.860520403834798</v>
      </c>
      <c r="AT44" s="17">
        <f t="shared" ref="AT44" si="125">+AT43/AT45</f>
        <v>36.187574008270715</v>
      </c>
      <c r="AU44" s="17">
        <f t="shared" ref="AU44" si="126">+AU43/AU45</f>
        <v>38.548368328244329</v>
      </c>
      <c r="AV44" s="17">
        <f t="shared" ref="AV44" si="127">+AV43/AV45</f>
        <v>40.949081542150132</v>
      </c>
      <c r="AW44" s="17">
        <f t="shared" ref="AW44" si="128">+AW43/AW45</f>
        <v>43.395586143471412</v>
      </c>
    </row>
    <row r="45" spans="2:105" s="3" customFormat="1" x14ac:dyDescent="0.25">
      <c r="B45" s="3" t="s">
        <v>2</v>
      </c>
      <c r="C45" s="6">
        <v>2945</v>
      </c>
      <c r="D45" s="6">
        <v>2930</v>
      </c>
      <c r="E45" s="6">
        <v>2913</v>
      </c>
      <c r="F45" s="6">
        <v>2886</v>
      </c>
      <c r="G45" s="6">
        <v>2875</v>
      </c>
      <c r="H45" s="6">
        <v>2875</v>
      </c>
      <c r="I45" s="6">
        <v>2874</v>
      </c>
      <c r="J45" s="6">
        <v>2871</v>
      </c>
      <c r="K45" s="6">
        <v>2868</v>
      </c>
      <c r="L45" s="6">
        <v>2879</v>
      </c>
      <c r="M45" s="6">
        <v>2891</v>
      </c>
      <c r="N45" s="6">
        <v>2890</v>
      </c>
      <c r="O45" s="6">
        <v>2882</v>
      </c>
      <c r="P45" s="6">
        <v>2877</v>
      </c>
      <c r="Q45" s="6">
        <v>2859</v>
      </c>
      <c r="R45" s="6">
        <v>2799</v>
      </c>
      <c r="S45" s="6">
        <v>2742</v>
      </c>
      <c r="T45" s="6">
        <v>2713</v>
      </c>
      <c r="U45" s="6">
        <v>2687</v>
      </c>
      <c r="V45" s="6">
        <v>2640</v>
      </c>
      <c r="W45" s="6">
        <f>+V45</f>
        <v>2640</v>
      </c>
      <c r="X45" s="6">
        <v>2612</v>
      </c>
      <c r="Y45" s="6">
        <v>2641</v>
      </c>
      <c r="Z45" s="6">
        <v>2630</v>
      </c>
      <c r="AA45" s="6">
        <v>2625</v>
      </c>
      <c r="AB45" s="6"/>
      <c r="AC45" s="6"/>
      <c r="AD45" s="6"/>
      <c r="AJ45" s="3">
        <f>2395.921635+509.079123</f>
        <v>2905.0007580000001</v>
      </c>
      <c r="AK45" s="3">
        <v>2921</v>
      </c>
      <c r="AL45" s="3">
        <v>2876</v>
      </c>
      <c r="AM45" s="3">
        <v>2888</v>
      </c>
      <c r="AN45" s="3">
        <v>2859</v>
      </c>
      <c r="AO45" s="3">
        <f>AVERAGE(S45:V45)</f>
        <v>2695.5</v>
      </c>
      <c r="AP45" s="3">
        <f t="shared" ref="AP45:AW45" si="129">+AO45</f>
        <v>2695.5</v>
      </c>
      <c r="AQ45" s="3">
        <f t="shared" si="129"/>
        <v>2695.5</v>
      </c>
      <c r="AR45" s="3">
        <f t="shared" si="129"/>
        <v>2695.5</v>
      </c>
      <c r="AS45" s="3">
        <f t="shared" si="129"/>
        <v>2695.5</v>
      </c>
      <c r="AT45" s="3">
        <f t="shared" si="129"/>
        <v>2695.5</v>
      </c>
      <c r="AU45" s="3">
        <f t="shared" si="129"/>
        <v>2695.5</v>
      </c>
      <c r="AV45" s="3">
        <f t="shared" si="129"/>
        <v>2695.5</v>
      </c>
      <c r="AW45" s="3">
        <f t="shared" si="129"/>
        <v>2695.5</v>
      </c>
    </row>
    <row r="46" spans="2:105" x14ac:dyDescent="0.25">
      <c r="S46" s="6"/>
    </row>
    <row r="47" spans="2:105" s="4" customFormat="1" x14ac:dyDescent="0.25">
      <c r="B47" s="7" t="s">
        <v>48</v>
      </c>
      <c r="C47" s="12"/>
      <c r="D47" s="12"/>
      <c r="E47" s="12"/>
      <c r="F47" s="12"/>
      <c r="G47" s="11">
        <f t="shared" ref="G47:K47" si="130">+G32/C32-1</f>
        <v>0.25998662878154777</v>
      </c>
      <c r="H47" s="11">
        <f t="shared" si="130"/>
        <v>0.2762451817700855</v>
      </c>
      <c r="I47" s="11">
        <f t="shared" si="130"/>
        <v>0.2859328331026445</v>
      </c>
      <c r="J47" s="11">
        <f t="shared" si="130"/>
        <v>0.2464230814709707</v>
      </c>
      <c r="K47" s="11">
        <f t="shared" si="130"/>
        <v>0.17642767128739134</v>
      </c>
      <c r="L47" s="11">
        <f>+L32/H32-1</f>
        <v>0.10665640175293145</v>
      </c>
      <c r="M47" s="11">
        <f>+M32/I32-1</f>
        <v>0.21629277135735325</v>
      </c>
      <c r="N47" s="11">
        <f>+N32/J32-1</f>
        <v>0.33156247035385644</v>
      </c>
      <c r="O47" s="11">
        <f>+O32/K32-1</f>
        <v>0.47550318543158365</v>
      </c>
      <c r="P47" s="11">
        <f>+P32/L32-1</f>
        <v>0.5560014983678494</v>
      </c>
      <c r="Q47" s="11">
        <f t="shared" ref="Q47:R47" si="131">+Q32/M32-1</f>
        <v>0.35118770377270603</v>
      </c>
      <c r="R47" s="11">
        <f t="shared" si="131"/>
        <v>0.19945141065830718</v>
      </c>
      <c r="S47" s="11">
        <f>+S32/O32-1</f>
        <v>6.6371174200450911E-2</v>
      </c>
      <c r="T47" s="11">
        <f>+T32/P32-1</f>
        <v>-8.7698180692643568E-3</v>
      </c>
      <c r="U47" s="11">
        <f>+U32/Q32-1</f>
        <v>-4.4674250258531556E-2</v>
      </c>
      <c r="V47" s="11">
        <f t="shared" ref="V47" si="132">+V32/R32-1</f>
        <v>-4.4726916337501144E-2</v>
      </c>
      <c r="W47" s="11">
        <f>+W32/S32-1</f>
        <v>2.6408198366060009E-2</v>
      </c>
      <c r="X47" s="11">
        <f t="shared" ref="X47" si="133">+X32/T32-1</f>
        <v>0.11022829782804799</v>
      </c>
      <c r="Y47" s="11">
        <f t="shared" ref="Y47" si="134">+Y32/U32-1</f>
        <v>0.23208486685429741</v>
      </c>
      <c r="Z47" s="11">
        <f t="shared" ref="Z47" si="135">+Z32/V32-1</f>
        <v>0.24703870666873939</v>
      </c>
      <c r="AA47" s="11">
        <f>+AA32/W32-1</f>
        <v>0.27264793157619138</v>
      </c>
      <c r="AB47" s="11">
        <f>+AB32/X32-1</f>
        <v>0.17191162223819489</v>
      </c>
      <c r="AC47" s="11">
        <f>+AC32/Y32-1</f>
        <v>0.10000000000000009</v>
      </c>
      <c r="AD47" s="11">
        <f>+AD32/Z32-1</f>
        <v>0.10000000000000009</v>
      </c>
      <c r="AG47" s="18">
        <f t="shared" ref="AG47:AK47" si="136">+AG32/AF32-1</f>
        <v>0.58358739837398366</v>
      </c>
      <c r="AH47" s="18">
        <f t="shared" si="136"/>
        <v>0.43815177282207607</v>
      </c>
      <c r="AI47" s="18">
        <f t="shared" si="136"/>
        <v>0.54161088799643009</v>
      </c>
      <c r="AJ47" s="18">
        <f t="shared" si="136"/>
        <v>0.47090961719371882</v>
      </c>
      <c r="AK47" s="18">
        <f t="shared" si="136"/>
        <v>0.37352716896661997</v>
      </c>
      <c r="AL47" s="18">
        <f>+AL32/AK32-1</f>
        <v>0.26610910132884413</v>
      </c>
      <c r="AM47" s="18">
        <f>+AM32/AL32-1</f>
        <v>0.21596390228722573</v>
      </c>
      <c r="AN47" s="18">
        <f>+AN32/AM32-1</f>
        <v>0.37182574303495608</v>
      </c>
      <c r="AO47" s="18">
        <f>+AO32/AN32-1</f>
        <v>-1.1193175554782941E-2</v>
      </c>
      <c r="AP47" s="18">
        <f t="shared" ref="AP47:AW47" si="137">+AP32/AO32-1</f>
        <v>0.15686610810486323</v>
      </c>
      <c r="AQ47" s="18">
        <f t="shared" si="137"/>
        <v>0.15371791165373128</v>
      </c>
      <c r="AR47" s="18">
        <f t="shared" si="137"/>
        <v>0.10000000000000009</v>
      </c>
      <c r="AS47" s="18">
        <f t="shared" si="137"/>
        <v>5.0000000000000044E-2</v>
      </c>
      <c r="AT47" s="18">
        <f t="shared" si="137"/>
        <v>3.0000000000000027E-2</v>
      </c>
      <c r="AU47" s="18">
        <f t="shared" si="137"/>
        <v>3.0000000000000027E-2</v>
      </c>
      <c r="AV47" s="18">
        <f t="shared" si="137"/>
        <v>3.0000000000000027E-2</v>
      </c>
      <c r="AW47" s="18">
        <f t="shared" si="137"/>
        <v>3.0000000000000027E-2</v>
      </c>
    </row>
    <row r="48" spans="2:105" s="4" customFormat="1" x14ac:dyDescent="0.25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>
        <f>+O27/K27-1</f>
        <v>0.41985917173887088</v>
      </c>
      <c r="P48" s="11">
        <f t="shared" ref="P48:R48" si="138">+P27/L27-1</f>
        <v>0.47543879015343848</v>
      </c>
      <c r="Q48" s="11">
        <f t="shared" si="138"/>
        <v>0.31097316780136164</v>
      </c>
      <c r="R48" s="11">
        <f t="shared" si="138"/>
        <v>0.14539923954372624</v>
      </c>
      <c r="S48" s="11">
        <f>+S27/O27-1</f>
        <v>-1</v>
      </c>
      <c r="T48" s="11">
        <f>+T27/P27-1</f>
        <v>-1</v>
      </c>
      <c r="U48" s="11">
        <f t="shared" ref="U48" si="139">+U27/Q27-1</f>
        <v>-1</v>
      </c>
      <c r="V48" s="11"/>
      <c r="W48" s="12"/>
      <c r="X48" s="12"/>
      <c r="Y48" s="12"/>
    </row>
    <row r="49" spans="2:54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>
        <v>0.15</v>
      </c>
      <c r="T49" s="10">
        <v>0.15</v>
      </c>
      <c r="U49" s="10">
        <v>0.17</v>
      </c>
      <c r="V49" s="10"/>
      <c r="W49" s="6"/>
      <c r="X49" s="6"/>
      <c r="Y49" s="6"/>
    </row>
    <row r="50" spans="2:54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>
        <v>-0.08</v>
      </c>
      <c r="T50" s="10">
        <v>-0.14000000000000001</v>
      </c>
      <c r="U50" s="10">
        <v>-0.18</v>
      </c>
      <c r="V50" s="10">
        <v>-0.22</v>
      </c>
      <c r="W50" s="6"/>
      <c r="X50" s="6"/>
      <c r="Y50" s="6"/>
    </row>
    <row r="51" spans="2:54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0"/>
      <c r="P51" s="10"/>
      <c r="Q51" s="10"/>
      <c r="R51" s="10">
        <f t="shared" ref="R51" si="140">+R30/N30-1</f>
        <v>0.22315202231520215</v>
      </c>
      <c r="S51" s="10">
        <f t="shared" ref="S51:AA51" si="141">+S30/O30-1</f>
        <v>0.30149812734082393</v>
      </c>
      <c r="T51" s="10">
        <f t="shared" si="141"/>
        <v>0.4819672131147541</v>
      </c>
      <c r="U51" s="10">
        <f t="shared" si="141"/>
        <v>-0.489247311827957</v>
      </c>
      <c r="V51" s="10">
        <f t="shared" si="141"/>
        <v>-0.17103762827822122</v>
      </c>
      <c r="W51" s="10">
        <f t="shared" si="141"/>
        <v>-0.51223021582733819</v>
      </c>
      <c r="X51" s="10">
        <f t="shared" si="141"/>
        <v>-0.38938053097345138</v>
      </c>
      <c r="Y51" s="10">
        <f t="shared" si="141"/>
        <v>-0.26315789473684215</v>
      </c>
      <c r="Z51" s="10">
        <f t="shared" si="141"/>
        <v>0.47317744154057761</v>
      </c>
      <c r="AA51" s="10">
        <f t="shared" si="141"/>
        <v>0.29793510324483785</v>
      </c>
      <c r="AB51" s="10"/>
      <c r="AC51" s="10"/>
      <c r="AD51" s="10"/>
      <c r="AM51" s="19">
        <f t="shared" ref="AM51" si="142">AM30/AL30-1</f>
        <v>1.2734530938123751</v>
      </c>
      <c r="AN51" s="19">
        <f>AN30/AM30-1</f>
        <v>0.99648814749780512</v>
      </c>
      <c r="AO51" s="19">
        <f>AO30/AN30-1</f>
        <v>-1</v>
      </c>
    </row>
    <row r="52" spans="2:54" s="3" customFormat="1" x14ac:dyDescent="0.25">
      <c r="B52" s="3" t="s">
        <v>199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0">
        <f t="shared" ref="Q52:T52" si="143">+Q38/M38-1</f>
        <v>0.38761368557817244</v>
      </c>
      <c r="R52" s="10">
        <f t="shared" si="143"/>
        <v>0.46108852979081982</v>
      </c>
      <c r="S52" s="10">
        <f t="shared" si="143"/>
        <v>0.38470296004967919</v>
      </c>
      <c r="T52" s="10">
        <f t="shared" si="143"/>
        <v>0.35019008045265676</v>
      </c>
      <c r="U52" s="10">
        <f>+U38/Q38-1</f>
        <v>0.27450062421972543</v>
      </c>
      <c r="V52" s="10">
        <f t="shared" ref="V52:Z52" si="144">+V38/R38-1</f>
        <v>0.18265707694395439</v>
      </c>
      <c r="W52" s="10">
        <f t="shared" si="144"/>
        <v>-9.9999999999999978E-2</v>
      </c>
      <c r="X52" s="10">
        <f t="shared" si="144"/>
        <v>-3.1430068098480923E-2</v>
      </c>
      <c r="Y52" s="10">
        <f t="shared" si="144"/>
        <v>-0.13138239255540585</v>
      </c>
      <c r="Z52" s="10">
        <f t="shared" si="144"/>
        <v>-8.0206540447504304E-2</v>
      </c>
      <c r="AA52" s="10">
        <f>+AA38/W38-1</f>
        <v>0.32853310744035014</v>
      </c>
      <c r="AB52" s="10"/>
      <c r="AC52" s="10"/>
      <c r="AD52" s="10"/>
    </row>
    <row r="53" spans="2:54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54" s="3" customFormat="1" x14ac:dyDescent="0.25">
      <c r="B54" s="3" t="s">
        <v>37</v>
      </c>
      <c r="C54" s="10">
        <f t="shared" ref="C54:Z54" si="145">+C34/C32</f>
        <v>0.8389603877653351</v>
      </c>
      <c r="D54" s="10">
        <f t="shared" si="145"/>
        <v>0.83266570931902351</v>
      </c>
      <c r="E54" s="10">
        <f t="shared" si="145"/>
        <v>0.82385080498288044</v>
      </c>
      <c r="F54" s="10">
        <f t="shared" si="145"/>
        <v>0.83469315360056762</v>
      </c>
      <c r="G54" s="10">
        <f t="shared" si="145"/>
        <v>0.81322544272733299</v>
      </c>
      <c r="H54" s="10">
        <f t="shared" si="145"/>
        <v>0.80415729006277392</v>
      </c>
      <c r="I54" s="10">
        <f t="shared" si="145"/>
        <v>0.82126671198731027</v>
      </c>
      <c r="J54" s="10">
        <f t="shared" si="145"/>
        <v>0.83436106631249407</v>
      </c>
      <c r="K54" s="10">
        <f t="shared" si="145"/>
        <v>0.80498393189378137</v>
      </c>
      <c r="L54" s="10">
        <f t="shared" si="145"/>
        <v>0.7950981966072671</v>
      </c>
      <c r="M54" s="10">
        <f t="shared" si="145"/>
        <v>0.80465766185374943</v>
      </c>
      <c r="N54" s="10">
        <f t="shared" si="145"/>
        <v>0.81440581362211462</v>
      </c>
      <c r="O54" s="10">
        <f t="shared" si="145"/>
        <v>0.80394329601467274</v>
      </c>
      <c r="P54" s="10">
        <f t="shared" si="145"/>
        <v>0.81432059703545756</v>
      </c>
      <c r="Q54" s="10">
        <f t="shared" si="145"/>
        <v>0.80106859703550504</v>
      </c>
      <c r="R54" s="10">
        <f t="shared" si="145"/>
        <v>0.81146981081642955</v>
      </c>
      <c r="S54" s="10">
        <f t="shared" si="145"/>
        <v>0.78482872294682526</v>
      </c>
      <c r="T54" s="10">
        <f t="shared" si="145"/>
        <v>0.81985982929706469</v>
      </c>
      <c r="U54" s="10">
        <f t="shared" si="145"/>
        <v>0.79375045103557773</v>
      </c>
      <c r="V54" s="10">
        <f t="shared" si="145"/>
        <v>0.74083631276231932</v>
      </c>
      <c r="W54" s="10">
        <f t="shared" si="145"/>
        <v>0.78999999999999992</v>
      </c>
      <c r="X54" s="10">
        <f t="shared" si="145"/>
        <v>0.81421294415450485</v>
      </c>
      <c r="Y54" s="10">
        <f t="shared" si="145"/>
        <v>0.81813389562467054</v>
      </c>
      <c r="Z54" s="10">
        <f t="shared" si="145"/>
        <v>0.79</v>
      </c>
      <c r="AA54" s="10">
        <f>+AA34/AA32</f>
        <v>0.81785763269784661</v>
      </c>
      <c r="AB54" s="10"/>
      <c r="AC54" s="10"/>
      <c r="AD54" s="10"/>
      <c r="AK54" s="19">
        <f t="shared" ref="AK54:AW54" si="146">+AK34/AK32</f>
        <v>0.8324617643898421</v>
      </c>
      <c r="AL54" s="19">
        <f t="shared" si="146"/>
        <v>0.81936998741106415</v>
      </c>
      <c r="AM54" s="19">
        <f t="shared" si="146"/>
        <v>0.80582795323678236</v>
      </c>
      <c r="AN54" s="19">
        <f t="shared" si="146"/>
        <v>0.80794376277251567</v>
      </c>
      <c r="AO54" s="19">
        <f t="shared" si="146"/>
        <v>0.81</v>
      </c>
      <c r="AP54" s="19">
        <f t="shared" si="146"/>
        <v>0.81</v>
      </c>
      <c r="AQ54" s="19">
        <f t="shared" si="146"/>
        <v>0.81</v>
      </c>
      <c r="AR54" s="19">
        <f t="shared" si="146"/>
        <v>0.81</v>
      </c>
      <c r="AS54" s="19">
        <f t="shared" si="146"/>
        <v>0.80999999999999994</v>
      </c>
      <c r="AT54" s="19">
        <f t="shared" si="146"/>
        <v>0.81000000000000016</v>
      </c>
      <c r="AU54" s="19">
        <f t="shared" si="146"/>
        <v>0.81000000000000016</v>
      </c>
      <c r="AV54" s="19">
        <f t="shared" si="146"/>
        <v>0.80999999999999994</v>
      </c>
      <c r="AW54" s="19">
        <f t="shared" si="146"/>
        <v>0.80999999999999994</v>
      </c>
    </row>
    <row r="55" spans="2:54" s="3" customFormat="1" x14ac:dyDescent="0.25">
      <c r="B55" s="3" t="s">
        <v>200</v>
      </c>
      <c r="C55" s="10">
        <f t="shared" ref="C55:E55" si="147">+C39/C32</f>
        <v>0.45537355841551064</v>
      </c>
      <c r="D55" s="10">
        <f t="shared" si="147"/>
        <v>0.44312599198851182</v>
      </c>
      <c r="E55" s="10">
        <f t="shared" si="147"/>
        <v>0.42114081736723247</v>
      </c>
      <c r="F55" s="10">
        <f t="shared" ref="F55:I55" si="148">+F39/F32</f>
        <v>0.46233889085964291</v>
      </c>
      <c r="G55" s="10">
        <f t="shared" si="148"/>
        <v>0.41898255621144792</v>
      </c>
      <c r="H55" s="10">
        <f t="shared" si="148"/>
        <v>0.39239606774843067</v>
      </c>
      <c r="I55" s="10">
        <f t="shared" si="148"/>
        <v>0.40703602991162474</v>
      </c>
      <c r="J55" s="10">
        <f t="shared" ref="J55:L55" si="149">+J39/J32</f>
        <v>0.42016886443411439</v>
      </c>
      <c r="K55" s="10">
        <f t="shared" si="149"/>
        <v>0.33224333314540228</v>
      </c>
      <c r="L55" s="10">
        <f t="shared" si="149"/>
        <v>0.31909883876491679</v>
      </c>
      <c r="M55" s="10">
        <f t="shared" ref="M55:P55" si="150">+M39/M32</f>
        <v>0.37447601304145317</v>
      </c>
      <c r="N55" s="10">
        <f t="shared" si="150"/>
        <v>0.45507979481333716</v>
      </c>
      <c r="O55" s="10">
        <f t="shared" si="150"/>
        <v>0.43475602766420846</v>
      </c>
      <c r="P55" s="10">
        <f t="shared" si="150"/>
        <v>0.42531898063761736</v>
      </c>
      <c r="Q55" s="10">
        <f t="shared" ref="Q55:T55" si="151">+Q39/Q32</f>
        <v>0.35928990003447087</v>
      </c>
      <c r="R55" s="10">
        <f t="shared" si="151"/>
        <v>0.37376377297971547</v>
      </c>
      <c r="S55" s="10">
        <f t="shared" si="151"/>
        <v>0.30543213415508097</v>
      </c>
      <c r="T55" s="10">
        <f t="shared" si="151"/>
        <v>0.28998681562695161</v>
      </c>
      <c r="U55" s="10">
        <f>+U39/U32</f>
        <v>0.20437324096124701</v>
      </c>
      <c r="V55" s="10">
        <f t="shared" ref="V55:Z55" si="152">+V39/V32</f>
        <v>0.19894295041193844</v>
      </c>
      <c r="W55" s="10">
        <f t="shared" si="152"/>
        <v>0.36964391691394655</v>
      </c>
      <c r="X55" s="10">
        <f t="shared" si="152"/>
        <v>0.35194849839057468</v>
      </c>
      <c r="Y55" s="10">
        <f t="shared" si="152"/>
        <v>0.40262402624026239</v>
      </c>
      <c r="Z55" s="10">
        <f t="shared" si="152"/>
        <v>0.39030914213058771</v>
      </c>
      <c r="AA55" s="10">
        <f>+AA39/AA32</f>
        <v>0.37904265532848719</v>
      </c>
      <c r="AB55" s="10"/>
      <c r="AC55" s="10"/>
      <c r="AD55" s="10"/>
      <c r="AK55" s="10">
        <f t="shared" ref="AK55:AW55" si="153">+AK39/AK32</f>
        <v>0.44616569361366809</v>
      </c>
      <c r="AL55" s="10">
        <f t="shared" si="153"/>
        <v>0.41000325332050863</v>
      </c>
      <c r="AM55" s="10">
        <f t="shared" si="153"/>
        <v>0.3800500203571221</v>
      </c>
      <c r="AN55" s="10">
        <f t="shared" si="153"/>
        <v>0.39645040660058173</v>
      </c>
      <c r="AO55" s="10">
        <f t="shared" si="153"/>
        <v>0.4149918959943058</v>
      </c>
      <c r="AP55" s="10">
        <f t="shared" si="153"/>
        <v>0.48500203853196056</v>
      </c>
      <c r="AQ55" s="10">
        <f t="shared" si="153"/>
        <v>0.54113522623374677</v>
      </c>
      <c r="AR55" s="10">
        <f t="shared" si="153"/>
        <v>0.57607592504900818</v>
      </c>
      <c r="AS55" s="10">
        <f t="shared" si="153"/>
        <v>0.59621383527450633</v>
      </c>
      <c r="AT55" s="10">
        <f t="shared" si="153"/>
        <v>0.61030353104811186</v>
      </c>
      <c r="AU55" s="10">
        <f t="shared" si="153"/>
        <v>0.62299044067687737</v>
      </c>
      <c r="AV55" s="10">
        <f t="shared" si="153"/>
        <v>0.63444067721872754</v>
      </c>
      <c r="AW55" s="10">
        <f t="shared" si="153"/>
        <v>0.64479970657730268</v>
      </c>
      <c r="BA55" t="s">
        <v>112</v>
      </c>
      <c r="BB55" s="3">
        <f>NPV(BB56,AP43:DA43)</f>
        <v>963473.28822875605</v>
      </c>
    </row>
    <row r="56" spans="2:54" s="3" customFormat="1" x14ac:dyDescent="0.25">
      <c r="B56" s="3" t="s">
        <v>110</v>
      </c>
      <c r="C56" s="10">
        <f t="shared" ref="C56:V56" si="154">+C42/C41</f>
        <v>0.11105169340463458</v>
      </c>
      <c r="D56" s="10">
        <f t="shared" si="154"/>
        <v>0.12985685071574643</v>
      </c>
      <c r="E56" s="10">
        <f t="shared" si="154"/>
        <v>0.13108930987821379</v>
      </c>
      <c r="F56" s="10">
        <f t="shared" si="154"/>
        <v>0.13662024840045164</v>
      </c>
      <c r="G56" s="10">
        <f t="shared" si="154"/>
        <v>0.33972098727579336</v>
      </c>
      <c r="H56" s="10">
        <f t="shared" si="154"/>
        <v>0.32435597189695553</v>
      </c>
      <c r="I56" s="10">
        <f t="shared" si="154"/>
        <v>0.16891799699822621</v>
      </c>
      <c r="J56" s="10">
        <f t="shared" si="154"/>
        <v>0.19849492856363835</v>
      </c>
      <c r="K56" s="10">
        <f t="shared" si="154"/>
        <v>0.16362395495649207</v>
      </c>
      <c r="L56" s="10">
        <f t="shared" si="154"/>
        <v>0.15543956940140272</v>
      </c>
      <c r="M56" s="10">
        <f t="shared" si="154"/>
        <v>3.5288331488995447E-2</v>
      </c>
      <c r="N56" s="10">
        <f t="shared" si="154"/>
        <v>0.14063577173496744</v>
      </c>
      <c r="O56" s="10">
        <f t="shared" si="154"/>
        <v>0.17438928975049986</v>
      </c>
      <c r="P56" s="10">
        <f t="shared" si="154"/>
        <v>0.16934388236234316</v>
      </c>
      <c r="Q56" s="10">
        <f t="shared" si="154"/>
        <v>0.12976810222432561</v>
      </c>
      <c r="R56" s="10">
        <f t="shared" si="154"/>
        <v>0.19028499448905684</v>
      </c>
      <c r="S56" s="10">
        <f t="shared" si="154"/>
        <v>0.1619892231701841</v>
      </c>
      <c r="T56" s="10">
        <f t="shared" si="154"/>
        <v>0.18311751771316884</v>
      </c>
      <c r="U56" s="10">
        <f t="shared" si="154"/>
        <v>0.21180057388809181</v>
      </c>
      <c r="V56" s="10">
        <f t="shared" si="154"/>
        <v>0.24345422019840623</v>
      </c>
      <c r="W56" s="10">
        <f t="shared" ref="W56:Z56" si="155">+W42/W41</f>
        <v>0.19</v>
      </c>
      <c r="X56" s="10">
        <f t="shared" si="155"/>
        <v>0.13482038878437697</v>
      </c>
      <c r="Y56" s="10">
        <f t="shared" si="155"/>
        <v>0.1738231098430813</v>
      </c>
      <c r="Z56" s="10">
        <f t="shared" si="155"/>
        <v>0.17357299798690146</v>
      </c>
      <c r="AA56" s="10">
        <f>+AA42/AA41</f>
        <v>0.12789959811041388</v>
      </c>
      <c r="AB56" s="10"/>
      <c r="AC56" s="10"/>
      <c r="AD56" s="10"/>
      <c r="AK56" s="19">
        <f t="shared" ref="AK56:AW56" si="156">+AK42/AK41</f>
        <v>0.12814952091794488</v>
      </c>
      <c r="AL56" s="19">
        <f t="shared" si="156"/>
        <v>0.21222997450690997</v>
      </c>
      <c r="AM56" s="19">
        <f t="shared" si="156"/>
        <v>0.12157926461723931</v>
      </c>
      <c r="AN56" s="19">
        <f t="shared" si="156"/>
        <v>0.16737162676592504</v>
      </c>
      <c r="AO56" s="19">
        <f t="shared" si="156"/>
        <v>0.18</v>
      </c>
      <c r="AP56" s="19">
        <f t="shared" si="156"/>
        <v>0.18</v>
      </c>
      <c r="AQ56" s="19">
        <f t="shared" si="156"/>
        <v>0.18</v>
      </c>
      <c r="AR56" s="19">
        <f t="shared" si="156"/>
        <v>0.18000000000000002</v>
      </c>
      <c r="AS56" s="19">
        <f t="shared" si="156"/>
        <v>0.18</v>
      </c>
      <c r="AT56" s="19">
        <f t="shared" si="156"/>
        <v>0.18</v>
      </c>
      <c r="AU56" s="19">
        <f t="shared" si="156"/>
        <v>0.18</v>
      </c>
      <c r="AV56" s="19">
        <f t="shared" si="156"/>
        <v>0.18</v>
      </c>
      <c r="AW56" s="19">
        <f t="shared" si="156"/>
        <v>0.18</v>
      </c>
      <c r="BA56" s="3" t="s">
        <v>113</v>
      </c>
      <c r="BB56" s="19">
        <v>0.08</v>
      </c>
    </row>
    <row r="57" spans="2:54" x14ac:dyDescent="0.25">
      <c r="S57" s="6"/>
      <c r="BA57" t="s">
        <v>114</v>
      </c>
      <c r="BB57" s="19">
        <v>-0.05</v>
      </c>
    </row>
    <row r="58" spans="2:54" x14ac:dyDescent="0.25">
      <c r="B58" t="s">
        <v>194</v>
      </c>
      <c r="Q58" s="6">
        <f t="shared" ref="Q58:S58" si="157">+Q59-Q73</f>
        <v>64833</v>
      </c>
      <c r="R58" s="6">
        <f t="shared" si="157"/>
        <v>54773</v>
      </c>
      <c r="S58" s="6">
        <f t="shared" si="157"/>
        <v>50665</v>
      </c>
      <c r="T58" s="6">
        <f t="shared" ref="T58:W58" si="158">+T59-T73</f>
        <v>47025</v>
      </c>
      <c r="U58" s="6">
        <f t="shared" si="158"/>
        <v>38382</v>
      </c>
      <c r="V58" s="6">
        <f t="shared" si="158"/>
        <v>0</v>
      </c>
      <c r="W58" s="6">
        <f t="shared" si="158"/>
        <v>0</v>
      </c>
      <c r="X58" s="6">
        <f>+X59-X73</f>
        <v>0</v>
      </c>
      <c r="Y58" s="6">
        <f>+Y59-Y73</f>
        <v>0</v>
      </c>
      <c r="Z58" s="6">
        <f>+Z59-Z73</f>
        <v>0</v>
      </c>
      <c r="AA58" s="6">
        <f>+AA59-AA73</f>
        <v>45951</v>
      </c>
      <c r="AB58" s="6"/>
      <c r="AC58" s="6"/>
      <c r="AD58" s="6"/>
      <c r="BA58" s="3" t="s">
        <v>111</v>
      </c>
      <c r="BB58" s="19">
        <v>0.02</v>
      </c>
    </row>
    <row r="59" spans="2:54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>17576+44378+6234</f>
        <v>68188</v>
      </c>
      <c r="O59" s="6">
        <f>19513+44706+6342</f>
        <v>70561</v>
      </c>
      <c r="P59" s="6">
        <f>16186+47894+6393</f>
        <v>70473</v>
      </c>
      <c r="Q59" s="6">
        <f>14496+43579+6758</f>
        <v>64833</v>
      </c>
      <c r="R59" s="6">
        <f>16601+31397+6775</f>
        <v>54773</v>
      </c>
      <c r="S59" s="6">
        <f>14886+29004+6775</f>
        <v>50665</v>
      </c>
      <c r="T59" s="6">
        <f>12681+27808+6536</f>
        <v>47025</v>
      </c>
      <c r="U59" s="6">
        <f>14308+27468+6528</f>
        <v>48304</v>
      </c>
      <c r="V59" s="6"/>
      <c r="W59" s="6"/>
      <c r="X59" s="6"/>
      <c r="Y59" s="6"/>
      <c r="Z59" s="6"/>
      <c r="AA59" s="6">
        <f>32307+25813+6218</f>
        <v>64338</v>
      </c>
      <c r="AB59" s="6"/>
      <c r="AC59" s="6"/>
      <c r="AD59" s="6"/>
      <c r="AN59" s="3">
        <f>+R59</f>
        <v>54773</v>
      </c>
      <c r="AO59" s="3">
        <f>+V59</f>
        <v>0</v>
      </c>
      <c r="AP59" s="3">
        <f t="shared" ref="AP59:AW59" si="159">+AO59+AP43</f>
        <v>53650.353200000012</v>
      </c>
      <c r="AQ59" s="3">
        <f t="shared" si="159"/>
        <v>123591.47343248004</v>
      </c>
      <c r="AR59" s="3">
        <f t="shared" si="159"/>
        <v>206490.91066077273</v>
      </c>
      <c r="AS59" s="3">
        <f t="shared" si="159"/>
        <v>297761.94340930943</v>
      </c>
      <c r="AT59" s="3">
        <f t="shared" si="159"/>
        <v>395305.54914860317</v>
      </c>
      <c r="AU59" s="3">
        <f t="shared" si="159"/>
        <v>499212.67597738572</v>
      </c>
      <c r="AV59" s="3">
        <f t="shared" si="159"/>
        <v>609590.92527425138</v>
      </c>
      <c r="AW59" s="3">
        <f t="shared" si="159"/>
        <v>726563.72772397858</v>
      </c>
      <c r="BA59" s="3" t="s">
        <v>115</v>
      </c>
      <c r="BB59" s="17">
        <f>BB55/Main!M3</f>
        <v>367.0374431347642</v>
      </c>
    </row>
    <row r="60" spans="2:54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v>11335</v>
      </c>
      <c r="O60" s="6">
        <v>10276</v>
      </c>
      <c r="P60" s="6">
        <v>11698</v>
      </c>
      <c r="Q60" s="6">
        <v>12088</v>
      </c>
      <c r="R60" s="6">
        <v>14039</v>
      </c>
      <c r="S60" s="6">
        <v>11390</v>
      </c>
      <c r="T60" s="6">
        <v>11525</v>
      </c>
      <c r="U60" s="6">
        <v>11227</v>
      </c>
      <c r="V60" s="6"/>
      <c r="W60" s="6"/>
      <c r="X60" s="6"/>
      <c r="Y60" s="6"/>
      <c r="AA60" s="3">
        <v>13430</v>
      </c>
      <c r="BA60" s="3" t="s">
        <v>116</v>
      </c>
      <c r="BB60" s="19">
        <f>BB59/Main!M2-1</f>
        <v>-0.17147304032784605</v>
      </c>
    </row>
    <row r="61" spans="2:54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2381</v>
      </c>
      <c r="O61" s="6">
        <v>2827</v>
      </c>
      <c r="P61" s="6">
        <v>4919</v>
      </c>
      <c r="Q61" s="6">
        <v>5258</v>
      </c>
      <c r="R61" s="6">
        <v>4629</v>
      </c>
      <c r="S61" s="6">
        <v>3985</v>
      </c>
      <c r="T61" s="6">
        <v>3973</v>
      </c>
      <c r="U61" s="6">
        <v>5312</v>
      </c>
      <c r="V61" s="6"/>
      <c r="W61" s="6"/>
      <c r="X61" s="6"/>
      <c r="Y61" s="6"/>
      <c r="AA61" s="3">
        <v>3780</v>
      </c>
    </row>
    <row r="62" spans="2:54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45633</v>
      </c>
      <c r="O62" s="6">
        <v>47720</v>
      </c>
      <c r="P62" s="6">
        <v>50909</v>
      </c>
      <c r="Q62" s="6">
        <v>53726</v>
      </c>
      <c r="R62" s="6">
        <v>57809</v>
      </c>
      <c r="S62" s="6">
        <v>61582</v>
      </c>
      <c r="T62" s="6">
        <v>67588</v>
      </c>
      <c r="U62" s="6">
        <v>73738</v>
      </c>
      <c r="V62" s="6"/>
      <c r="W62" s="6"/>
      <c r="X62" s="6"/>
      <c r="Y62" s="6"/>
      <c r="AA62" s="3">
        <v>98908</v>
      </c>
    </row>
    <row r="63" spans="2:54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>
        <v>9348</v>
      </c>
      <c r="O63" s="6">
        <v>10202</v>
      </c>
      <c r="P63" s="6">
        <v>10525</v>
      </c>
      <c r="Q63" s="6">
        <v>11063</v>
      </c>
      <c r="R63" s="6">
        <v>12155</v>
      </c>
      <c r="S63" s="6">
        <v>12241</v>
      </c>
      <c r="T63" s="6">
        <v>14130</v>
      </c>
      <c r="U63" s="6">
        <v>13641</v>
      </c>
      <c r="V63" s="6"/>
      <c r="W63" s="6"/>
      <c r="X63" s="6"/>
      <c r="Y63" s="6"/>
      <c r="AA63" s="3">
        <v>13555</v>
      </c>
    </row>
    <row r="64" spans="2:54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f>623+19050</f>
        <v>19673</v>
      </c>
      <c r="O64" s="6">
        <f>505+19056</f>
        <v>19561</v>
      </c>
      <c r="P64" s="6">
        <f>19219+514</f>
        <v>19733</v>
      </c>
      <c r="Q64" s="6">
        <f>365+19065</f>
        <v>19430</v>
      </c>
      <c r="R64" s="6">
        <f>19197+634</f>
        <v>19831</v>
      </c>
      <c r="S64" s="6">
        <f>910+19923</f>
        <v>20833</v>
      </c>
      <c r="T64" s="6">
        <f>965+20229</f>
        <v>21194</v>
      </c>
      <c r="U64" s="6">
        <f>875+20268</f>
        <v>21143</v>
      </c>
      <c r="V64" s="6"/>
      <c r="W64" s="6"/>
      <c r="X64" s="6"/>
      <c r="Y64" s="6"/>
      <c r="AA64" s="3">
        <v>20654</v>
      </c>
    </row>
    <row r="65" spans="2:30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v>2758</v>
      </c>
      <c r="O65" s="6">
        <v>2376</v>
      </c>
      <c r="P65" s="6">
        <v>2352</v>
      </c>
      <c r="Q65" s="6">
        <v>3187</v>
      </c>
      <c r="R65" s="6">
        <v>2751</v>
      </c>
      <c r="S65" s="6">
        <v>3522</v>
      </c>
      <c r="T65" s="6">
        <v>4344</v>
      </c>
      <c r="U65" s="6">
        <v>5529</v>
      </c>
      <c r="V65" s="6"/>
      <c r="W65" s="6"/>
      <c r="X65" s="6"/>
      <c r="Y65" s="6"/>
      <c r="AA65" s="3">
        <v>8179</v>
      </c>
    </row>
    <row r="66" spans="2:30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f t="shared" ref="N66:O66" si="160">SUM(N59:N65)</f>
        <v>159316</v>
      </c>
      <c r="O66" s="6">
        <f t="shared" si="160"/>
        <v>163523</v>
      </c>
      <c r="P66" s="6">
        <f t="shared" ref="P66:Q66" si="161">SUM(P59:P65)</f>
        <v>170609</v>
      </c>
      <c r="Q66" s="6">
        <f t="shared" si="161"/>
        <v>169585</v>
      </c>
      <c r="R66" s="6">
        <f t="shared" ref="R66" si="162">SUM(R59:R65)</f>
        <v>165987</v>
      </c>
      <c r="S66" s="6">
        <f>SUM(S59:S65)</f>
        <v>164218</v>
      </c>
      <c r="T66" s="6">
        <f>SUM(T59:T65)</f>
        <v>169779</v>
      </c>
      <c r="U66" s="6">
        <f>SUM(U59:U65)</f>
        <v>178894</v>
      </c>
      <c r="V66" s="6">
        <f t="shared" ref="V66:AA66" si="163">SUM(V59:V65)</f>
        <v>0</v>
      </c>
      <c r="W66" s="6">
        <f t="shared" si="163"/>
        <v>0</v>
      </c>
      <c r="X66" s="6">
        <f t="shared" si="163"/>
        <v>0</v>
      </c>
      <c r="Y66" s="6">
        <f t="shared" si="163"/>
        <v>0</v>
      </c>
      <c r="Z66" s="6">
        <f t="shared" si="163"/>
        <v>0</v>
      </c>
      <c r="AA66" s="6">
        <f t="shared" si="163"/>
        <v>222844</v>
      </c>
    </row>
    <row r="67" spans="2:30" x14ac:dyDescent="0.25">
      <c r="S67" s="6"/>
    </row>
    <row r="68" spans="2:30" x14ac:dyDescent="0.25">
      <c r="B68" t="s">
        <v>56</v>
      </c>
      <c r="N68" s="6">
        <v>1331</v>
      </c>
      <c r="O68" s="6">
        <v>878</v>
      </c>
      <c r="P68" s="6">
        <v>973</v>
      </c>
      <c r="Q68" s="6">
        <v>2195</v>
      </c>
      <c r="R68" s="6">
        <v>4083</v>
      </c>
      <c r="S68" s="6">
        <v>3246</v>
      </c>
      <c r="T68" s="6">
        <v>4008</v>
      </c>
      <c r="U68" s="6">
        <v>3871</v>
      </c>
      <c r="AA68" s="6">
        <v>3785</v>
      </c>
    </row>
    <row r="69" spans="2:30" x14ac:dyDescent="0.25">
      <c r="B69" t="s">
        <v>57</v>
      </c>
      <c r="N69" s="6">
        <v>1093</v>
      </c>
      <c r="O69" s="6">
        <v>1006</v>
      </c>
      <c r="P69" s="6">
        <v>949</v>
      </c>
      <c r="Q69" s="6">
        <v>909</v>
      </c>
      <c r="R69" s="6">
        <v>1052</v>
      </c>
      <c r="S69" s="6">
        <v>935</v>
      </c>
      <c r="T69" s="6">
        <v>982</v>
      </c>
      <c r="U69" s="6">
        <v>975</v>
      </c>
      <c r="AA69" s="6">
        <v>0</v>
      </c>
    </row>
    <row r="70" spans="2:30" x14ac:dyDescent="0.25">
      <c r="B70" t="s">
        <v>58</v>
      </c>
      <c r="N70" s="6">
        <f>1023+9631</f>
        <v>10654</v>
      </c>
      <c r="O70" s="6">
        <f>1040+10574</f>
        <v>11614</v>
      </c>
      <c r="P70" s="6">
        <f>1051+10956</f>
        <v>12007</v>
      </c>
      <c r="Q70" s="6">
        <f>1086+11554</f>
        <v>12640</v>
      </c>
      <c r="R70" s="6">
        <f>1127+12746</f>
        <v>13873</v>
      </c>
      <c r="S70" s="6">
        <f>1159+12894</f>
        <v>14053</v>
      </c>
      <c r="T70" s="6">
        <f>1275+14792</f>
        <v>16067</v>
      </c>
      <c r="U70" s="6">
        <f>1291+14687</f>
        <v>15978</v>
      </c>
      <c r="AA70" s="6">
        <f>1676+17570</f>
        <v>19246</v>
      </c>
    </row>
    <row r="71" spans="2:30" x14ac:dyDescent="0.25">
      <c r="B71" t="s">
        <v>59</v>
      </c>
      <c r="N71" s="6">
        <v>11152</v>
      </c>
      <c r="O71" s="6">
        <v>9411</v>
      </c>
      <c r="P71" s="6">
        <v>11510</v>
      </c>
      <c r="Q71" s="6">
        <v>13158</v>
      </c>
      <c r="R71" s="6">
        <v>14312</v>
      </c>
      <c r="S71" s="6">
        <v>15226</v>
      </c>
      <c r="T71" s="6">
        <v>15420</v>
      </c>
      <c r="U71" s="6">
        <v>16036</v>
      </c>
      <c r="AA71" s="6">
        <v>22640</v>
      </c>
    </row>
    <row r="72" spans="2:30" x14ac:dyDescent="0.25">
      <c r="B72" t="s">
        <v>60</v>
      </c>
      <c r="N72" s="6">
        <v>382</v>
      </c>
      <c r="O72" s="6">
        <v>382</v>
      </c>
      <c r="P72" s="6">
        <v>391</v>
      </c>
      <c r="Q72" s="6">
        <v>464</v>
      </c>
      <c r="R72" s="6">
        <v>561</v>
      </c>
      <c r="S72" s="6">
        <v>520</v>
      </c>
      <c r="T72" s="6">
        <v>532</v>
      </c>
      <c r="U72" s="6">
        <v>514</v>
      </c>
      <c r="AA72" s="6">
        <v>0</v>
      </c>
    </row>
    <row r="73" spans="2:30" x14ac:dyDescent="0.25">
      <c r="B73" t="s">
        <v>5</v>
      </c>
      <c r="N73" s="6"/>
      <c r="O73" s="6"/>
      <c r="P73" s="6"/>
      <c r="Q73" s="6"/>
      <c r="R73" s="6"/>
      <c r="S73" s="6"/>
      <c r="T73" s="6"/>
      <c r="U73" s="6">
        <v>9922</v>
      </c>
      <c r="V73" s="6"/>
      <c r="W73" s="6"/>
      <c r="X73" s="6"/>
      <c r="Y73" s="6"/>
      <c r="Z73" s="6"/>
      <c r="AA73" s="6">
        <v>18387</v>
      </c>
      <c r="AB73" s="6"/>
      <c r="AC73" s="6"/>
      <c r="AD73" s="6"/>
    </row>
    <row r="74" spans="2:30" x14ac:dyDescent="0.25">
      <c r="B74" t="s">
        <v>65</v>
      </c>
      <c r="N74" s="6">
        <v>6414</v>
      </c>
      <c r="O74" s="6">
        <v>6575</v>
      </c>
      <c r="P74" s="6">
        <v>6552</v>
      </c>
      <c r="Q74" s="6">
        <v>6859</v>
      </c>
      <c r="R74" s="6">
        <v>7227</v>
      </c>
      <c r="S74" s="6">
        <v>7010</v>
      </c>
      <c r="T74" s="6">
        <v>7003</v>
      </c>
      <c r="U74" s="6">
        <v>7504</v>
      </c>
      <c r="AA74" s="6">
        <f>1462+7795</f>
        <v>9257</v>
      </c>
    </row>
    <row r="75" spans="2:30" x14ac:dyDescent="0.25">
      <c r="B75" t="s">
        <v>64</v>
      </c>
      <c r="N75" s="6">
        <v>50018</v>
      </c>
      <c r="O75" s="6">
        <v>51160</v>
      </c>
      <c r="P75" s="6">
        <v>52845</v>
      </c>
      <c r="Q75" s="6">
        <v>54334</v>
      </c>
      <c r="R75" s="6">
        <v>55811</v>
      </c>
      <c r="S75" s="6">
        <v>57512</v>
      </c>
      <c r="T75" s="6">
        <v>59929</v>
      </c>
      <c r="U75" s="6">
        <v>62092</v>
      </c>
      <c r="AA75" s="6">
        <v>75391</v>
      </c>
    </row>
    <row r="76" spans="2:30" x14ac:dyDescent="0.25">
      <c r="B76" t="s">
        <v>63</v>
      </c>
      <c r="N76" s="6">
        <v>927</v>
      </c>
      <c r="O76" s="6">
        <v>154</v>
      </c>
      <c r="P76" s="6">
        <v>285</v>
      </c>
      <c r="Q76" s="6">
        <v>-207</v>
      </c>
      <c r="R76" s="6">
        <v>-693</v>
      </c>
      <c r="S76" s="6">
        <v>-1996</v>
      </c>
      <c r="T76" s="6">
        <v>-3411</v>
      </c>
      <c r="U76" s="6">
        <v>-5054</v>
      </c>
      <c r="AA76" s="6">
        <v>-2655</v>
      </c>
    </row>
    <row r="77" spans="2:30" x14ac:dyDescent="0.25">
      <c r="B77" t="s">
        <v>62</v>
      </c>
      <c r="N77" s="6">
        <v>77345</v>
      </c>
      <c r="O77" s="6">
        <v>82343</v>
      </c>
      <c r="P77" s="6">
        <v>85097</v>
      </c>
      <c r="Q77" s="6">
        <v>79233</v>
      </c>
      <c r="R77" s="6">
        <v>69761</v>
      </c>
      <c r="S77" s="6">
        <v>67712</v>
      </c>
      <c r="T77" s="6">
        <v>69249</v>
      </c>
      <c r="U77" s="6">
        <v>67056</v>
      </c>
      <c r="AA77" s="6">
        <v>76793</v>
      </c>
    </row>
    <row r="78" spans="2:30" x14ac:dyDescent="0.25">
      <c r="B78" t="s">
        <v>61</v>
      </c>
      <c r="N78" s="6">
        <f t="shared" ref="N78:O78" si="164">SUM(N68:N77)</f>
        <v>159316</v>
      </c>
      <c r="O78" s="6">
        <f t="shared" si="164"/>
        <v>163523</v>
      </c>
      <c r="P78" s="6">
        <f t="shared" ref="P78:Q78" si="165">SUM(P68:P77)</f>
        <v>170609</v>
      </c>
      <c r="Q78" s="6">
        <f t="shared" si="165"/>
        <v>169585</v>
      </c>
      <c r="R78" s="6">
        <f t="shared" ref="R78:U78" si="166">SUM(R68:R77)</f>
        <v>165987</v>
      </c>
      <c r="S78" s="6">
        <f t="shared" si="166"/>
        <v>164218</v>
      </c>
      <c r="T78" s="6">
        <f t="shared" si="166"/>
        <v>169779</v>
      </c>
      <c r="U78" s="6">
        <f t="shared" si="166"/>
        <v>178894</v>
      </c>
      <c r="AA78" s="6">
        <f t="shared" ref="AA78" si="167">SUM(AA68:AA77)</f>
        <v>222844</v>
      </c>
    </row>
    <row r="79" spans="2:30" x14ac:dyDescent="0.25">
      <c r="S79" s="6"/>
    </row>
    <row r="80" spans="2:30" x14ac:dyDescent="0.25">
      <c r="B80" t="s">
        <v>66</v>
      </c>
      <c r="O80" s="6">
        <f t="shared" ref="O80:U80" si="168">O43</f>
        <v>9497</v>
      </c>
      <c r="P80" s="6">
        <f t="shared" si="168"/>
        <v>10394</v>
      </c>
      <c r="Q80" s="6">
        <f t="shared" si="168"/>
        <v>9194</v>
      </c>
      <c r="R80" s="6">
        <f t="shared" si="168"/>
        <v>10285</v>
      </c>
      <c r="S80" s="6">
        <f t="shared" si="168"/>
        <v>7465</v>
      </c>
      <c r="T80" s="6">
        <f t="shared" si="168"/>
        <v>6687</v>
      </c>
      <c r="U80" s="6">
        <f t="shared" si="168"/>
        <v>4395</v>
      </c>
      <c r="AA80" s="6">
        <f t="shared" ref="AA80" si="169">AA43</f>
        <v>12369</v>
      </c>
    </row>
    <row r="81" spans="2:27" x14ac:dyDescent="0.25">
      <c r="B81" t="s">
        <v>67</v>
      </c>
      <c r="O81" s="6">
        <v>9497</v>
      </c>
      <c r="P81" s="6">
        <f>19892-O81</f>
        <v>10395</v>
      </c>
      <c r="Q81" s="6">
        <f>29085-P81-O81</f>
        <v>9193</v>
      </c>
      <c r="R81" s="6">
        <v>10285</v>
      </c>
      <c r="S81" s="6">
        <v>7465</v>
      </c>
      <c r="T81" s="6">
        <v>6687</v>
      </c>
      <c r="U81" s="6">
        <f>18547-T81-S81</f>
        <v>4395</v>
      </c>
      <c r="AA81" s="3">
        <v>12369</v>
      </c>
    </row>
    <row r="82" spans="2:27" x14ac:dyDescent="0.25">
      <c r="B82" t="s">
        <v>69</v>
      </c>
      <c r="O82" s="6">
        <v>1972</v>
      </c>
      <c r="P82" s="6">
        <f>3958-O82</f>
        <v>1986</v>
      </c>
      <c r="Q82" s="6">
        <f>5953-P82-O82</f>
        <v>1995</v>
      </c>
      <c r="R82" s="6">
        <v>2014</v>
      </c>
      <c r="S82" s="6">
        <v>2156</v>
      </c>
      <c r="T82" s="6">
        <v>1979</v>
      </c>
      <c r="U82" s="6">
        <f>6310-T82-S82</f>
        <v>2175</v>
      </c>
      <c r="AA82" s="3">
        <v>3374</v>
      </c>
    </row>
    <row r="83" spans="2:27" x14ac:dyDescent="0.25">
      <c r="B83" t="s">
        <v>70</v>
      </c>
      <c r="O83" s="6">
        <v>1830</v>
      </c>
      <c r="P83" s="6">
        <f>4379-O83</f>
        <v>2549</v>
      </c>
      <c r="Q83" s="6">
        <f>6757-P83-O83</f>
        <v>2378</v>
      </c>
      <c r="R83" s="6">
        <v>2406</v>
      </c>
      <c r="S83" s="6">
        <v>2498</v>
      </c>
      <c r="T83" s="6">
        <v>3351</v>
      </c>
      <c r="U83" s="6">
        <f>8984-T83-S83</f>
        <v>3135</v>
      </c>
      <c r="AA83" s="3">
        <v>3562</v>
      </c>
    </row>
    <row r="84" spans="2:27" x14ac:dyDescent="0.25">
      <c r="B84" t="s">
        <v>71</v>
      </c>
      <c r="O84" s="6">
        <v>418</v>
      </c>
      <c r="P84" s="6">
        <f>647-O84</f>
        <v>229</v>
      </c>
      <c r="Q84" s="6">
        <f>-139-P84-O84</f>
        <v>-786</v>
      </c>
      <c r="R84" s="6">
        <v>748</v>
      </c>
      <c r="S84" s="6">
        <v>-563</v>
      </c>
      <c r="T84" s="6">
        <v>-453</v>
      </c>
      <c r="U84" s="6">
        <f>-2113-T84-S84</f>
        <v>-1097</v>
      </c>
      <c r="AA84" s="3">
        <v>-456</v>
      </c>
    </row>
    <row r="85" spans="2:27" x14ac:dyDescent="0.25">
      <c r="B85" t="s">
        <v>55</v>
      </c>
      <c r="O85" s="6">
        <v>-66</v>
      </c>
      <c r="P85" s="6">
        <f>-88-O85</f>
        <v>-22</v>
      </c>
      <c r="Q85" s="6">
        <f>-161-P85-O85</f>
        <v>-73</v>
      </c>
      <c r="R85" s="6">
        <v>34</v>
      </c>
      <c r="S85" s="6">
        <v>-221</v>
      </c>
      <c r="T85" s="6">
        <v>189</v>
      </c>
      <c r="U85" s="6">
        <f>413-T85-S85+71</f>
        <v>516</v>
      </c>
      <c r="AA85" s="3">
        <f>240-66</f>
        <v>174</v>
      </c>
    </row>
    <row r="86" spans="2:27" x14ac:dyDescent="0.25">
      <c r="B86" t="s">
        <v>72</v>
      </c>
      <c r="O86" s="6">
        <f>849-461-10-250-72-1681+6+210</f>
        <v>-1409</v>
      </c>
      <c r="P86" s="6">
        <f>-517-2313-195-134-133-200+9+184-O86</f>
        <v>-1890</v>
      </c>
      <c r="Q86" s="6">
        <f>-1072-2566-184+560-163+895+87+527-P86-O86</f>
        <v>1383</v>
      </c>
      <c r="R86" s="6">
        <f>-2038+817-165+876+151+2462+100+414</f>
        <v>2617</v>
      </c>
      <c r="S86" s="6">
        <f>2557+573-108-882-105+763-52-5</f>
        <v>2741</v>
      </c>
      <c r="T86" s="6">
        <f>-522-435-25+237+73+1180+24-88</f>
        <v>444</v>
      </c>
      <c r="U86" s="6">
        <f>1930-693-160-666-12+2942-35+446-T86-S86</f>
        <v>567</v>
      </c>
      <c r="AA86" s="3">
        <f>2520+100-94-1112-1274+83</f>
        <v>223</v>
      </c>
    </row>
    <row r="87" spans="2:27" x14ac:dyDescent="0.25">
      <c r="B87" t="s">
        <v>68</v>
      </c>
      <c r="O87" s="6">
        <f t="shared" ref="O87:U87" si="170">SUM(O81:O86)</f>
        <v>12242</v>
      </c>
      <c r="P87" s="6">
        <f t="shared" si="170"/>
        <v>13247</v>
      </c>
      <c r="Q87" s="6">
        <f t="shared" si="170"/>
        <v>14090</v>
      </c>
      <c r="R87" s="6">
        <f t="shared" si="170"/>
        <v>18104</v>
      </c>
      <c r="S87" s="6">
        <f t="shared" si="170"/>
        <v>14076</v>
      </c>
      <c r="T87" s="6">
        <f t="shared" si="170"/>
        <v>12197</v>
      </c>
      <c r="U87" s="6">
        <f t="shared" si="170"/>
        <v>9691</v>
      </c>
      <c r="AA87" s="3">
        <f>SUM(AA81:AA86)</f>
        <v>19246</v>
      </c>
    </row>
    <row r="88" spans="2:27" x14ac:dyDescent="0.25">
      <c r="S88" s="6"/>
      <c r="T88" s="6"/>
    </row>
    <row r="89" spans="2:27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-4272</v>
      </c>
      <c r="P89" s="6">
        <f>-8884-O89</f>
        <v>-4612</v>
      </c>
      <c r="Q89" s="6">
        <f>-13198-P89-O89</f>
        <v>-4314</v>
      </c>
      <c r="R89" s="6">
        <v>-5370</v>
      </c>
      <c r="S89" s="6">
        <f>-5441+126</f>
        <v>-5315</v>
      </c>
      <c r="T89" s="6">
        <f>-7572+44</f>
        <v>-7528</v>
      </c>
      <c r="U89" s="6">
        <f>-22388-T89-S89+190</f>
        <v>-9355</v>
      </c>
      <c r="V89" s="6"/>
      <c r="W89" s="6"/>
      <c r="X89" s="6"/>
      <c r="Y89" s="6"/>
      <c r="AA89" s="3">
        <v>-6400</v>
      </c>
    </row>
    <row r="90" spans="2:27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>-6231+1650+3981-2</f>
        <v>-602</v>
      </c>
      <c r="P90" s="6">
        <f>-16528+6337+6327-O90-62</f>
        <v>-3324</v>
      </c>
      <c r="Q90" s="6">
        <f>-24314+15331+9318-46-160-P90-O90</f>
        <v>4055</v>
      </c>
      <c r="R90" s="6">
        <f>-6093+16340+1598-2-123</f>
        <v>11720</v>
      </c>
      <c r="S90" s="6">
        <f>-4068+5065+402-10</f>
        <v>1389</v>
      </c>
      <c r="T90" s="6">
        <f>-2220+2648+511-7</f>
        <v>932</v>
      </c>
      <c r="U90" s="6">
        <f>-8885+9333+1562-T90-S90</f>
        <v>-311</v>
      </c>
      <c r="V90" s="6"/>
      <c r="W90" s="6"/>
      <c r="X90" s="6"/>
      <c r="Y90" s="6"/>
      <c r="AA90" s="3">
        <f>-6887+4625-72</f>
        <v>-2334</v>
      </c>
    </row>
    <row r="91" spans="2:27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>
        <f>-259-O91</f>
        <v>-259</v>
      </c>
      <c r="Q91" s="6">
        <f>-330-P91-O91</f>
        <v>-71</v>
      </c>
      <c r="R91" s="6">
        <v>-521</v>
      </c>
      <c r="S91" s="6">
        <v>-853</v>
      </c>
      <c r="T91" s="6">
        <v>-363</v>
      </c>
      <c r="U91" s="6">
        <f>-1250-1-T91-S91</f>
        <v>-35</v>
      </c>
      <c r="V91" s="6"/>
      <c r="W91" s="6"/>
      <c r="X91" s="6"/>
      <c r="Y91" s="6"/>
      <c r="AA91" s="3">
        <v>0</v>
      </c>
    </row>
    <row r="92" spans="2:27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U92" si="171">SUM(O89:O91)</f>
        <v>-4874</v>
      </c>
      <c r="P92" s="6">
        <f t="shared" si="171"/>
        <v>-8195</v>
      </c>
      <c r="Q92" s="6">
        <f t="shared" si="171"/>
        <v>-330</v>
      </c>
      <c r="R92" s="6">
        <f t="shared" si="171"/>
        <v>5829</v>
      </c>
      <c r="S92" s="6">
        <f t="shared" si="171"/>
        <v>-4779</v>
      </c>
      <c r="T92" s="6">
        <f t="shared" si="171"/>
        <v>-6959</v>
      </c>
      <c r="U92" s="6">
        <f t="shared" si="171"/>
        <v>-9701</v>
      </c>
      <c r="V92" s="6"/>
      <c r="W92" s="6"/>
      <c r="X92" s="6"/>
      <c r="Y92" s="6"/>
      <c r="AA92" s="3">
        <f>SUM(AA89:AA91)</f>
        <v>-8734</v>
      </c>
    </row>
    <row r="93" spans="2:27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7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-1077</v>
      </c>
      <c r="P94" s="6">
        <f>-2432-O94</f>
        <v>-1355</v>
      </c>
      <c r="Q94" s="6">
        <f>-4007-P94-O94</f>
        <v>-1575</v>
      </c>
      <c r="R94" s="6">
        <v>-1507</v>
      </c>
      <c r="S94" s="6">
        <v>-925</v>
      </c>
      <c r="T94" s="6">
        <v>-1002</v>
      </c>
      <c r="U94" s="6">
        <f>-2938-T94-S94</f>
        <v>-1011</v>
      </c>
      <c r="V94" s="6"/>
      <c r="W94" s="6"/>
      <c r="X94" s="6"/>
      <c r="Y94" s="6"/>
      <c r="AA94" s="3">
        <v>-3162</v>
      </c>
    </row>
    <row r="95" spans="2:27" s="7" customFormat="1" x14ac:dyDescent="0.25">
      <c r="B95" s="7" t="s">
        <v>78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v>-3939</v>
      </c>
      <c r="P95" s="8">
        <f>-11018-O95</f>
        <v>-7079</v>
      </c>
      <c r="Q95" s="8">
        <f>-24476-P95-O95</f>
        <v>-13458</v>
      </c>
      <c r="R95" s="8">
        <v>-20063</v>
      </c>
      <c r="S95" s="8">
        <v>-9506</v>
      </c>
      <c r="T95" s="8">
        <v>-5233</v>
      </c>
      <c r="U95" s="8">
        <f>-21093-T95-S95</f>
        <v>-6354</v>
      </c>
      <c r="V95" s="8"/>
      <c r="W95" s="8"/>
      <c r="X95" s="8"/>
      <c r="Y95" s="8"/>
      <c r="AA95" s="3">
        <v>-15008</v>
      </c>
    </row>
    <row r="96" spans="2:27" s="3" customFormat="1" x14ac:dyDescent="0.25">
      <c r="B96" s="3" t="s">
        <v>208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AA96" s="3">
        <v>-1273</v>
      </c>
    </row>
    <row r="97" spans="2:27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>
        <v>0</v>
      </c>
      <c r="T97" s="6">
        <v>0</v>
      </c>
      <c r="U97" s="6">
        <f>9921-T97-S97</f>
        <v>9921</v>
      </c>
      <c r="V97" s="6"/>
      <c r="W97" s="6"/>
      <c r="X97" s="6"/>
      <c r="Y97" s="6"/>
      <c r="AA97" s="3">
        <v>0</v>
      </c>
    </row>
    <row r="98" spans="2:27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>-151+32-50</f>
        <v>-169</v>
      </c>
      <c r="P98" s="6">
        <f>-274-O98+3-13</f>
        <v>-115</v>
      </c>
      <c r="Q98" s="6">
        <f>-505+15-13-P98-O98</f>
        <v>-219</v>
      </c>
      <c r="R98" s="6">
        <v>-172</v>
      </c>
      <c r="S98" s="6">
        <f>-233+20-16</f>
        <v>-229</v>
      </c>
      <c r="T98" s="6">
        <f>-219-79-30</f>
        <v>-328</v>
      </c>
      <c r="U98" s="6">
        <f>-615-250-101-T98-S98</f>
        <v>-409</v>
      </c>
      <c r="V98" s="6"/>
      <c r="W98" s="6"/>
      <c r="X98" s="6"/>
      <c r="Y98" s="6"/>
      <c r="AA98" s="3">
        <f>-315-9</f>
        <v>-324</v>
      </c>
    </row>
    <row r="99" spans="2:27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ref="O99:Q99" si="172">SUM(O94:O98)</f>
        <v>-5185</v>
      </c>
      <c r="P99" s="6">
        <f t="shared" si="172"/>
        <v>-8549</v>
      </c>
      <c r="Q99" s="6">
        <f t="shared" si="172"/>
        <v>-15252</v>
      </c>
      <c r="R99" s="6">
        <f t="shared" ref="R99" si="173">SUM(R94:R98)</f>
        <v>-21742</v>
      </c>
      <c r="S99" s="6">
        <f>SUM(S94:S98)</f>
        <v>-10660</v>
      </c>
      <c r="T99" s="6">
        <f>SUM(T94:T98)</f>
        <v>-6563</v>
      </c>
      <c r="U99" s="6">
        <f>SUM(U94:U98)</f>
        <v>2147</v>
      </c>
      <c r="V99" s="6"/>
      <c r="W99" s="6"/>
      <c r="X99" s="6"/>
      <c r="Y99" s="6"/>
      <c r="AA99" s="3">
        <f>SUM(AA94:AA98)</f>
        <v>-19767</v>
      </c>
    </row>
    <row r="100" spans="2:27" x14ac:dyDescent="0.25">
      <c r="B100" t="s">
        <v>80</v>
      </c>
      <c r="O100" s="1">
        <v>-246</v>
      </c>
      <c r="P100" s="1">
        <f>-129-O100</f>
        <v>117</v>
      </c>
      <c r="Q100" s="1">
        <f>-344-P100-O100</f>
        <v>-215</v>
      </c>
      <c r="R100" s="1">
        <v>-130</v>
      </c>
      <c r="S100" s="6">
        <v>-149</v>
      </c>
      <c r="T100" s="1">
        <v>-550</v>
      </c>
      <c r="U100" s="6">
        <f>-1063-T100-S100</f>
        <v>-364</v>
      </c>
      <c r="AA100" s="3">
        <v>-288</v>
      </c>
    </row>
    <row r="101" spans="2:27" x14ac:dyDescent="0.25">
      <c r="B101" t="s">
        <v>81</v>
      </c>
      <c r="O101" s="6">
        <f t="shared" ref="O101:U101" si="174">+O100+O99+O92+O87</f>
        <v>1937</v>
      </c>
      <c r="P101" s="6">
        <f t="shared" si="174"/>
        <v>-3380</v>
      </c>
      <c r="Q101" s="6">
        <f t="shared" si="174"/>
        <v>-1707</v>
      </c>
      <c r="R101" s="6">
        <f t="shared" si="174"/>
        <v>2061</v>
      </c>
      <c r="S101" s="6">
        <f t="shared" si="174"/>
        <v>-1512</v>
      </c>
      <c r="T101" s="6">
        <f t="shared" si="174"/>
        <v>-1875</v>
      </c>
      <c r="U101" s="6">
        <f t="shared" si="174"/>
        <v>1773</v>
      </c>
      <c r="AA101" s="3">
        <f>+AA100+AA99+AA92+AA87</f>
        <v>-9543</v>
      </c>
    </row>
    <row r="102" spans="2:27" x14ac:dyDescent="0.25">
      <c r="S102" s="6"/>
    </row>
    <row r="103" spans="2:27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>
        <v>43030</v>
      </c>
      <c r="J103" s="6">
        <v>44942</v>
      </c>
      <c r="K103" s="6"/>
      <c r="L103" s="6"/>
      <c r="M103" s="6"/>
      <c r="N103" s="6"/>
      <c r="O103" s="6"/>
      <c r="P103" s="6"/>
      <c r="Q103" s="6"/>
      <c r="R103" s="6">
        <v>71970</v>
      </c>
      <c r="S103" s="6">
        <v>77805</v>
      </c>
      <c r="T103" s="6">
        <v>83553</v>
      </c>
      <c r="U103" s="6">
        <v>87314</v>
      </c>
      <c r="V103" s="6">
        <v>86000</v>
      </c>
      <c r="W103" s="6">
        <v>77114</v>
      </c>
      <c r="X103" s="6">
        <v>71469</v>
      </c>
      <c r="Y103" s="6">
        <v>66185</v>
      </c>
      <c r="Z103" s="3">
        <v>67317</v>
      </c>
      <c r="AA103" s="3">
        <v>69329</v>
      </c>
    </row>
    <row r="104" spans="2:27" x14ac:dyDescent="0.25">
      <c r="B104" t="s">
        <v>198</v>
      </c>
      <c r="S104" s="6">
        <f t="shared" ref="S104:AA104" si="175">+S103-R103</f>
        <v>5835</v>
      </c>
      <c r="T104" s="6">
        <f t="shared" si="175"/>
        <v>5748</v>
      </c>
      <c r="U104" s="6">
        <f t="shared" si="175"/>
        <v>3761</v>
      </c>
      <c r="V104" s="6">
        <f t="shared" si="175"/>
        <v>-1314</v>
      </c>
      <c r="W104" s="6">
        <f t="shared" si="175"/>
        <v>-8886</v>
      </c>
      <c r="X104" s="6">
        <f t="shared" si="175"/>
        <v>-5645</v>
      </c>
      <c r="Y104" s="6">
        <f t="shared" si="175"/>
        <v>-5284</v>
      </c>
      <c r="Z104" s="6">
        <f t="shared" si="175"/>
        <v>1132</v>
      </c>
      <c r="AA104" s="6">
        <f t="shared" si="175"/>
        <v>2012</v>
      </c>
    </row>
    <row r="105" spans="2:27" x14ac:dyDescent="0.25">
      <c r="S105" s="6"/>
      <c r="T105" s="6"/>
    </row>
    <row r="106" spans="2:27" x14ac:dyDescent="0.25">
      <c r="B106" t="s">
        <v>125</v>
      </c>
      <c r="O106" s="6">
        <f>+O87+O89</f>
        <v>7970</v>
      </c>
      <c r="P106" s="6">
        <f t="shared" ref="P106:S106" si="176">+P87+P89</f>
        <v>8635</v>
      </c>
      <c r="Q106" s="6">
        <f t="shared" si="176"/>
        <v>9776</v>
      </c>
      <c r="R106" s="6">
        <f t="shared" si="176"/>
        <v>12734</v>
      </c>
      <c r="S106" s="6">
        <f t="shared" si="176"/>
        <v>8761</v>
      </c>
      <c r="T106" s="6">
        <f>+T87+T89</f>
        <v>4669</v>
      </c>
      <c r="U106" s="6">
        <f>+U87+U89</f>
        <v>336</v>
      </c>
    </row>
    <row r="107" spans="2:27" x14ac:dyDescent="0.25">
      <c r="B107" t="s">
        <v>126</v>
      </c>
      <c r="R107" s="6">
        <f t="shared" ref="R107:S107" si="177">SUM(O106:R106)</f>
        <v>39115</v>
      </c>
      <c r="S107" s="6">
        <f t="shared" si="177"/>
        <v>39906</v>
      </c>
      <c r="T107" s="6">
        <f>SUM(Q106:T106)</f>
        <v>35940</v>
      </c>
      <c r="U107" s="6">
        <f>SUM(R106:U106)</f>
        <v>26500</v>
      </c>
    </row>
    <row r="109" spans="2:27" s="3" customFormat="1" x14ac:dyDescent="0.25">
      <c r="B109" s="3" t="s">
        <v>193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v>-2631</v>
      </c>
      <c r="R109" s="6"/>
      <c r="S109" s="6"/>
      <c r="T109" s="6"/>
      <c r="U109" s="6">
        <v>-3672</v>
      </c>
      <c r="V109" s="6"/>
      <c r="W109" s="6"/>
      <c r="X109" s="6"/>
      <c r="Y109" s="6"/>
    </row>
    <row r="110" spans="2:27" x14ac:dyDescent="0.25">
      <c r="B110" t="s">
        <v>196</v>
      </c>
      <c r="Q110" s="10"/>
      <c r="R110" s="10">
        <f>SUM(Q30:R30)/SUM(M30:N30)-1</f>
        <v>1.0013947001394699</v>
      </c>
      <c r="S110" s="10">
        <f>SUM(R30:S30)/SUM(N30:O30)-1</f>
        <v>0.25659472422062346</v>
      </c>
      <c r="T110" s="10">
        <f>SUM(S30:T30)/SUM(O30:P30)-1</f>
        <v>0.36710369487485095</v>
      </c>
      <c r="U110" s="10">
        <f>SUM(T30:U30)/SUM(P30:Q30)-1</f>
        <v>-0.14600231749710313</v>
      </c>
    </row>
    <row r="112" spans="2:27" x14ac:dyDescent="0.25">
      <c r="B112" t="s">
        <v>197</v>
      </c>
      <c r="Q112" s="6">
        <v>13054</v>
      </c>
      <c r="R112" s="6"/>
      <c r="S112" s="6"/>
      <c r="T112" s="6"/>
      <c r="U112" s="6">
        <v>9336</v>
      </c>
    </row>
    <row r="113" spans="2:21" x14ac:dyDescent="0.25">
      <c r="B113" t="s">
        <v>201</v>
      </c>
      <c r="U113" s="10">
        <f>+U112/U32</f>
        <v>0.33686945226239445</v>
      </c>
    </row>
    <row r="115" spans="2:21" x14ac:dyDescent="0.25">
      <c r="B115" t="s">
        <v>202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8671875" defaultRowHeight="13.2" x14ac:dyDescent="0.25"/>
  <cols>
    <col min="1" max="1" width="5" bestFit="1" customWidth="1"/>
    <col min="2" max="2" width="9.33203125" bestFit="1" customWidth="1"/>
    <col min="3" max="3" width="10.44140625" bestFit="1" customWidth="1"/>
  </cols>
  <sheetData>
    <row r="1" spans="1:8" x14ac:dyDescent="0.25">
      <c r="A1" t="s">
        <v>7</v>
      </c>
    </row>
    <row r="2" spans="1:8" x14ac:dyDescent="0.25">
      <c r="B2" t="s">
        <v>127</v>
      </c>
      <c r="C2" t="s">
        <v>129</v>
      </c>
      <c r="D2" t="s">
        <v>130</v>
      </c>
      <c r="E2" t="s">
        <v>132</v>
      </c>
      <c r="F2" t="s">
        <v>134</v>
      </c>
      <c r="G2" t="s">
        <v>136</v>
      </c>
      <c r="H2" t="s">
        <v>128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133</v>
      </c>
      <c r="F3" s="20" t="s">
        <v>135</v>
      </c>
      <c r="G3">
        <v>3</v>
      </c>
      <c r="H3" t="s">
        <v>131</v>
      </c>
    </row>
    <row r="4" spans="1:8" x14ac:dyDescent="0.25">
      <c r="B4">
        <v>11449189</v>
      </c>
      <c r="C4" s="20">
        <v>43740</v>
      </c>
      <c r="D4" s="20">
        <v>44824</v>
      </c>
      <c r="E4" t="s">
        <v>133</v>
      </c>
      <c r="F4" t="s">
        <v>138</v>
      </c>
      <c r="G4">
        <v>4</v>
      </c>
      <c r="H4" t="s">
        <v>137</v>
      </c>
    </row>
    <row r="5" spans="1:8" x14ac:dyDescent="0.25">
      <c r="B5">
        <v>11448803</v>
      </c>
      <c r="C5" s="20">
        <v>43836</v>
      </c>
      <c r="D5" s="20">
        <v>44824</v>
      </c>
      <c r="E5" t="s">
        <v>139</v>
      </c>
      <c r="F5" t="s">
        <v>140</v>
      </c>
      <c r="G5">
        <v>3</v>
      </c>
      <c r="H5" t="s">
        <v>141</v>
      </c>
    </row>
    <row r="6" spans="1:8" x14ac:dyDescent="0.25">
      <c r="B6">
        <v>11442272</v>
      </c>
      <c r="C6" s="20">
        <v>43902</v>
      </c>
      <c r="D6" s="20">
        <v>44817</v>
      </c>
      <c r="E6" t="s">
        <v>133</v>
      </c>
      <c r="F6" t="s">
        <v>142</v>
      </c>
      <c r="G6">
        <v>3</v>
      </c>
      <c r="H6" t="s">
        <v>143</v>
      </c>
    </row>
    <row r="7" spans="1:8" x14ac:dyDescent="0.25">
      <c r="B7">
        <v>11441702</v>
      </c>
      <c r="C7" s="20">
        <v>43594</v>
      </c>
      <c r="D7" s="20">
        <v>44817</v>
      </c>
      <c r="E7" t="s">
        <v>144</v>
      </c>
      <c r="G7">
        <v>3</v>
      </c>
      <c r="H7" t="s">
        <v>145</v>
      </c>
    </row>
    <row r="8" spans="1:8" x14ac:dyDescent="0.25">
      <c r="B8">
        <v>11436793</v>
      </c>
      <c r="C8" s="20">
        <v>44239</v>
      </c>
      <c r="D8" s="20">
        <v>44810</v>
      </c>
      <c r="E8" t="s">
        <v>146</v>
      </c>
      <c r="F8" t="s">
        <v>147</v>
      </c>
      <c r="G8">
        <v>3</v>
      </c>
      <c r="H8" t="s">
        <v>148</v>
      </c>
    </row>
    <row r="9" spans="1:8" x14ac:dyDescent="0.25">
      <c r="B9">
        <v>11435820</v>
      </c>
      <c r="C9" s="20">
        <v>43601</v>
      </c>
      <c r="D9" s="20">
        <v>44810</v>
      </c>
      <c r="E9" t="s">
        <v>133</v>
      </c>
      <c r="F9" t="s">
        <v>149</v>
      </c>
      <c r="G9">
        <v>3</v>
      </c>
      <c r="H9" t="s">
        <v>150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146</v>
      </c>
      <c r="F10" t="s">
        <v>151</v>
      </c>
      <c r="G10">
        <v>3</v>
      </c>
      <c r="H10" t="s">
        <v>152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144</v>
      </c>
      <c r="F11" t="s">
        <v>154</v>
      </c>
      <c r="G11">
        <v>3</v>
      </c>
      <c r="H11" t="s">
        <v>153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155</v>
      </c>
      <c r="F12" t="s">
        <v>156</v>
      </c>
      <c r="G12">
        <v>3</v>
      </c>
      <c r="H12" t="s">
        <v>157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133</v>
      </c>
      <c r="F13" t="s">
        <v>159</v>
      </c>
      <c r="G13">
        <v>4</v>
      </c>
      <c r="H13" t="s">
        <v>158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144</v>
      </c>
      <c r="F14" t="s">
        <v>160</v>
      </c>
      <c r="G14">
        <v>3</v>
      </c>
      <c r="H14" t="s">
        <v>161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139</v>
      </c>
      <c r="F15" t="s">
        <v>162</v>
      </c>
      <c r="G15">
        <v>3</v>
      </c>
      <c r="H15" t="s">
        <v>163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164</v>
      </c>
      <c r="F16" t="s">
        <v>165</v>
      </c>
      <c r="G16">
        <v>3</v>
      </c>
      <c r="H16" t="s">
        <v>166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155</v>
      </c>
      <c r="F17" t="s">
        <v>167</v>
      </c>
      <c r="G17">
        <v>4</v>
      </c>
      <c r="H17" t="s">
        <v>168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164</v>
      </c>
      <c r="F18" t="s">
        <v>169</v>
      </c>
      <c r="G18">
        <v>3</v>
      </c>
      <c r="H18" t="s">
        <v>170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146</v>
      </c>
      <c r="G19">
        <v>3</v>
      </c>
      <c r="H19" t="s">
        <v>171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133</v>
      </c>
      <c r="F20" t="s">
        <v>172</v>
      </c>
      <c r="G20">
        <v>4</v>
      </c>
      <c r="H20" t="s">
        <v>173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146</v>
      </c>
      <c r="F21" t="s">
        <v>175</v>
      </c>
      <c r="G21">
        <v>3</v>
      </c>
      <c r="H21" t="s">
        <v>174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155</v>
      </c>
      <c r="F22" t="s">
        <v>176</v>
      </c>
      <c r="G22">
        <v>3</v>
      </c>
      <c r="H22" t="s">
        <v>177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164</v>
      </c>
      <c r="F23" t="s">
        <v>178</v>
      </c>
      <c r="G23">
        <v>3</v>
      </c>
      <c r="H23" t="s">
        <v>179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146</v>
      </c>
      <c r="F24" t="s">
        <v>180</v>
      </c>
      <c r="G24">
        <v>5</v>
      </c>
      <c r="H24" t="s">
        <v>181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139</v>
      </c>
      <c r="F25" t="s">
        <v>182</v>
      </c>
      <c r="G25">
        <v>3</v>
      </c>
      <c r="H25" t="s">
        <v>183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144</v>
      </c>
      <c r="F26" t="s">
        <v>184</v>
      </c>
      <c r="G26">
        <v>3</v>
      </c>
      <c r="H26" t="s">
        <v>185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144</v>
      </c>
      <c r="F27" t="s">
        <v>187</v>
      </c>
      <c r="G27">
        <v>3</v>
      </c>
      <c r="H27" t="s">
        <v>186</v>
      </c>
    </row>
    <row r="28" spans="2:8" x14ac:dyDescent="0.25">
      <c r="B28" t="s">
        <v>188</v>
      </c>
      <c r="C28" s="20">
        <v>44537</v>
      </c>
      <c r="D28" s="20">
        <v>44782</v>
      </c>
      <c r="E28" t="s">
        <v>146</v>
      </c>
      <c r="F28" t="s">
        <v>189</v>
      </c>
      <c r="G28">
        <v>3</v>
      </c>
      <c r="H28" t="s">
        <v>190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139</v>
      </c>
      <c r="F29" t="s">
        <v>191</v>
      </c>
      <c r="G29">
        <v>3</v>
      </c>
      <c r="H29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Zhang, Ryan</cp:lastModifiedBy>
  <dcterms:created xsi:type="dcterms:W3CDTF">2022-06-11T17:53:18Z</dcterms:created>
  <dcterms:modified xsi:type="dcterms:W3CDTF">2025-02-09T01:35:28Z</dcterms:modified>
</cp:coreProperties>
</file>