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8481aea0094c6b/Desktop/Forage IB/"/>
    </mc:Choice>
  </mc:AlternateContent>
  <xr:revisionPtr revIDLastSave="0" documentId="13_ncr:1_{23C810C1-2780-41FA-9A59-05452A155877}" xr6:coauthVersionLast="47" xr6:coauthVersionMax="47" xr10:uidLastSave="{00000000-0000-0000-0000-000000000000}"/>
  <bookViews>
    <workbookView xWindow="-108" yWindow="-108" windowWidth="23256" windowHeight="12456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/>
</workbook>
</file>

<file path=xl/calcChain.xml><?xml version="1.0" encoding="utf-8"?>
<calcChain xmlns="http://schemas.openxmlformats.org/spreadsheetml/2006/main">
  <c r="I24" i="31" l="1"/>
  <c r="J24" i="31" s="1"/>
  <c r="K24" i="31" s="1"/>
  <c r="L24" i="31" s="1"/>
  <c r="M24" i="31" s="1"/>
  <c r="N24" i="31" s="1"/>
  <c r="O24" i="31" s="1"/>
  <c r="P24" i="31" s="1"/>
  <c r="Q24" i="31" s="1"/>
  <c r="R24" i="31" s="1"/>
  <c r="S24" i="31" s="1"/>
  <c r="P2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P32" i="45" l="1"/>
  <c r="O32" i="45"/>
  <c r="L33" i="45"/>
  <c r="L32" i="45"/>
  <c r="N32" i="45"/>
  <c r="M33" i="45"/>
  <c r="M32" i="45"/>
  <c r="K66" i="45"/>
  <c r="M11" i="45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28" i="31"/>
  <c r="H112" i="31"/>
  <c r="H113" i="31" s="1"/>
  <c r="H53" i="31"/>
  <c r="H49" i="31"/>
  <c r="H122" i="31"/>
  <c r="G123" i="31"/>
  <c r="H111" i="31"/>
  <c r="I8" i="40"/>
  <c r="H114" i="31" l="1"/>
  <c r="H115" i="31" s="1"/>
  <c r="H123" i="31"/>
  <c r="I111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J123" i="31"/>
  <c r="F119" i="31"/>
  <c r="G119" i="31"/>
  <c r="F123" i="31"/>
  <c r="F53" i="31"/>
  <c r="F114" i="31"/>
  <c r="F115" i="31" s="1"/>
  <c r="I123" i="31"/>
  <c r="F103" i="31"/>
  <c r="L37" i="40" s="1"/>
  <c r="M37" i="40"/>
  <c r="L29" i="40"/>
  <c r="K123" i="31" l="1"/>
  <c r="K23" i="40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I25" i="31"/>
  <c r="I9" i="40"/>
  <c r="I49" i="31"/>
  <c r="I11" i="40"/>
  <c r="F120" i="31"/>
  <c r="P119" i="31"/>
  <c r="P20" i="40"/>
  <c r="I17" i="31"/>
  <c r="I18" i="31" s="1"/>
  <c r="J11" i="40"/>
  <c r="I14" i="40"/>
  <c r="I66" i="31"/>
  <c r="O29" i="40"/>
  <c r="G120" i="31" l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22" i="45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O56" i="31" l="1"/>
  <c r="O53" i="31"/>
  <c r="O59" i="31"/>
  <c r="O123" i="31"/>
  <c r="O9" i="40"/>
  <c r="O10" i="40" s="1"/>
  <c r="O23" i="40"/>
  <c r="O25" i="40" l="1"/>
  <c r="O22" i="40"/>
  <c r="O27" i="40"/>
  <c r="O49" i="31"/>
  <c r="O25" i="31"/>
  <c r="P56" i="31" l="1"/>
  <c r="P25" i="31"/>
  <c r="P49" i="31"/>
  <c r="P59" i="31"/>
  <c r="P9" i="40"/>
  <c r="Q56" i="31" l="1"/>
  <c r="Q25" i="31"/>
  <c r="Q49" i="31"/>
  <c r="Q9" i="40"/>
  <c r="Q59" i="31"/>
  <c r="P123" i="31"/>
  <c r="P23" i="40"/>
  <c r="P53" i="31"/>
  <c r="P25" i="40"/>
  <c r="P10" i="40"/>
  <c r="P27" i="40"/>
  <c r="P22" i="40"/>
  <c r="Q53" i="31" l="1"/>
  <c r="Q123" i="31"/>
  <c r="Q23" i="40"/>
  <c r="R59" i="31"/>
  <c r="R9" i="40"/>
  <c r="R56" i="31"/>
  <c r="R25" i="31"/>
  <c r="R49" i="31"/>
  <c r="Q25" i="40"/>
  <c r="Q10" i="40"/>
  <c r="Q22" i="40"/>
  <c r="Q27" i="40"/>
  <c r="R22" i="40" l="1"/>
  <c r="R25" i="40"/>
  <c r="R10" i="40"/>
  <c r="R27" i="40"/>
  <c r="R23" i="40"/>
  <c r="R123" i="31"/>
  <c r="R53" i="31"/>
  <c r="S59" i="31"/>
  <c r="S9" i="40"/>
  <c r="S49" i="31"/>
  <c r="S56" i="31"/>
  <c r="S25" i="31"/>
  <c r="S27" i="40" l="1"/>
  <c r="S22" i="40"/>
  <c r="S25" i="40"/>
  <c r="S10" i="40"/>
  <c r="S53" i="31"/>
  <c r="S123" i="31"/>
  <c r="S23" i="40"/>
  <c r="S112" i="31"/>
  <c r="S113" i="31" s="1"/>
  <c r="S28" i="31"/>
  <c r="T70" i="31"/>
  <c r="N76" i="31" s="1"/>
  <c r="S11" i="40"/>
  <c r="S12" i="40" l="1"/>
  <c r="N11" i="40" l="1"/>
  <c r="N13" i="40" l="1"/>
  <c r="N12" i="40"/>
  <c r="Q112" i="31"/>
  <c r="Q113" i="31" s="1"/>
  <c r="Q28" i="31"/>
  <c r="Q11" i="40"/>
  <c r="N29" i="31"/>
  <c r="N28" i="31"/>
  <c r="N112" i="31"/>
  <c r="N113" i="31" s="1"/>
  <c r="R28" i="31" l="1"/>
  <c r="R29" i="31"/>
  <c r="R112" i="31"/>
  <c r="R113" i="31" s="1"/>
  <c r="S29" i="31"/>
  <c r="R11" i="40"/>
  <c r="Q12" i="40"/>
  <c r="O28" i="31" l="1"/>
  <c r="O11" i="40"/>
  <c r="O29" i="31"/>
  <c r="O112" i="31"/>
  <c r="O113" i="31" s="1"/>
  <c r="R12" i="40"/>
  <c r="R13" i="40"/>
  <c r="S13" i="40"/>
  <c r="P11" i="40"/>
  <c r="P28" i="31"/>
  <c r="P29" i="31"/>
  <c r="P112" i="31"/>
  <c r="P113" i="31" s="1"/>
  <c r="Q29" i="31"/>
  <c r="P12" i="40" l="1"/>
  <c r="P13" i="40"/>
  <c r="Q13" i="40"/>
  <c r="O13" i="40"/>
  <c r="O12" i="40"/>
  <c r="F32" i="31" l="1"/>
  <c r="G32" i="31"/>
  <c r="H32" i="31"/>
  <c r="N32" i="31"/>
  <c r="O32" i="31"/>
  <c r="P32" i="31"/>
  <c r="Q32" i="31"/>
  <c r="R32" i="31"/>
  <c r="S32" i="31"/>
  <c r="F33" i="31"/>
  <c r="G33" i="31"/>
  <c r="H33" i="31"/>
  <c r="N33" i="31"/>
  <c r="O33" i="31"/>
  <c r="P33" i="31"/>
  <c r="Q33" i="31"/>
  <c r="R33" i="31"/>
  <c r="S33" i="31"/>
  <c r="F35" i="31"/>
  <c r="F36" i="31" s="1"/>
  <c r="G35" i="31"/>
  <c r="G116" i="31" s="1"/>
  <c r="G117" i="31" s="1"/>
  <c r="H35" i="31"/>
  <c r="H36" i="31" s="1"/>
  <c r="N35" i="31"/>
  <c r="N36" i="31" s="1"/>
  <c r="O35" i="31"/>
  <c r="O116" i="31" s="1"/>
  <c r="O117" i="31" s="1"/>
  <c r="P35" i="31"/>
  <c r="P36" i="31" s="1"/>
  <c r="Q35" i="31"/>
  <c r="R35" i="31"/>
  <c r="R37" i="31" s="1"/>
  <c r="S35" i="31"/>
  <c r="S37" i="31" s="1"/>
  <c r="I37" i="31"/>
  <c r="N37" i="31"/>
  <c r="O37" i="31"/>
  <c r="Q39" i="31"/>
  <c r="Q118" i="31" s="1"/>
  <c r="S39" i="31"/>
  <c r="S118" i="31" s="1"/>
  <c r="N46" i="31"/>
  <c r="N114" i="31" s="1"/>
  <c r="N115" i="31" s="1"/>
  <c r="O46" i="31"/>
  <c r="O114" i="31" s="1"/>
  <c r="O115" i="31" s="1"/>
  <c r="P46" i="31"/>
  <c r="Q46" i="31"/>
  <c r="R46" i="31"/>
  <c r="S46" i="31"/>
  <c r="F50" i="31"/>
  <c r="G50" i="31"/>
  <c r="H50" i="31"/>
  <c r="N50" i="31"/>
  <c r="O50" i="31"/>
  <c r="P50" i="31"/>
  <c r="Q50" i="31"/>
  <c r="R50" i="31"/>
  <c r="S50" i="31"/>
  <c r="P114" i="31"/>
  <c r="Q114" i="31"/>
  <c r="Q115" i="31" s="1"/>
  <c r="R114" i="31"/>
  <c r="R115" i="31" s="1"/>
  <c r="S114" i="31"/>
  <c r="S115" i="31" s="1"/>
  <c r="P115" i="31"/>
  <c r="F116" i="31"/>
  <c r="F117" i="31" s="1"/>
  <c r="H116" i="31"/>
  <c r="H117" i="31" s="1"/>
  <c r="Q116" i="31"/>
  <c r="Q117" i="31" s="1"/>
  <c r="R116" i="31"/>
  <c r="R117" i="31" s="1"/>
  <c r="S116" i="31"/>
  <c r="S117" i="31" s="1"/>
  <c r="F121" i="31"/>
  <c r="F127" i="31" s="1"/>
  <c r="G121" i="31"/>
  <c r="G127" i="31" s="1"/>
  <c r="H121" i="31"/>
  <c r="H127" i="31" s="1"/>
  <c r="N121" i="31"/>
  <c r="O121" i="31"/>
  <c r="P121" i="31"/>
  <c r="Q121" i="31"/>
  <c r="R121" i="31"/>
  <c r="S121" i="31"/>
  <c r="N14" i="40"/>
  <c r="N15" i="40" s="1"/>
  <c r="O14" i="40"/>
  <c r="O15" i="40" s="1"/>
  <c r="P14" i="40"/>
  <c r="P16" i="40" s="1"/>
  <c r="Q14" i="40"/>
  <c r="Q15" i="40" s="1"/>
  <c r="R14" i="40"/>
  <c r="R17" i="40" s="1"/>
  <c r="S14" i="40"/>
  <c r="S15" i="40" s="1"/>
  <c r="N17" i="40"/>
  <c r="N18" i="40" s="1"/>
  <c r="O17" i="40"/>
  <c r="O18" i="40" s="1"/>
  <c r="P17" i="40"/>
  <c r="P18" i="40" s="1"/>
  <c r="N19" i="40"/>
  <c r="O19" i="40"/>
  <c r="H37" i="31" l="1"/>
  <c r="G36" i="31"/>
  <c r="O36" i="31"/>
  <c r="N16" i="40"/>
  <c r="P39" i="31"/>
  <c r="P118" i="31" s="1"/>
  <c r="R16" i="40"/>
  <c r="O16" i="40"/>
  <c r="O39" i="31"/>
  <c r="O118" i="31" s="1"/>
  <c r="O42" i="31"/>
  <c r="O120" i="31" s="1"/>
  <c r="O127" i="31" s="1"/>
  <c r="P116" i="31"/>
  <c r="P117" i="31" s="1"/>
  <c r="N39" i="31"/>
  <c r="N118" i="31" s="1"/>
  <c r="G37" i="31"/>
  <c r="S16" i="40"/>
  <c r="P15" i="40"/>
  <c r="N116" i="31"/>
  <c r="N117" i="31" s="1"/>
  <c r="P37" i="31"/>
  <c r="Q37" i="31"/>
  <c r="R19" i="40"/>
  <c r="R28" i="40" s="1"/>
  <c r="R31" i="40" s="1"/>
  <c r="R18" i="40"/>
  <c r="Q16" i="40"/>
  <c r="S36" i="31"/>
  <c r="P19" i="40"/>
  <c r="P28" i="40" s="1"/>
  <c r="P31" i="40" s="1"/>
  <c r="R39" i="31"/>
  <c r="R118" i="31" s="1"/>
  <c r="O28" i="40"/>
  <c r="O31" i="40" s="1"/>
  <c r="R36" i="31"/>
  <c r="Q36" i="31"/>
  <c r="N28" i="40"/>
  <c r="N31" i="40" s="1"/>
  <c r="S17" i="40"/>
  <c r="S42" i="31"/>
  <c r="R15" i="40"/>
  <c r="Q17" i="40"/>
  <c r="Q42" i="31"/>
  <c r="O61" i="31" l="1"/>
  <c r="O63" i="31" s="1"/>
  <c r="O64" i="31" s="1"/>
  <c r="N42" i="31"/>
  <c r="O43" i="31"/>
  <c r="P42" i="31"/>
  <c r="S19" i="40"/>
  <c r="S28" i="40"/>
  <c r="S18" i="40"/>
  <c r="S43" i="31"/>
  <c r="S120" i="31"/>
  <c r="S127" i="31" s="1"/>
  <c r="S61" i="31"/>
  <c r="S63" i="31" s="1"/>
  <c r="S64" i="31" s="1"/>
  <c r="T69" i="31" s="1"/>
  <c r="H76" i="31" s="1"/>
  <c r="Q44" i="31"/>
  <c r="Q120" i="31"/>
  <c r="Q127" i="31" s="1"/>
  <c r="Q61" i="31"/>
  <c r="Q63" i="31" s="1"/>
  <c r="Q64" i="31" s="1"/>
  <c r="Q43" i="31"/>
  <c r="Q19" i="40"/>
  <c r="Q18" i="40"/>
  <c r="Q28" i="40"/>
  <c r="Q31" i="40" s="1"/>
  <c r="R42" i="31"/>
  <c r="S44" i="31" s="1"/>
  <c r="P44" i="31" l="1"/>
  <c r="P43" i="31"/>
  <c r="P61" i="31"/>
  <c r="P63" i="31" s="1"/>
  <c r="P64" i="31" s="1"/>
  <c r="P120" i="31"/>
  <c r="P127" i="31" s="1"/>
  <c r="N61" i="31"/>
  <c r="N63" i="31" s="1"/>
  <c r="N64" i="31" s="1"/>
  <c r="N44" i="31"/>
  <c r="N120" i="31"/>
  <c r="N127" i="31" s="1"/>
  <c r="N43" i="31"/>
  <c r="O44" i="31"/>
  <c r="T28" i="40"/>
  <c r="T31" i="40" s="1"/>
  <c r="F38" i="40" s="1"/>
  <c r="S31" i="40"/>
  <c r="F37" i="40" s="1"/>
  <c r="R61" i="31"/>
  <c r="R63" i="31" s="1"/>
  <c r="R64" i="31" s="1"/>
  <c r="N75" i="31" s="1"/>
  <c r="R44" i="31"/>
  <c r="R43" i="31"/>
  <c r="R120" i="31"/>
  <c r="R127" i="31" s="1"/>
  <c r="N77" i="31" l="1"/>
  <c r="O75" i="31" s="1"/>
  <c r="O77" i="31" s="1"/>
  <c r="H75" i="31"/>
  <c r="F39" i="40"/>
  <c r="G38" i="40" s="1"/>
  <c r="F41" i="40" l="1"/>
  <c r="F42" i="40" s="1"/>
  <c r="F43" i="40" s="1"/>
  <c r="G39" i="40"/>
  <c r="G37" i="40"/>
  <c r="H77" i="31"/>
  <c r="L94" i="31"/>
  <c r="N79" i="31"/>
  <c r="N80" i="31" s="1"/>
  <c r="O76" i="31"/>
  <c r="E94" i="31" l="1"/>
  <c r="H79" i="31"/>
  <c r="H80" i="31" s="1"/>
  <c r="I76" i="31"/>
  <c r="N81" i="31"/>
  <c r="L103" i="31"/>
  <c r="I75" i="31"/>
  <c r="I77" i="31" s="1"/>
  <c r="E103" i="31" l="1"/>
  <c r="H81" i="31"/>
  <c r="S46" i="45"/>
  <c r="U13" i="45"/>
  <c r="T13" i="45"/>
  <c r="R64" i="45"/>
  <c r="R62" i="45"/>
  <c r="R63" i="45"/>
  <c r="V64" i="45"/>
  <c r="V62" i="45"/>
  <c r="V63" i="45"/>
  <c r="T26" i="45"/>
  <c r="T27" i="45"/>
  <c r="T75" i="45"/>
  <c r="T74" i="45"/>
  <c r="U18" i="45"/>
  <c r="T18" i="45"/>
  <c r="S18" i="45"/>
  <c r="S45" i="45"/>
  <c r="S74" i="45"/>
  <c r="S75" i="45"/>
  <c r="S61" i="45"/>
  <c r="S77" i="45"/>
  <c r="S79" i="45"/>
  <c r="S60" i="45"/>
  <c r="S73" i="45"/>
  <c r="U27" i="45"/>
  <c r="U26" i="45"/>
  <c r="V70" i="45"/>
  <c r="V69" i="45"/>
  <c r="T67" i="45"/>
  <c r="T65" i="45"/>
  <c r="T66" i="45"/>
  <c r="U75" i="45"/>
  <c r="U74" i="45"/>
  <c r="R69" i="45"/>
  <c r="R70" i="45"/>
  <c r="V46" i="45"/>
  <c r="S23" i="45"/>
  <c r="S20" i="45"/>
  <c r="S21" i="45"/>
  <c r="Q23" i="45"/>
  <c r="Q20" i="45"/>
  <c r="Q21" i="45"/>
  <c r="U71" i="45"/>
  <c r="U43" i="45"/>
  <c r="U17" i="45"/>
  <c r="U63" i="45"/>
  <c r="U62" i="45"/>
  <c r="U64" i="45"/>
  <c r="V66" i="45"/>
  <c r="V68" i="45"/>
  <c r="V65" i="45"/>
  <c r="V67" i="45"/>
  <c r="Q69" i="45"/>
  <c r="Q70" i="45"/>
  <c r="R43" i="45"/>
  <c r="R17" i="45"/>
  <c r="R71" i="45"/>
  <c r="V45" i="45"/>
  <c r="V74" i="45"/>
  <c r="V75" i="45"/>
  <c r="Q67" i="45"/>
  <c r="Q68" i="45"/>
  <c r="Q65" i="45"/>
  <c r="Q66" i="45"/>
  <c r="Q64" i="45"/>
  <c r="Q62" i="45"/>
  <c r="Q63" i="45"/>
  <c r="S66" i="45"/>
  <c r="S65" i="45"/>
  <c r="S67" i="45"/>
  <c r="T45" i="45"/>
  <c r="T46" i="45"/>
  <c r="T73" i="45"/>
  <c r="T77" i="45"/>
  <c r="T61" i="45"/>
  <c r="T60" i="45"/>
  <c r="T79" i="45"/>
  <c r="S70" i="45"/>
  <c r="S68" i="45"/>
  <c r="S69" i="45"/>
  <c r="S64" i="45"/>
  <c r="S62" i="45"/>
  <c r="S63" i="45"/>
  <c r="V77" i="45"/>
  <c r="V79" i="45"/>
  <c r="V61" i="45"/>
  <c r="V60" i="45"/>
  <c r="V73" i="45"/>
  <c r="U70" i="45"/>
  <c r="U69" i="45"/>
  <c r="S42" i="45"/>
  <c r="S55" i="45"/>
  <c r="S51" i="45"/>
  <c r="U66" i="45"/>
  <c r="U15" i="45"/>
  <c r="U25" i="45"/>
  <c r="U68" i="45"/>
  <c r="U65" i="45"/>
  <c r="U67" i="45"/>
  <c r="R66" i="45"/>
  <c r="R68" i="45"/>
  <c r="R65" i="45"/>
  <c r="R67" i="45"/>
  <c r="T42" i="45"/>
  <c r="T55" i="45"/>
  <c r="T51" i="45"/>
  <c r="V17" i="45"/>
  <c r="V43" i="45"/>
  <c r="V71" i="45"/>
  <c r="U21" i="45"/>
  <c r="U23" i="45"/>
  <c r="U22" i="45"/>
  <c r="U20" i="45"/>
  <c r="V21" i="45"/>
  <c r="U45" i="45"/>
  <c r="U46" i="45"/>
  <c r="Q27" i="45"/>
  <c r="Q25" i="45"/>
  <c r="Q26" i="45"/>
  <c r="R27" i="45"/>
  <c r="R15" i="45"/>
  <c r="R25" i="45"/>
  <c r="R26" i="45"/>
  <c r="S27" i="45"/>
  <c r="S25" i="45"/>
  <c r="S26" i="45"/>
  <c r="R75" i="45"/>
  <c r="R74" i="45"/>
  <c r="Q71" i="45"/>
  <c r="Q17" i="45"/>
  <c r="R18" i="45"/>
  <c r="Q18" i="45"/>
  <c r="Q15" i="45"/>
  <c r="Q43" i="45"/>
  <c r="R55" i="45"/>
  <c r="R42" i="45"/>
  <c r="R51" i="45"/>
  <c r="T63" i="45"/>
  <c r="T62" i="45"/>
  <c r="T64" i="45"/>
  <c r="T43" i="45"/>
  <c r="T71" i="45"/>
  <c r="T17" i="45"/>
  <c r="U42" i="45"/>
  <c r="U51" i="45"/>
  <c r="U55" i="45"/>
  <c r="S71" i="45"/>
  <c r="S17" i="45"/>
  <c r="S15" i="45"/>
  <c r="S43" i="45"/>
  <c r="U73" i="45"/>
  <c r="U77" i="45"/>
  <c r="U79" i="45"/>
  <c r="U60" i="45"/>
  <c r="U61" i="45"/>
  <c r="T69" i="45"/>
  <c r="T15" i="45"/>
  <c r="T25" i="45"/>
  <c r="T68" i="45"/>
  <c r="T70" i="45"/>
  <c r="R45" i="45"/>
  <c r="R46" i="45"/>
  <c r="T23" i="45"/>
  <c r="S22" i="45"/>
  <c r="T22" i="45"/>
  <c r="T20" i="45"/>
  <c r="T21" i="45"/>
  <c r="V27" i="45"/>
  <c r="V15" i="45"/>
  <c r="V25" i="45"/>
  <c r="V26" i="45"/>
  <c r="V23" i="45"/>
  <c r="V42" i="45"/>
  <c r="V55" i="45"/>
  <c r="S11" i="45"/>
  <c r="T11" i="45"/>
  <c r="U11" i="45"/>
  <c r="V11" i="45"/>
  <c r="V51" i="45"/>
  <c r="R79" i="45"/>
  <c r="R61" i="45"/>
  <c r="R77" i="45"/>
  <c r="S13" i="45"/>
  <c r="R13" i="45"/>
  <c r="R11" i="45"/>
  <c r="R60" i="45"/>
  <c r="R73" i="45"/>
  <c r="R23" i="45"/>
  <c r="Q22" i="45"/>
  <c r="R22" i="45"/>
  <c r="R20" i="45"/>
  <c r="R21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</authors>
  <commentList>
    <comment ref="I40" authorId="0" shapeId="0" xr:uid="{56D32DD4-E939-4712-A788-B99178E2DFF9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J40" authorId="0" shapeId="0" xr:uid="{F73F08F5-DD65-4772-8708-D02E41533AAE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</commentList>
</comments>
</file>

<file path=xl/sharedStrings.xml><?xml version="1.0" encoding="utf-8"?>
<sst xmlns="http://schemas.openxmlformats.org/spreadsheetml/2006/main" count="272" uniqueCount="164">
  <si>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</si>
  <si>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</si>
  <si>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</si>
  <si>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</si>
  <si>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</si>
  <si>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</si>
  <si>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</si>
  <si>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</si>
  <si>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</si>
  <si>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</si>
  <si>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</si>
  <si>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</si>
  <si>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</si>
  <si>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</si>
  <si>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</si>
  <si>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</si>
  <si>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</si>
  <si>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</si>
  <si>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</si>
  <si>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</si>
  <si>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</si>
  <si>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</si>
  <si>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</si>
  <si>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</si>
  <si>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</si>
  <si>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</si>
  <si>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</si>
  <si>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</si>
  <si>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</si>
  <si>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</si>
  <si>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</si>
  <si>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</si>
  <si>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</si>
  <si>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</si>
  <si>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</si>
  <si>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</si>
  <si>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</si>
  <si>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</si>
  <si>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</si>
  <si>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</si>
  <si>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</si>
  <si>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</si>
  <si>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</si>
  <si>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</si>
  <si>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</si>
  <si>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</si>
  <si>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</si>
  <si>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</si>
  <si>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</si>
  <si>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</si>
  <si>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</si>
  <si>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</si>
  <si>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</si>
  <si>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</si>
  <si>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</si>
  <si>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</si>
  <si>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</si>
  <si>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</si>
  <si>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</si>
  <si>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</si>
  <si>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</si>
  <si>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</si>
  <si>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</si>
  <si>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</si>
  <si>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</si>
  <si>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</si>
  <si>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</si>
  <si>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</si>
  <si>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</si>
  <si>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</si>
  <si>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</si>
  <si>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</si>
  <si>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</si>
  <si>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</si>
  <si>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</si>
  <si>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</si>
  <si>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</si>
  <si>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</si>
  <si>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</si>
  <si>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</si>
  <si>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</si>
  <si>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</si>
  <si>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</si>
  <si>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</si>
  <si>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</si>
  <si>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</si>
  <si>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</si>
  <si>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</si>
  <si>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</si>
  <si>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</si>
  <si>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</si>
  <si>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</si>
  <si>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</si>
  <si>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</si>
  <si>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</si>
  <si>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</si>
  <si>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</si>
  <si>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</si>
  <si>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</si>
  <si>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</si>
  <si>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</si>
  <si>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</si>
  <si>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</si>
  <si>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</si>
  <si>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</si>
  <si>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</si>
  <si>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</si>
  <si>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</si>
  <si>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</si>
  <si>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</si>
  <si>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</si>
  <si>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</si>
  <si>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</si>
  <si>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</si>
  <si>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</si>
  <si>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</si>
  <si>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</si>
  <si>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</si>
  <si>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</si>
  <si>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</si>
  <si>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</si>
  <si>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</si>
  <si>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</si>
  <si>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</si>
  <si>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</si>
  <si>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</si>
  <si>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</si>
  <si>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</si>
  <si>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</si>
  <si>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</si>
  <si>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</si>
  <si>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</si>
  <si>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</si>
  <si>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</si>
  <si>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</si>
  <si>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</si>
  <si>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</si>
  <si>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</si>
  <si>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</si>
  <si>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</si>
  <si>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</si>
  <si>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</si>
  <si>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</si>
  <si>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</si>
  <si>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</si>
  <si>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</si>
  <si>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</si>
  <si>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</si>
  <si>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</si>
  <si>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</si>
  <si>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</si>
  <si>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</si>
  <si>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</si>
  <si>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</si>
  <si>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</si>
  <si>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</si>
  <si>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include growth rates trending to 95% by 2030</t>
  </si>
  <si>
    <t>&lt;&lt;&lt; assume tax rate same as 2021</t>
  </si>
  <si>
    <t>&lt;&lt;&lt; assume capex same as last year's forecast by the company</t>
  </si>
  <si>
    <t>&lt;&lt;&lt; assume other cashflows same as last year forecasts by the company</t>
  </si>
  <si>
    <t>&lt;&lt;&lt; Put down the assumptions after discussing with your senior</t>
  </si>
  <si>
    <t>Below fill in the blanks by linking from the Financials tab</t>
  </si>
  <si>
    <t>EV ($m)</t>
  </si>
  <si>
    <t>8.5x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</si>
</sst>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i/>
      <sz val="10"/>
      <color rgb="FF000000"/>
      <name val="Segoe UI"/>
      <family val="2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</cellStyleXfs>
  <cellXfs count="347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0" fontId="0" fillId="104" borderId="0" xfId="0" applyFill="1"/>
    <xf numFmtId="173" fontId="297" fillId="104" borderId="0" xfId="0" applyNumberFormat="1" applyFont="1" applyFill="1"/>
    <xf numFmtId="173" fontId="297" fillId="104" borderId="69" xfId="0" applyNumberFormat="1" applyFont="1" applyFill="1" applyBorder="1"/>
    <xf numFmtId="10" fontId="342" fillId="0" borderId="0" xfId="0" applyNumberFormat="1" applyFont="1"/>
    <xf numFmtId="0" fontId="342" fillId="0" borderId="0" xfId="0" applyFont="1"/>
    <xf numFmtId="203" fontId="261" fillId="0" borderId="2" xfId="0" applyNumberFormat="1" applyFont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" xfId="3628" builtinId="16"/>
    <cellStyle name="Heading 1 Above" xfId="947" xr:uid="{00000000-0005-0000-0000-0000A10B0000}"/>
    <cellStyle name="Heading 1+" xfId="948" xr:uid="{00000000-0005-0000-0000-0000A20B0000}"/>
    <cellStyle name="Heading 2 2" xfId="3641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2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%" xfId="972" xr:uid="{00000000-0005-0000-0000-0000BF0B0000}"/>
    <cellStyle name="Input % (1dp)" xfId="973" xr:uid="{00000000-0005-0000-0000-0000C00B0000}"/>
    <cellStyle name="Input [yellow]" xfId="974" xr:uid="{00000000-0005-0000-0000-0000C1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4" xr:uid="{00000000-0005-0000-0000-0000C50B0000}"/>
    <cellStyle name="Input 11" xfId="1730" xr:uid="{00000000-0005-0000-0000-0000C60B0000}"/>
    <cellStyle name="Input 11 2" xfId="3709" xr:uid="{00000000-0005-0000-0000-0000C70B0000}"/>
    <cellStyle name="Input 12" xfId="1731" xr:uid="{00000000-0005-0000-0000-0000C80B0000}"/>
    <cellStyle name="Input 12 2" xfId="3710" xr:uid="{00000000-0005-0000-0000-0000C90B0000}"/>
    <cellStyle name="Input 13" xfId="1738" xr:uid="{00000000-0005-0000-0000-0000CA0B0000}"/>
    <cellStyle name="Input 13 2" xfId="3711" xr:uid="{00000000-0005-0000-0000-0000CB0B0000}"/>
    <cellStyle name="Input 14" xfId="1739" xr:uid="{00000000-0005-0000-0000-0000CC0B0000}"/>
    <cellStyle name="Input 14 2" xfId="3712" xr:uid="{00000000-0005-0000-0000-0000CD0B0000}"/>
    <cellStyle name="Input 2" xfId="1687" xr:uid="{00000000-0005-0000-0000-0000CE0B0000}"/>
    <cellStyle name="Input 2 2" xfId="3699" xr:uid="{00000000-0005-0000-0000-0000CF0B0000}"/>
    <cellStyle name="Input 3" xfId="1698" xr:uid="{00000000-0005-0000-0000-0000D00B0000}"/>
    <cellStyle name="Input 3 2" xfId="3701" xr:uid="{00000000-0005-0000-0000-0000D10B0000}"/>
    <cellStyle name="Input 4" xfId="1702" xr:uid="{00000000-0005-0000-0000-0000D20B0000}"/>
    <cellStyle name="Input 4 2" xfId="3702" xr:uid="{00000000-0005-0000-0000-0000D30B0000}"/>
    <cellStyle name="Input 5" xfId="1703" xr:uid="{00000000-0005-0000-0000-0000D40B0000}"/>
    <cellStyle name="Input 5 2" xfId="3703" xr:uid="{00000000-0005-0000-0000-0000D50B0000}"/>
    <cellStyle name="Input 6" xfId="1719" xr:uid="{00000000-0005-0000-0000-0000D60B0000}"/>
    <cellStyle name="Input 6 2" xfId="3707" xr:uid="{00000000-0005-0000-0000-0000D70B0000}"/>
    <cellStyle name="Input 7" xfId="1725" xr:uid="{00000000-0005-0000-0000-0000D80B0000}"/>
    <cellStyle name="Input 7 2" xfId="3708" xr:uid="{00000000-0005-0000-0000-0000D90B0000}"/>
    <cellStyle name="Input 8" xfId="1712" xr:uid="{00000000-0005-0000-0000-0000DA0B0000}"/>
    <cellStyle name="Input 8 2" xfId="3705" xr:uid="{00000000-0005-0000-0000-0000DB0B0000}"/>
    <cellStyle name="Input 9" xfId="1713" xr:uid="{00000000-0005-0000-0000-0000DC0B0000}"/>
    <cellStyle name="Input 9 2" xfId="3706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3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$" xfId="991" xr:uid="{00000000-0005-0000-0000-0000EE0B0000}"/>
    <cellStyle name="Input%" xfId="992" xr:uid="{00000000-0005-0000-0000-0000EF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4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5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6" xr:uid="{00000000-0005-0000-0000-00004E0C0000}"/>
    <cellStyle name="Normal" xfId="0" builtinId="0"/>
    <cellStyle name="Normal--" xfId="1080" xr:uid="{00000000-0005-0000-0000-0000500C0000}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5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%Input" xfId="1091" xr:uid="{00000000-0005-0000-0000-00006E0C0000}"/>
    <cellStyle name="normal;" xfId="1092" xr:uid="{00000000-0005-0000-0000-00006F0C0000}"/>
    <cellStyle name="normal; 2" xfId="3677" xr:uid="{00000000-0005-0000-0000-0000700C0000}"/>
    <cellStyle name="Normal_Copy of Rank Model - 230108 VB" xfId="2311" xr:uid="{00000000-0005-0000-0000-0000710C0000}"/>
    <cellStyle name="Normal_Southern Cross LBO v9" xfId="2" xr:uid="{00000000-0005-0000-0000-000072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8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&amp;L Numbers" xfId="1126" xr:uid="{00000000-0005-0000-0000-000095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9" xr:uid="{00000000-0005-0000-0000-00009D0C0000}"/>
    <cellStyle name="p_M&amp;A projections" xfId="1134" xr:uid="{00000000-0005-0000-0000-00009E0C0000}"/>
    <cellStyle name="p_M&amp;A projections 2" xfId="3680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.style" xfId="1748" xr:uid="{00000000-0005-0000-0000-0000BD0C0000}"/>
    <cellStyle name="percemt" xfId="1164" xr:uid="{00000000-0005-0000-0000-0000BE0C0000}"/>
    <cellStyle name="percemt 2" xfId="3681" xr:uid="{00000000-0005-0000-0000-0000BF0C0000}"/>
    <cellStyle name="Percent" xfId="2309" builtinId="5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2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3" xr:uid="{00000000-0005-0000-0000-0000C90C0000}"/>
    <cellStyle name="Percent [1]" xfId="1172" xr:uid="{00000000-0005-0000-0000-0000CA0C0000}"/>
    <cellStyle name="percent [1-]" xfId="1173" xr:uid="{00000000-0005-0000-0000-0000CB0C0000}"/>
    <cellStyle name="Percent [1] --" xfId="1174" xr:uid="{00000000-0005-0000-0000-0000CC0C0000}"/>
    <cellStyle name="Percent [1] Total" xfId="1175" xr:uid="{00000000-0005-0000-0000-0000CD0C0000}"/>
    <cellStyle name="Percent [1] Total 2" xfId="3684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5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6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7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arn-out (2)" xfId="1334" xr:uid="{00000000-0005-0000-0000-00007F0D0000}"/>
    <cellStyle name="s_Earn-out (2)_1" xfId="1335" xr:uid="{00000000-0005-0000-0000-000080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8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9" xr:uid="{00000000-0005-0000-0000-00003D0E0000}"/>
    <cellStyle name="ss1" xfId="1523" xr:uid="{00000000-0005-0000-0000-00003E0E0000}"/>
    <cellStyle name="ss1 2" xfId="3690" xr:uid="{00000000-0005-0000-0000-00003F0E0000}"/>
    <cellStyle name="ss2" xfId="1524" xr:uid="{00000000-0005-0000-0000-0000400E0000}"/>
    <cellStyle name="ss2 2" xfId="3691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2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-titulo" xfId="1549" xr:uid="{00000000-0005-0000-0000-00005B0E0000}"/>
    <cellStyle name="Sub-titulo 2" xfId="1550" xr:uid="{00000000-0005-0000-0000-00005C0E0000}"/>
    <cellStyle name="Subtotal" xfId="1551" xr:uid="{00000000-0005-0000-0000-00005D0E0000}"/>
    <cellStyle name="Sub-total" xfId="1552" xr:uid="{00000000-0005-0000-0000-00005E0E0000}"/>
    <cellStyle name="Subtotal 2" xfId="3693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#" xfId="1560" xr:uid="{00000000-0005-0000-0000-0000670E0000}"/>
    <cellStyle name="t%" xfId="1561" xr:uid="{00000000-0005-0000-0000-000068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4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5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6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7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8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3.2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Normal="100" zoomScaleSheetLayoutView="85" workbookViewId="0"/>
  </sheetViews>
  <sheetFormatPr defaultColWidth="9.109375" defaultRowHeight="13.2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2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75" customHeight="1">
      <c r="C14" s="15"/>
      <c r="D14" s="337" t="s">
        <v>136</v>
      </c>
      <c r="E14" s="338"/>
      <c r="F14" s="338"/>
      <c r="G14" s="338"/>
      <c r="H14" s="338"/>
      <c r="I14" s="338"/>
      <c r="J14" s="338"/>
      <c r="K14" s="338"/>
      <c r="L14" s="338"/>
      <c r="M14" s="338"/>
      <c r="N14" s="338"/>
      <c r="O14" s="338"/>
      <c r="P14" s="338"/>
      <c r="Q14" s="338"/>
      <c r="R14" s="338"/>
      <c r="S14" s="338"/>
      <c r="T14" s="338"/>
      <c r="W14"/>
    </row>
    <row r="15" spans="2:23" ht="12.75" customHeight="1">
      <c r="C15" s="15"/>
      <c r="D15" s="339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W15"/>
    </row>
    <row r="16" spans="2:23" ht="12.75" customHeight="1">
      <c r="C16" s="15"/>
      <c r="D16" s="339"/>
      <c r="E16" s="338"/>
      <c r="F16" s="338"/>
      <c r="G16" s="338"/>
      <c r="H16" s="338"/>
      <c r="I16" s="338"/>
      <c r="J16" s="338"/>
      <c r="K16" s="338"/>
      <c r="L16" s="338"/>
      <c r="M16" s="338"/>
      <c r="N16" s="338"/>
      <c r="O16" s="338"/>
      <c r="P16" s="338"/>
      <c r="Q16" s="338"/>
      <c r="R16" s="338"/>
      <c r="S16" s="338"/>
      <c r="T16" s="338"/>
      <c r="W16"/>
    </row>
    <row r="17" spans="3:23" ht="12.75" customHeight="1">
      <c r="D17" s="339"/>
      <c r="E17" s="338"/>
      <c r="F17" s="338"/>
      <c r="G17" s="338"/>
      <c r="H17" s="338"/>
      <c r="I17" s="338"/>
      <c r="J17" s="338"/>
      <c r="K17" s="338"/>
      <c r="L17" s="338"/>
      <c r="M17" s="338"/>
      <c r="N17" s="338"/>
      <c r="O17" s="338"/>
      <c r="P17" s="338"/>
      <c r="Q17" s="338"/>
      <c r="R17" s="338"/>
      <c r="S17" s="338"/>
      <c r="T17" s="338"/>
      <c r="W17"/>
    </row>
    <row r="18" spans="3:23">
      <c r="W18"/>
    </row>
    <row r="19" spans="3:23" ht="18">
      <c r="C19" s="340" t="s">
        <v>20</v>
      </c>
      <c r="E19" s="323">
        <f>Assumptions!D12</f>
        <v>43921</v>
      </c>
      <c r="W19"/>
    </row>
    <row r="20" spans="3:23">
      <c r="C20" s="340"/>
      <c r="W20"/>
    </row>
    <row r="21" spans="3:23">
      <c r="C21" s="340"/>
      <c r="W21"/>
    </row>
    <row r="22" spans="3:23">
      <c r="C22" s="340"/>
      <c r="W22"/>
    </row>
    <row r="23" spans="3:23">
      <c r="C23" s="340"/>
    </row>
    <row r="24" spans="3:23">
      <c r="C24" s="340"/>
    </row>
    <row r="25" spans="3:23">
      <c r="C25" s="340"/>
    </row>
    <row r="26" spans="3:23" ht="12.75" customHeight="1">
      <c r="C26" s="340"/>
    </row>
    <row r="27" spans="3:23">
      <c r="C27" s="340"/>
    </row>
    <row r="28" spans="3:23">
      <c r="C28" s="340"/>
    </row>
    <row r="29" spans="3:23" ht="4.5" customHeight="1">
      <c r="C29" s="340"/>
    </row>
    <row r="30" spans="3:23">
      <c r="C30" s="340"/>
      <c r="Q30" s="156"/>
      <c r="R30" s="157"/>
      <c r="S30" s="157"/>
    </row>
    <row r="31" spans="3:23">
      <c r="C31" s="340"/>
      <c r="Q31" s="157"/>
      <c r="R31" s="157"/>
      <c r="S31" s="157"/>
      <c r="V31" s="44"/>
    </row>
    <row r="32" spans="3:23">
      <c r="C32" s="340"/>
      <c r="Q32" s="157"/>
      <c r="R32" s="157"/>
      <c r="S32" s="157"/>
    </row>
    <row r="33" spans="3:19">
      <c r="C33" s="340"/>
      <c r="Q33" s="158"/>
      <c r="R33" s="157"/>
      <c r="S33" s="157"/>
    </row>
    <row r="34" spans="3:19">
      <c r="C34" s="340"/>
      <c r="Q34" s="158"/>
      <c r="R34" s="157"/>
      <c r="S34" s="157"/>
    </row>
    <row r="35" spans="3:19" ht="4.5" customHeight="1">
      <c r="C35" s="340"/>
      <c r="Q35" s="158"/>
      <c r="R35" s="157"/>
      <c r="S35" s="157"/>
    </row>
    <row r="36" spans="3:19">
      <c r="C36" s="340"/>
      <c r="Q36" s="158"/>
      <c r="R36" s="157"/>
      <c r="S36" s="157"/>
    </row>
    <row r="37" spans="3:19">
      <c r="C37" s="340"/>
      <c r="G37"/>
      <c r="Q37" s="158"/>
      <c r="R37" s="157"/>
      <c r="S37" s="157"/>
    </row>
    <row r="38" spans="3:19">
      <c r="C38" s="340"/>
      <c r="Q38" s="158"/>
      <c r="R38" s="157"/>
      <c r="S38" s="157"/>
    </row>
    <row r="39" spans="3:19">
      <c r="C39" s="340"/>
      <c r="Q39" s="158"/>
      <c r="R39" s="157"/>
      <c r="S39" s="157"/>
    </row>
    <row r="40" spans="3:19">
      <c r="C40" s="340"/>
    </row>
    <row r="41" spans="3:19">
      <c r="C41" s="340"/>
    </row>
    <row r="42" spans="3:19">
      <c r="C42" s="340"/>
    </row>
    <row r="43" spans="3:19">
      <c r="C43" s="340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77734375" defaultRowHeight="13.2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1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75" customHeight="1"/>
    <row r="7" spans="3:11">
      <c r="C7" t="s">
        <v>148</v>
      </c>
      <c r="D7" s="321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2">
        <v>165</v>
      </c>
      <c r="E16" s="23" t="s">
        <v>14</v>
      </c>
    </row>
    <row r="17" spans="3:7">
      <c r="C17" s="40" t="s">
        <v>66</v>
      </c>
      <c r="D17" s="322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162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/>
  </sheetViews>
  <sheetFormatPr defaultColWidth="9.109375" defaultRowHeight="13.2"/>
  <cols>
    <col min="1" max="1" width="30.6640625" customWidth="1"/>
    <col min="2" max="2" width="9.77734375" customWidth="1"/>
    <col min="3" max="6" width="9.44140625" bestFit="1" customWidth="1"/>
  </cols>
  <sheetData>
    <row r="1" spans="1:12" ht="21">
      <c r="A1" s="293" t="s">
        <v>149</v>
      </c>
    </row>
    <row r="2" spans="1:12" ht="21">
      <c r="A2" s="293"/>
    </row>
    <row r="3" spans="1:12">
      <c r="B3" s="341" t="s">
        <v>150</v>
      </c>
      <c r="C3" s="341"/>
      <c r="D3" s="341"/>
      <c r="E3" s="341"/>
      <c r="F3" s="341"/>
    </row>
    <row r="4" spans="1:12" ht="14.4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4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20"/>
    </row>
    <row r="6" spans="1:12" ht="14.4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4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4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4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4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4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4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4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4">
      <c r="B14" s="295"/>
      <c r="C14" s="295"/>
      <c r="D14" s="295"/>
      <c r="E14" s="295"/>
      <c r="F14" s="295"/>
      <c r="G14" s="152"/>
    </row>
    <row r="15" spans="1:12" ht="14.4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4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4.4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4.4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4.4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4.4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4.4">
      <c r="B21" s="305"/>
      <c r="C21" s="305"/>
      <c r="D21" s="295"/>
      <c r="E21" s="295"/>
      <c r="F21" s="295"/>
    </row>
    <row r="22" spans="1:6" ht="14.4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4.4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4.4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4.4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4.4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4.4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4.4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4.4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4.4">
      <c r="B30" s="295"/>
      <c r="C30" s="295"/>
      <c r="D30" s="295"/>
      <c r="E30" s="295"/>
      <c r="F30" s="295"/>
    </row>
    <row r="31" spans="1:6" ht="14.4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4.4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4">
      <c r="B33" s="295"/>
      <c r="C33" s="295"/>
      <c r="D33" s="295"/>
      <c r="E33" s="295"/>
      <c r="F33" s="295"/>
    </row>
    <row r="34" spans="1:6" ht="14.4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4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4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4">
      <c r="B37" s="295"/>
      <c r="C37" s="295"/>
      <c r="D37" s="295"/>
      <c r="E37" s="295"/>
      <c r="F37" s="295"/>
    </row>
    <row r="38" spans="1:6" ht="14.4">
      <c r="B38" s="305"/>
      <c r="C38" s="305"/>
      <c r="D38" s="305"/>
      <c r="E38" s="305"/>
      <c r="F38" s="305"/>
    </row>
    <row r="39" spans="1:6" ht="14.4">
      <c r="B39" s="305"/>
      <c r="C39" s="305"/>
      <c r="D39" s="305"/>
      <c r="E39" s="305"/>
      <c r="F39" s="305"/>
    </row>
    <row r="40" spans="1:6" ht="14.4">
      <c r="B40" s="305"/>
      <c r="C40" s="305"/>
      <c r="D40" s="305"/>
      <c r="E40" s="305"/>
      <c r="F40" s="305"/>
    </row>
    <row r="41" spans="1:6" ht="14.4">
      <c r="B41" s="305"/>
      <c r="C41" s="305"/>
      <c r="D41" s="305"/>
      <c r="E41" s="305"/>
      <c r="F41" s="305"/>
    </row>
    <row r="42" spans="1:6" ht="14.4">
      <c r="B42" s="305"/>
      <c r="C42" s="305"/>
      <c r="D42" s="305"/>
      <c r="E42" s="305"/>
      <c r="F42" s="305"/>
    </row>
    <row r="43" spans="1:6" ht="14.4">
      <c r="B43" s="305"/>
      <c r="C43" s="305"/>
      <c r="D43" s="305"/>
      <c r="E43" s="305"/>
      <c r="F43" s="305"/>
    </row>
    <row r="44" spans="1:6" ht="14.4">
      <c r="B44" s="305"/>
      <c r="C44" s="305"/>
      <c r="D44" s="305"/>
      <c r="E44" s="305"/>
      <c r="F44" s="305"/>
    </row>
    <row r="45" spans="1:6" ht="14.4">
      <c r="B45" s="305"/>
      <c r="C45" s="305"/>
      <c r="D45" s="305"/>
      <c r="E45" s="305"/>
      <c r="F45" s="305"/>
    </row>
    <row r="46" spans="1:6" ht="14.4">
      <c r="B46" s="305"/>
      <c r="C46" s="305"/>
      <c r="D46" s="305"/>
      <c r="E46" s="305"/>
      <c r="F46" s="305"/>
    </row>
    <row r="47" spans="1:6" ht="14.4">
      <c r="B47" s="305"/>
      <c r="C47" s="305"/>
      <c r="D47" s="305"/>
      <c r="E47" s="305"/>
      <c r="F47" s="305"/>
    </row>
    <row r="48" spans="1:6" ht="14.4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E92"/>
  <sheetViews>
    <sheetView showGridLines="0" topLeftCell="D1" zoomScale="85" zoomScaleNormal="85" zoomScaleSheetLayoutView="85" workbookViewId="0">
      <selection activeCell="J53" sqref="J53:V53"/>
    </sheetView>
  </sheetViews>
  <sheetFormatPr defaultColWidth="9.109375" defaultRowHeight="13.2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1" ht="12" customHeight="1">
      <c r="B2" s="45"/>
      <c r="E2" s="30"/>
      <c r="O2" s="34"/>
      <c r="R2" s="35"/>
    </row>
    <row r="3" spans="2:31" ht="12" customHeight="1">
      <c r="B3" s="45"/>
      <c r="E3" s="30"/>
      <c r="O3" s="34"/>
      <c r="R3" s="35"/>
    </row>
    <row r="4" spans="2:31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1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1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1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1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1" ht="12.7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1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1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1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129">
        <f>+'Company fin forecasts'!B5</f>
        <v>1149.2312142121568</v>
      </c>
      <c r="M12" s="129">
        <f>+'Company fin forecasts'!C5</f>
        <v>1255.6304578332745</v>
      </c>
      <c r="N12" s="129">
        <f>+'Company fin forecasts'!D5</f>
        <v>1353.8373857301615</v>
      </c>
      <c r="O12" s="129">
        <f>+'Company fin forecasts'!E5</f>
        <v>1446.9754795854417</v>
      </c>
      <c r="P12" s="129">
        <f>+'Company fin forecasts'!F5</f>
        <v>1442.6203434361955</v>
      </c>
      <c r="Q12" s="40"/>
      <c r="R12" s="40"/>
      <c r="S12" s="40"/>
      <c r="T12" s="40"/>
      <c r="U12" s="40"/>
      <c r="V12" s="40"/>
    </row>
    <row r="13" spans="2:31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7">
        <f ca="1">AVERAGE(Q13,S13)</f>
        <v>1.8000000000000002E-2</v>
      </c>
      <c r="S13" s="327">
        <f t="shared" ref="S13:U13" ca="1" si="2">AVERAGE(R13,T13)</f>
        <v>1.6E-2</v>
      </c>
      <c r="T13" s="327">
        <f t="shared" ca="1" si="2"/>
        <v>1.4E-2</v>
      </c>
      <c r="U13" s="327">
        <f t="shared" ca="1" si="2"/>
        <v>1.2E-2</v>
      </c>
      <c r="V13" s="119">
        <v>0.01</v>
      </c>
      <c r="Y13" s="328" t="s">
        <v>154</v>
      </c>
      <c r="Z13" s="328"/>
      <c r="AA13" s="328"/>
      <c r="AB13" s="328"/>
      <c r="AC13" s="328"/>
      <c r="AD13" s="328"/>
      <c r="AE13" s="328"/>
    </row>
    <row r="14" spans="2:31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1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336">
        <f>L11*L18</f>
        <v>94.147209662938664</v>
      </c>
      <c r="M15" s="336">
        <f t="shared" ref="M15:V15" si="3">M11*M18</f>
        <v>92.625305088518957</v>
      </c>
      <c r="N15" s="336">
        <f t="shared" si="3"/>
        <v>111.79673623719195</v>
      </c>
      <c r="O15" s="336">
        <f t="shared" si="3"/>
        <v>124.39494101920255</v>
      </c>
      <c r="P15" s="336">
        <f t="shared" si="3"/>
        <v>127.56812935492377</v>
      </c>
      <c r="Q15" s="336">
        <f t="shared" ca="1" si="3"/>
        <v>130.50500120625895</v>
      </c>
      <c r="R15" s="336">
        <f t="shared" ca="1" si="3"/>
        <v>133.24653965896459</v>
      </c>
      <c r="S15" s="336">
        <f t="shared" ca="1" si="3"/>
        <v>135.77721189939695</v>
      </c>
      <c r="T15" s="336">
        <f t="shared" ca="1" si="3"/>
        <v>138.08240265835985</v>
      </c>
      <c r="U15" s="336">
        <f t="shared" ca="1" si="3"/>
        <v>140.14855300014</v>
      </c>
      <c r="V15" s="336">
        <f t="shared" ca="1" si="3"/>
        <v>141.96329165512003</v>
      </c>
    </row>
    <row r="16" spans="2:31" ht="12.7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129">
        <f>+('Company fin forecasts'!B20-'Company fin forecasts'!B15)</f>
        <v>94.147209662938664</v>
      </c>
      <c r="M16" s="129">
        <f>+('Company fin forecasts'!C20-'Company fin forecasts'!C15)</f>
        <v>92.625305088518957</v>
      </c>
      <c r="N16" s="129">
        <f>+('Company fin forecasts'!D20-'Company fin forecasts'!D15)</f>
        <v>111.79673623719194</v>
      </c>
      <c r="O16" s="129">
        <f>+('Company fin forecasts'!E20-'Company fin forecasts'!E15)</f>
        <v>124.39494101920258</v>
      </c>
      <c r="P16" s="129">
        <f>+('Company fin forecasts'!F20-'Company fin forecasts'!F15)</f>
        <v>127.56812935492378</v>
      </c>
      <c r="Q16" s="40"/>
      <c r="R16" s="40"/>
      <c r="S16" s="40"/>
      <c r="T16" s="40"/>
      <c r="U16" s="40"/>
      <c r="V16" s="40"/>
    </row>
    <row r="17" spans="2:31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1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7">
        <f ca="1">AVERAGE(P18,R18)</f>
        <v>8.8690056393647562E-2</v>
      </c>
      <c r="R18" s="327">
        <f t="shared" ref="R18:U18" ca="1" si="6">AVERAGE(Q18,S18)</f>
        <v>8.8952045114918027E-2</v>
      </c>
      <c r="S18" s="327">
        <f t="shared" ca="1" si="6"/>
        <v>8.9214033836188505E-2</v>
      </c>
      <c r="T18" s="327">
        <f t="shared" ca="1" si="6"/>
        <v>8.9476022557458998E-2</v>
      </c>
      <c r="U18" s="327">
        <f t="shared" ca="1" si="6"/>
        <v>8.973801127872949E-2</v>
      </c>
      <c r="V18" s="146">
        <v>0.09</v>
      </c>
      <c r="Y18" s="328" t="s">
        <v>155</v>
      </c>
      <c r="Z18" s="328"/>
      <c r="AA18" s="328"/>
      <c r="AB18" s="328"/>
      <c r="AC18" s="328"/>
      <c r="AD18" s="328"/>
      <c r="AE18" s="328"/>
    </row>
    <row r="19" spans="2:31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1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110">
        <f>+(('Company fin forecasts'!B18+'Company fin forecasts'!B19))*-1</f>
        <v>-36.129215400000028</v>
      </c>
      <c r="M20" s="110">
        <f>+(('Company fin forecasts'!C18+'Company fin forecasts'!C19))*-1</f>
        <v>-40.455293523349013</v>
      </c>
      <c r="N20" s="110">
        <f>+(('Company fin forecasts'!D18+'Company fin forecasts'!D19))*-1</f>
        <v>-47.195257615808735</v>
      </c>
      <c r="O20" s="110">
        <f>+(('Company fin forecasts'!E18+'Company fin forecasts'!E19))*-1</f>
        <v>-51.829543587564167</v>
      </c>
      <c r="P20" s="110">
        <f>+(('Company fin forecasts'!F18+'Company fin forecasts'!F19))*-1</f>
        <v>-54.799912142159194</v>
      </c>
      <c r="Q20" s="104">
        <f t="shared" ref="Q20:V20" ca="1" si="8">Q22*Q40</f>
        <v>-53.583260118465994</v>
      </c>
      <c r="R20" s="104">
        <f t="shared" ca="1" si="8"/>
        <v>-52.366608094772801</v>
      </c>
      <c r="S20" s="104">
        <f t="shared" ca="1" si="8"/>
        <v>-51.149956071079608</v>
      </c>
      <c r="T20" s="104">
        <f t="shared" ca="1" si="8"/>
        <v>-49.933304047386407</v>
      </c>
      <c r="U20" s="104">
        <f t="shared" ca="1" si="8"/>
        <v>-48.7166520236932</v>
      </c>
      <c r="V20" s="104">
        <f t="shared" si="8"/>
        <v>-47.5</v>
      </c>
    </row>
    <row r="21" spans="2:31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1">
      <c r="B22" s="14"/>
      <c r="C22" s="14" t="s">
        <v>8</v>
      </c>
      <c r="D22" s="14"/>
      <c r="E22" s="6"/>
      <c r="F22" s="118">
        <f t="shared" ref="F22:O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118">
        <f t="shared" si="10"/>
        <v>1.0035893166666674</v>
      </c>
      <c r="M22" s="118">
        <f t="shared" si="10"/>
        <v>0.79324104947743168</v>
      </c>
      <c r="N22" s="118">
        <f t="shared" si="10"/>
        <v>0.94390515231617467</v>
      </c>
      <c r="O22" s="118">
        <f t="shared" si="10"/>
        <v>1.0365908717512833</v>
      </c>
      <c r="P22" s="118">
        <f>IF(ISERROR(P20/P$40),"n.a.",P20/P$40)</f>
        <v>1.0959982428431838</v>
      </c>
      <c r="Q22" s="327">
        <f ca="1">AVERAGE(P22,R22)</f>
        <v>1.0716652023693198</v>
      </c>
      <c r="R22" s="327">
        <f t="shared" ref="R22:U22" ca="1" si="11">AVERAGE(Q22,S22)</f>
        <v>1.0473321618954561</v>
      </c>
      <c r="S22" s="327">
        <f t="shared" ca="1" si="11"/>
        <v>1.0229991214215921</v>
      </c>
      <c r="T22" s="327">
        <f t="shared" ca="1" si="11"/>
        <v>0.99866608094772813</v>
      </c>
      <c r="U22" s="327">
        <f t="shared" ca="1" si="11"/>
        <v>0.97433304047386404</v>
      </c>
      <c r="V22" s="146">
        <v>0.95</v>
      </c>
      <c r="X22" s="212"/>
      <c r="Y22" s="328" t="s">
        <v>156</v>
      </c>
      <c r="Z22" s="328"/>
      <c r="AA22" s="328"/>
      <c r="AB22" s="328"/>
      <c r="AC22" s="328"/>
      <c r="AD22" s="328"/>
      <c r="AE22" s="328"/>
    </row>
    <row r="23" spans="2:31">
      <c r="B23" s="14"/>
      <c r="C23" s="14" t="s">
        <v>1</v>
      </c>
      <c r="D23" s="14"/>
      <c r="E23" s="6"/>
      <c r="F23" s="118">
        <f t="shared" ref="F23:V23" si="12">F20/F11*-1</f>
        <v>2.4795147387464082E-2</v>
      </c>
      <c r="G23" s="118">
        <f t="shared" si="12"/>
        <v>2.5176634490994141E-2</v>
      </c>
      <c r="H23" s="118">
        <f t="shared" si="12"/>
        <v>2.9466470876162502E-2</v>
      </c>
      <c r="I23" s="118">
        <f t="shared" si="12"/>
        <v>2.8858447488584484E-2</v>
      </c>
      <c r="J23" s="118">
        <f t="shared" si="12"/>
        <v>3.0746189763016483E-2</v>
      </c>
      <c r="K23" s="118">
        <f t="shared" si="12"/>
        <v>3.1617776216406115E-2</v>
      </c>
      <c r="L23" s="118">
        <f t="shared" si="12"/>
        <v>3.1437725457855774E-2</v>
      </c>
      <c r="M23" s="118">
        <f t="shared" si="12"/>
        <v>3.2219108154766314E-2</v>
      </c>
      <c r="N23" s="118">
        <f t="shared" si="12"/>
        <v>3.4860359237571983E-2</v>
      </c>
      <c r="O23" s="118">
        <f t="shared" si="12"/>
        <v>3.581922729085453E-2</v>
      </c>
      <c r="P23" s="118">
        <f t="shared" si="12"/>
        <v>3.7986371391124714E-2</v>
      </c>
      <c r="Q23" s="118">
        <f t="shared" ca="1" si="12"/>
        <v>3.641471451466733E-2</v>
      </c>
      <c r="R23" s="118">
        <f t="shared" ca="1" si="12"/>
        <v>3.4958633054813976E-2</v>
      </c>
      <c r="S23" s="118">
        <f t="shared" ca="1" si="12"/>
        <v>3.3608687701040647E-2</v>
      </c>
      <c r="T23" s="118">
        <f t="shared" ca="1" si="12"/>
        <v>3.2356284025319364E-2</v>
      </c>
      <c r="U23" s="118">
        <f t="shared" ca="1" si="12"/>
        <v>3.1193582631993021E-2</v>
      </c>
      <c r="V23" s="118">
        <f t="shared" ca="1" si="12"/>
        <v>3.0113418406678784E-2</v>
      </c>
    </row>
    <row r="24" spans="2:3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1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3">Q15+Q20</f>
        <v>76.921741087792952</v>
      </c>
      <c r="R25" s="104">
        <f t="shared" ca="1" si="13"/>
        <v>80.879931564191793</v>
      </c>
      <c r="S25" s="104">
        <f t="shared" ca="1" si="13"/>
        <v>84.627255828317345</v>
      </c>
      <c r="T25" s="104">
        <f t="shared" ca="1" si="13"/>
        <v>88.149098610973454</v>
      </c>
      <c r="U25" s="104">
        <f t="shared" ca="1" si="13"/>
        <v>91.431900976446798</v>
      </c>
      <c r="V25" s="104">
        <f t="shared" ca="1" si="13"/>
        <v>94.463291655120031</v>
      </c>
    </row>
    <row r="26" spans="2:31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31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1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1" ht="12.7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119">
        <v>0.17</v>
      </c>
      <c r="O29" s="119">
        <v>0.17</v>
      </c>
      <c r="P29" s="119">
        <v>0.17</v>
      </c>
      <c r="Q29" s="119">
        <v>0.17</v>
      </c>
      <c r="R29" s="119">
        <v>0.17</v>
      </c>
      <c r="S29" s="119">
        <v>0.17</v>
      </c>
      <c r="T29" s="119">
        <v>0.17</v>
      </c>
      <c r="U29" s="119">
        <v>0.17</v>
      </c>
      <c r="V29" s="119">
        <v>0.17</v>
      </c>
      <c r="Y29" s="328" t="s">
        <v>157</v>
      </c>
      <c r="Z29" s="328"/>
      <c r="AA29" s="328"/>
      <c r="AB29" s="328"/>
      <c r="AC29" s="328"/>
      <c r="AD29" s="328"/>
      <c r="AE29" s="328"/>
    </row>
    <row r="30" spans="2:31" ht="12.7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5"/>
      <c r="L30" s="325"/>
      <c r="M30" s="325"/>
      <c r="N30" s="324"/>
      <c r="O30" s="324"/>
      <c r="P30" s="324"/>
      <c r="Q30" s="324"/>
      <c r="R30" s="324"/>
      <c r="S30" s="324"/>
      <c r="T30" s="324"/>
      <c r="U30" s="324"/>
      <c r="V30" s="324"/>
    </row>
    <row r="31" spans="2:31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1">
      <c r="B32" s="5"/>
      <c r="C32" s="14" t="s">
        <v>0</v>
      </c>
      <c r="D32" s="14"/>
      <c r="E32" s="6"/>
      <c r="F32" s="6" t="str">
        <f t="shared" ref="F32:P32" si="16">IF(ISERROR(F31/E31-1),"n.a.",F31/E31-1)</f>
        <v>n.a.</v>
      </c>
      <c r="G32" s="6">
        <f t="shared" si="16"/>
        <v>0.18558558558558547</v>
      </c>
      <c r="H32" s="6">
        <f t="shared" si="16"/>
        <v>-1.3677811550151797E-2</v>
      </c>
      <c r="I32" s="6">
        <f t="shared" si="16"/>
        <v>-8.3204930662557852E-2</v>
      </c>
      <c r="J32" s="6">
        <f t="shared" si="16"/>
        <v>-1.8487394957983239E-2</v>
      </c>
      <c r="K32" s="6">
        <f t="shared" si="16"/>
        <v>-0.17294520547945214</v>
      </c>
      <c r="L32" s="6">
        <f t="shared" si="16"/>
        <v>-7.9015003043886201E-2</v>
      </c>
      <c r="M32" s="6">
        <f t="shared" si="16"/>
        <v>-0.10308222119070343</v>
      </c>
      <c r="N32" s="6">
        <f t="shared" si="16"/>
        <v>0.25861169264250194</v>
      </c>
      <c r="O32" s="6">
        <f t="shared" si="16"/>
        <v>0.13163180457279799</v>
      </c>
      <c r="P32" s="6">
        <f t="shared" si="16"/>
        <v>2.9623691490097137E-3</v>
      </c>
      <c r="Q32" s="326"/>
      <c r="R32" s="326"/>
      <c r="S32" s="326"/>
      <c r="T32" s="5"/>
      <c r="U32" s="5"/>
      <c r="V32" s="5"/>
    </row>
    <row r="33" spans="2:31">
      <c r="B33" s="5"/>
      <c r="C33" s="14" t="s">
        <v>1</v>
      </c>
      <c r="D33" s="14"/>
      <c r="E33" s="6"/>
      <c r="F33" s="6">
        <f t="shared" ref="F33:P33" si="17">IF(ISERROR(F31/F$11),"n.a.",F31/F$11)</f>
        <v>5.9061402575289981E-2</v>
      </c>
      <c r="G33" s="6">
        <f t="shared" si="17"/>
        <v>6.5479152154443221E-2</v>
      </c>
      <c r="H33" s="6">
        <f t="shared" si="17"/>
        <v>6.35340186000979E-2</v>
      </c>
      <c r="I33" s="6">
        <f t="shared" si="17"/>
        <v>5.4337899543378997E-2</v>
      </c>
      <c r="J33" s="6">
        <f t="shared" si="17"/>
        <v>5.1449211523213814E-2</v>
      </c>
      <c r="K33" s="6">
        <f>IF(ISERROR(K31/K$11),"n.a.",K31/K$11)</f>
        <v>4.2420516423678202E-2</v>
      </c>
      <c r="L33" s="6">
        <f t="shared" si="17"/>
        <v>3.8707246029229668E-2</v>
      </c>
      <c r="M33" s="6">
        <f t="shared" si="17"/>
        <v>3.1775359820388191E-2</v>
      </c>
      <c r="N33" s="6">
        <f t="shared" si="17"/>
        <v>3.709177171870244E-2</v>
      </c>
      <c r="O33" s="6">
        <f t="shared" si="17"/>
        <v>3.9272455317999319E-2</v>
      </c>
      <c r="P33" s="6">
        <f t="shared" si="17"/>
        <v>3.9507705922708969E-2</v>
      </c>
      <c r="Q33" s="5"/>
      <c r="R33" s="5"/>
      <c r="S33" s="5"/>
      <c r="T33" s="5"/>
      <c r="U33" s="5"/>
      <c r="V33" s="5"/>
    </row>
    <row r="34" spans="2:31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1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1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1" ht="12.7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1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1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110">
        <f>+('Company fin forecasts'!B23)</f>
        <v>-36</v>
      </c>
      <c r="M40" s="110">
        <f>+('Company fin forecasts'!C23)</f>
        <v>-51</v>
      </c>
      <c r="N40" s="110">
        <f>+('Company fin forecasts'!D23)</f>
        <v>-50</v>
      </c>
      <c r="O40" s="110">
        <f>+('Company fin forecasts'!E23)</f>
        <v>-50</v>
      </c>
      <c r="P40" s="110">
        <f>+('Company fin forecasts'!F23)</f>
        <v>-50</v>
      </c>
      <c r="Q40" s="329">
        <v>-50</v>
      </c>
      <c r="R40" s="329">
        <v>-50</v>
      </c>
      <c r="S40" s="329">
        <v>-50</v>
      </c>
      <c r="T40" s="329">
        <v>-50</v>
      </c>
      <c r="U40" s="329">
        <v>-50</v>
      </c>
      <c r="V40" s="329">
        <v>-50</v>
      </c>
      <c r="Y40" s="328" t="s">
        <v>158</v>
      </c>
      <c r="Z40" s="328"/>
      <c r="AA40" s="328"/>
      <c r="AB40" s="328"/>
      <c r="AC40" s="328"/>
      <c r="AD40" s="328"/>
      <c r="AE40" s="328"/>
    </row>
    <row r="41" spans="2:31">
      <c r="B41" s="5"/>
      <c r="C41" s="14" t="s">
        <v>0</v>
      </c>
      <c r="D41" s="14"/>
      <c r="E41" s="6"/>
      <c r="F41" s="6" t="str">
        <f t="shared" ref="F41" si="18">IF(ISERROR(F40/E40-1),"n.a.",F40/E40-1)</f>
        <v>n.a.</v>
      </c>
      <c r="G41" s="6">
        <f>IF(ISERROR(G40/F40-1),"n.a.",G40/F40-1)</f>
        <v>0.23355263157894735</v>
      </c>
      <c r="H41" s="6">
        <f t="shared" ref="H41:V41" si="19">IF(ISERROR(H40/G40-1),"n.a.",H40/G40-1)</f>
        <v>7.4666666666666659E-2</v>
      </c>
      <c r="I41" s="6">
        <f t="shared" si="19"/>
        <v>-0.10421836228287829</v>
      </c>
      <c r="J41" s="6">
        <f t="shared" si="19"/>
        <v>3.3240997229916802E-2</v>
      </c>
      <c r="K41" s="6">
        <f t="shared" si="19"/>
        <v>-0.16890080428954413</v>
      </c>
      <c r="L41" s="6">
        <f t="shared" si="19"/>
        <v>0.16129032258064524</v>
      </c>
      <c r="M41" s="6">
        <f t="shared" si="19"/>
        <v>0.41666666666666674</v>
      </c>
      <c r="N41" s="6">
        <f t="shared" si="19"/>
        <v>-1.9607843137254943E-2</v>
      </c>
      <c r="O41" s="6">
        <f t="shared" si="19"/>
        <v>0</v>
      </c>
      <c r="P41" s="6">
        <f t="shared" si="19"/>
        <v>0</v>
      </c>
      <c r="Q41" s="6">
        <f t="shared" si="19"/>
        <v>0</v>
      </c>
      <c r="R41" s="6">
        <f t="shared" si="19"/>
        <v>0</v>
      </c>
      <c r="S41" s="6">
        <f t="shared" si="19"/>
        <v>0</v>
      </c>
      <c r="T41" s="6">
        <f t="shared" si="19"/>
        <v>0</v>
      </c>
      <c r="U41" s="6">
        <f t="shared" si="19"/>
        <v>0</v>
      </c>
      <c r="V41" s="6">
        <f t="shared" si="19"/>
        <v>0</v>
      </c>
    </row>
    <row r="42" spans="2:31" ht="12.75" customHeight="1">
      <c r="B42" s="14"/>
      <c r="C42" s="14" t="s">
        <v>24</v>
      </c>
      <c r="D42" s="14"/>
      <c r="E42" s="6"/>
      <c r="F42" s="118">
        <f t="shared" ref="F42:V42" si="20">IF(ISERROR(-F40/F$11),"n.a.",-F40/F$11)</f>
        <v>3.2350750239438113E-2</v>
      </c>
      <c r="G42" s="118">
        <f t="shared" si="20"/>
        <v>3.7317145984675094E-2</v>
      </c>
      <c r="H42" s="118">
        <f t="shared" si="20"/>
        <v>3.9451786588350461E-2</v>
      </c>
      <c r="I42" s="118">
        <f t="shared" si="20"/>
        <v>3.2968036529680368E-2</v>
      </c>
      <c r="J42" s="118">
        <f t="shared" si="20"/>
        <v>3.2860540921504713E-2</v>
      </c>
      <c r="K42" s="118">
        <f t="shared" si="20"/>
        <v>2.7226418408571932E-2</v>
      </c>
      <c r="L42" s="118">
        <f t="shared" si="20"/>
        <v>3.1325289075688233E-2</v>
      </c>
      <c r="M42" s="118">
        <f t="shared" si="20"/>
        <v>4.0617045948380379E-2</v>
      </c>
      <c r="N42" s="118">
        <f t="shared" si="20"/>
        <v>3.6932057370415751E-2</v>
      </c>
      <c r="O42" s="118">
        <f t="shared" si="20"/>
        <v>3.4554835728332456E-2</v>
      </c>
      <c r="P42" s="118">
        <f t="shared" si="20"/>
        <v>3.4659153551726836E-2</v>
      </c>
      <c r="Q42" s="118">
        <f t="shared" si="20"/>
        <v>3.3979562305614552E-2</v>
      </c>
      <c r="R42" s="118">
        <f t="shared" ca="1" si="20"/>
        <v>3.3378744897460261E-2</v>
      </c>
      <c r="S42" s="118">
        <f t="shared" ca="1" si="20"/>
        <v>3.2853095371516004E-2</v>
      </c>
      <c r="T42" s="118">
        <f t="shared" ca="1" si="20"/>
        <v>3.239950233877318E-2</v>
      </c>
      <c r="U42" s="118">
        <f t="shared" ca="1" si="20"/>
        <v>3.2015318516574284E-2</v>
      </c>
      <c r="V42" s="118">
        <f t="shared" ca="1" si="20"/>
        <v>3.1698335164925033E-2</v>
      </c>
    </row>
    <row r="43" spans="2:31">
      <c r="B43" s="14"/>
      <c r="C43" s="14" t="s">
        <v>128</v>
      </c>
      <c r="D43" s="14"/>
      <c r="E43" s="6"/>
      <c r="F43" s="6">
        <f t="shared" ref="F43:V43" si="21">(F15+F40)/F15</f>
        <v>0.69930761622156279</v>
      </c>
      <c r="G43" s="6">
        <f t="shared" si="21"/>
        <v>0.65878070973612379</v>
      </c>
      <c r="H43" s="6">
        <f t="shared" si="21"/>
        <v>0.64834205933682376</v>
      </c>
      <c r="I43" s="6">
        <f t="shared" si="21"/>
        <v>0.66789328426862915</v>
      </c>
      <c r="J43" s="6">
        <f t="shared" si="21"/>
        <v>0.65936073059360734</v>
      </c>
      <c r="K43" s="6">
        <f t="shared" si="21"/>
        <v>0.68431771894093685</v>
      </c>
      <c r="L43" s="6">
        <f t="shared" si="21"/>
        <v>0.61762010654500032</v>
      </c>
      <c r="M43" s="6">
        <f t="shared" si="21"/>
        <v>0.44939452613666453</v>
      </c>
      <c r="N43" s="6">
        <f t="shared" si="21"/>
        <v>0.55275975236058583</v>
      </c>
      <c r="O43" s="6">
        <f t="shared" si="21"/>
        <v>0.59805439360848589</v>
      </c>
      <c r="P43" s="6">
        <f t="shared" si="21"/>
        <v>0.60805257353199449</v>
      </c>
      <c r="Q43" s="6">
        <f t="shared" ca="1" si="21"/>
        <v>0.616872920287732</v>
      </c>
      <c r="R43" s="6">
        <f t="shared" ca="1" si="21"/>
        <v>0.62475573378512061</v>
      </c>
      <c r="S43" s="6">
        <f t="shared" ca="1" si="21"/>
        <v>0.63174969274632697</v>
      </c>
      <c r="T43" s="6">
        <f t="shared" ca="1" si="21"/>
        <v>0.63789737839579175</v>
      </c>
      <c r="U43" s="6">
        <f t="shared" ca="1" si="21"/>
        <v>0.6432357029048309</v>
      </c>
      <c r="V43" s="6">
        <f t="shared" ca="1" si="21"/>
        <v>0.64779627594527744</v>
      </c>
    </row>
    <row r="44" spans="2:3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1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110">
        <f>+('Company fin forecasts'!B27)</f>
        <v>6</v>
      </c>
      <c r="M45" s="110">
        <f>+('Company fin forecasts'!C27)</f>
        <v>16.111954440903407</v>
      </c>
      <c r="N45" s="110">
        <f>+('Company fin forecasts'!D27)</f>
        <v>15.168892666804709</v>
      </c>
      <c r="O45" s="110">
        <f>+('Company fin forecasts'!E27)</f>
        <v>11.110216900668604</v>
      </c>
      <c r="P45" s="110">
        <f>+('Company fin forecasts'!F27)</f>
        <v>3.9548595532390358</v>
      </c>
      <c r="Q45" s="104">
        <f t="shared" ref="Q45:V45" si="22">Q47*Q11</f>
        <v>0</v>
      </c>
      <c r="R45" s="104">
        <f t="shared" ca="1" si="22"/>
        <v>0</v>
      </c>
      <c r="S45" s="104">
        <f t="shared" ca="1" si="22"/>
        <v>0</v>
      </c>
      <c r="T45" s="104">
        <f t="shared" ca="1" si="22"/>
        <v>0</v>
      </c>
      <c r="U45" s="104">
        <f t="shared" ca="1" si="22"/>
        <v>0</v>
      </c>
      <c r="V45" s="104">
        <f t="shared" ca="1" si="22"/>
        <v>0</v>
      </c>
    </row>
    <row r="46" spans="2:31">
      <c r="C46" s="14" t="s">
        <v>0</v>
      </c>
      <c r="D46" s="109"/>
      <c r="E46" s="109"/>
      <c r="F46" s="6" t="str">
        <f t="shared" ref="F46:V46" si="23">IF(ISERROR(F45/E45-1),"n.a.",F45/E45-1)</f>
        <v>n.a.</v>
      </c>
      <c r="G46" s="6">
        <f t="shared" si="23"/>
        <v>-5.7358490566037723</v>
      </c>
      <c r="H46" s="6">
        <f t="shared" si="23"/>
        <v>-1.4462151394422311</v>
      </c>
      <c r="I46" s="6">
        <f t="shared" si="23"/>
        <v>0.45535714285714324</v>
      </c>
      <c r="J46" s="6">
        <f t="shared" si="23"/>
        <v>-0.22699386503067509</v>
      </c>
      <c r="K46" s="6">
        <f t="shared" si="23"/>
        <v>-0.17460317460317465</v>
      </c>
      <c r="L46" s="6">
        <f t="shared" si="23"/>
        <v>-1.5769230769230771</v>
      </c>
      <c r="M46" s="6">
        <f t="shared" si="23"/>
        <v>1.6853257401505677</v>
      </c>
      <c r="N46" s="6">
        <f t="shared" si="23"/>
        <v>-5.8531804912788754E-2</v>
      </c>
      <c r="O46" s="6">
        <f t="shared" si="23"/>
        <v>-0.26756572515131749</v>
      </c>
      <c r="P46" s="6">
        <f t="shared" si="23"/>
        <v>-0.64403399244158455</v>
      </c>
      <c r="Q46" s="6">
        <f t="shared" si="23"/>
        <v>-1</v>
      </c>
      <c r="R46" s="6" t="str">
        <f t="shared" ca="1" si="23"/>
        <v>n.a.</v>
      </c>
      <c r="S46" s="6" t="str">
        <f t="shared" ca="1" si="23"/>
        <v>n.a.</v>
      </c>
      <c r="T46" s="6" t="str">
        <f t="shared" ca="1" si="23"/>
        <v>n.a.</v>
      </c>
      <c r="U46" s="6" t="str">
        <f t="shared" ca="1" si="23"/>
        <v>n.a.</v>
      </c>
      <c r="V46" s="6" t="str">
        <f t="shared" ca="1" si="23"/>
        <v>n.a.</v>
      </c>
    </row>
    <row r="47" spans="2:31">
      <c r="C47" s="14" t="s">
        <v>24</v>
      </c>
      <c r="D47" s="14"/>
      <c r="E47" s="6"/>
      <c r="F47" s="6">
        <f t="shared" ref="F47:P47" si="24">IF(ISERROR(F45/F$11),"n.a.",F45/F$11)</f>
        <v>-5.6400979035862511E-3</v>
      </c>
      <c r="G47" s="6">
        <f t="shared" si="24"/>
        <v>2.4977609712409192E-2</v>
      </c>
      <c r="H47" s="6">
        <f t="shared" si="24"/>
        <v>-1.0964268232990699E-2</v>
      </c>
      <c r="I47" s="6">
        <f t="shared" si="24"/>
        <v>-1.4885844748858451E-2</v>
      </c>
      <c r="J47" s="6">
        <f t="shared" si="24"/>
        <v>-1.1100343582063256E-2</v>
      </c>
      <c r="K47" s="6">
        <f t="shared" si="24"/>
        <v>-9.1340242402950991E-3</v>
      </c>
      <c r="L47" s="6">
        <f t="shared" si="24"/>
        <v>5.2208815126147052E-3</v>
      </c>
      <c r="M47" s="6">
        <f t="shared" si="24"/>
        <v>1.2831764585184018E-2</v>
      </c>
      <c r="N47" s="6">
        <f t="shared" si="24"/>
        <v>1.1204368284322206E-2</v>
      </c>
      <c r="O47" s="6">
        <f t="shared" si="24"/>
        <v>7.6782343981749305E-3</v>
      </c>
      <c r="P47" s="6">
        <f t="shared" si="24"/>
        <v>2.741441690624511E-3</v>
      </c>
      <c r="Q47" s="119">
        <v>0</v>
      </c>
      <c r="R47" s="6">
        <f t="shared" ref="R47:V47" si="25">Q47</f>
        <v>0</v>
      </c>
      <c r="S47" s="6">
        <f t="shared" si="25"/>
        <v>0</v>
      </c>
      <c r="T47" s="6">
        <f t="shared" si="25"/>
        <v>0</v>
      </c>
      <c r="U47" s="6">
        <f t="shared" si="25"/>
        <v>0</v>
      </c>
      <c r="V47" s="6">
        <f t="shared" si="25"/>
        <v>0</v>
      </c>
    </row>
    <row r="48" spans="2:31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1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110">
        <f>+('Company fin forecasts'!B29)</f>
        <v>0</v>
      </c>
      <c r="M49" s="110">
        <f>+('Company fin forecasts'!C29)</f>
        <v>0</v>
      </c>
      <c r="N49" s="110">
        <f>+('Company fin forecasts'!D29)</f>
        <v>-5</v>
      </c>
      <c r="O49" s="110">
        <f>+('Company fin forecasts'!E29)</f>
        <v>-5</v>
      </c>
      <c r="P49" s="110">
        <f>+('Company fin forecasts'!F29)</f>
        <v>-5</v>
      </c>
      <c r="Q49" s="329">
        <v>-5</v>
      </c>
      <c r="R49" s="329">
        <v>-5</v>
      </c>
      <c r="S49" s="329">
        <v>-5</v>
      </c>
      <c r="T49" s="329">
        <v>-5</v>
      </c>
      <c r="U49" s="329">
        <v>-5</v>
      </c>
      <c r="V49" s="329">
        <v>-5</v>
      </c>
      <c r="Y49" s="328" t="s">
        <v>159</v>
      </c>
      <c r="Z49" s="328"/>
      <c r="AA49" s="328"/>
      <c r="AB49" s="328"/>
      <c r="AC49" s="328"/>
      <c r="AD49" s="328"/>
      <c r="AE49" s="328"/>
    </row>
    <row r="50" spans="2:31">
      <c r="B50" s="5"/>
      <c r="C50" s="14" t="s">
        <v>0</v>
      </c>
      <c r="D50" s="14"/>
      <c r="E50" s="6"/>
      <c r="F50" s="6" t="str">
        <f t="shared" ref="F50" si="26">IF(ISERROR(F49/E49-1),"n.a.",F49/E49-1)</f>
        <v>n.a.</v>
      </c>
      <c r="G50" s="6" t="str">
        <f>IF(ISERROR(G49/F49-1),"n.a.",G49/F49-1)</f>
        <v>n.a.</v>
      </c>
      <c r="H50" s="6" t="str">
        <f t="shared" ref="H50" si="27">IF(ISERROR(H49/G49-1),"n.a.",H49/G49-1)</f>
        <v>n.a.</v>
      </c>
      <c r="I50" s="6" t="str">
        <f t="shared" ref="I50" si="28">IF(ISERROR(I49/H49-1),"n.a.",I49/H49-1)</f>
        <v>n.a.</v>
      </c>
      <c r="J50" s="6" t="str">
        <f t="shared" ref="J50" si="29">IF(ISERROR(J49/I49-1),"n.a.",J49/I49-1)</f>
        <v>n.a.</v>
      </c>
      <c r="K50" s="6">
        <f t="shared" ref="K50" si="30">IF(ISERROR(K49/J49-1),"n.a.",K49/J49-1)</f>
        <v>-1.4933333333333334</v>
      </c>
      <c r="L50" s="6">
        <f t="shared" ref="L50" si="31">IF(ISERROR(L49/K49-1),"n.a.",L49/K49-1)</f>
        <v>-1</v>
      </c>
      <c r="M50" s="6" t="str">
        <f t="shared" ref="M50" si="32">IF(ISERROR(M49/L49-1),"n.a.",M49/L49-1)</f>
        <v>n.a.</v>
      </c>
      <c r="N50" s="6" t="str">
        <f t="shared" ref="N50" si="33">IF(ISERROR(N49/M49-1),"n.a.",N49/M49-1)</f>
        <v>n.a.</v>
      </c>
      <c r="O50" s="6">
        <f t="shared" ref="O50" si="34">IF(ISERROR(O49/N49-1),"n.a.",O49/N49-1)</f>
        <v>0</v>
      </c>
      <c r="P50" s="6">
        <f t="shared" ref="P50" si="35">IF(ISERROR(P49/O49-1),"n.a.",P49/O49-1)</f>
        <v>0</v>
      </c>
      <c r="Q50" s="6">
        <f t="shared" ref="Q50" si="36">IF(ISERROR(Q49/P49-1),"n.a.",Q49/P49-1)</f>
        <v>0</v>
      </c>
      <c r="R50" s="6">
        <f t="shared" ref="R50" si="37">IF(ISERROR(R49/Q49-1),"n.a.",R49/Q49-1)</f>
        <v>0</v>
      </c>
      <c r="S50" s="6">
        <f t="shared" ref="S50" si="38">IF(ISERROR(S49/R49-1),"n.a.",S49/R49-1)</f>
        <v>0</v>
      </c>
      <c r="T50" s="6">
        <f t="shared" ref="T50" si="39">IF(ISERROR(T49/S49-1),"n.a.",T49/S49-1)</f>
        <v>0</v>
      </c>
      <c r="U50" s="6">
        <f t="shared" ref="U50" si="40">IF(ISERROR(U49/T49-1),"n.a.",U49/T49-1)</f>
        <v>0</v>
      </c>
      <c r="V50" s="6">
        <f t="shared" ref="V50" si="41">IF(ISERROR(V49/U49-1),"n.a.",V49/U49-1)</f>
        <v>0</v>
      </c>
    </row>
    <row r="51" spans="2:31" ht="12.75" customHeight="1">
      <c r="B51" s="14"/>
      <c r="C51" s="14" t="s">
        <v>24</v>
      </c>
      <c r="D51" s="14"/>
      <c r="E51" s="6"/>
      <c r="F51" s="118">
        <f t="shared" ref="F51:V51" si="42">IF(ISERROR(-F49/F$11),"n.a.",-F49/F$11)</f>
        <v>0</v>
      </c>
      <c r="G51" s="118">
        <f t="shared" si="42"/>
        <v>0</v>
      </c>
      <c r="H51" s="118">
        <f t="shared" si="42"/>
        <v>0</v>
      </c>
      <c r="I51" s="118">
        <f t="shared" si="42"/>
        <v>0</v>
      </c>
      <c r="J51" s="118">
        <f t="shared" si="42"/>
        <v>1.3214694740551493E-3</v>
      </c>
      <c r="K51" s="118">
        <f t="shared" si="42"/>
        <v>-6.4992095555945904E-4</v>
      </c>
      <c r="L51" s="118">
        <f t="shared" si="42"/>
        <v>0</v>
      </c>
      <c r="M51" s="118">
        <f t="shared" si="42"/>
        <v>0</v>
      </c>
      <c r="N51" s="118">
        <f t="shared" si="42"/>
        <v>3.6932057370415751E-3</v>
      </c>
      <c r="O51" s="118">
        <f t="shared" si="42"/>
        <v>3.4554835728332453E-3</v>
      </c>
      <c r="P51" s="118">
        <f t="shared" si="42"/>
        <v>3.4659153551726838E-3</v>
      </c>
      <c r="Q51" s="118">
        <f t="shared" si="42"/>
        <v>3.3979562305614551E-3</v>
      </c>
      <c r="R51" s="118">
        <f t="shared" ca="1" si="42"/>
        <v>3.3378744897460265E-3</v>
      </c>
      <c r="S51" s="118">
        <f t="shared" ca="1" si="42"/>
        <v>3.2853095371516007E-3</v>
      </c>
      <c r="T51" s="118">
        <f t="shared" ca="1" si="42"/>
        <v>3.2399502338773178E-3</v>
      </c>
      <c r="U51" s="118">
        <f t="shared" ca="1" si="42"/>
        <v>3.2015318516574287E-3</v>
      </c>
      <c r="V51" s="118">
        <f t="shared" ca="1" si="42"/>
        <v>3.1698335164925037E-3</v>
      </c>
    </row>
    <row r="52" spans="2:31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1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110">
        <f>+('Company fin forecasts'!B15+'Company fin forecasts'!B22)</f>
        <v>0</v>
      </c>
      <c r="M53" s="110">
        <f>+('Company fin forecasts'!C15+'Company fin forecasts'!C22)</f>
        <v>-18.004468664734777</v>
      </c>
      <c r="N53" s="110">
        <f>+('Company fin forecasts'!D15+'Company fin forecasts'!D22)</f>
        <v>-6.7527180429793674</v>
      </c>
      <c r="O53" s="110">
        <f>+('Company fin forecasts'!E15+'Company fin forecasts'!E22)</f>
        <v>25.138454026318882</v>
      </c>
      <c r="P53" s="110">
        <f>+('Company fin forecasts'!F15+'Company fin forecasts'!F22)</f>
        <v>-4.8650405710493061</v>
      </c>
      <c r="Q53" s="107">
        <v>0</v>
      </c>
      <c r="R53" s="107">
        <f t="shared" ref="R53:V53" si="43">+Q53</f>
        <v>0</v>
      </c>
      <c r="S53" s="107">
        <f t="shared" si="43"/>
        <v>0</v>
      </c>
      <c r="T53" s="107">
        <f t="shared" si="43"/>
        <v>0</v>
      </c>
      <c r="U53" s="107">
        <f t="shared" si="43"/>
        <v>0</v>
      </c>
      <c r="V53" s="107">
        <f t="shared" si="43"/>
        <v>0</v>
      </c>
    </row>
    <row r="54" spans="2:31">
      <c r="B54" s="5"/>
      <c r="C54" s="14" t="s">
        <v>0</v>
      </c>
      <c r="D54" s="14"/>
      <c r="E54" s="6"/>
      <c r="F54" s="6" t="str">
        <f t="shared" ref="F54" si="44">IF(ISERROR(F53/E53-1),"n.a.",F53/E53-1)</f>
        <v>n.a.</v>
      </c>
      <c r="G54" s="6" t="str">
        <f>IF(ISERROR(G53/F53-1),"n.a.",G53/F53-1)</f>
        <v>n.a.</v>
      </c>
      <c r="H54" s="6" t="str">
        <f t="shared" ref="H54" si="45">IF(ISERROR(H53/G53-1),"n.a.",H53/G53-1)</f>
        <v>n.a.</v>
      </c>
      <c r="I54" s="6" t="str">
        <f t="shared" ref="I54" si="46">IF(ISERROR(I53/H53-1),"n.a.",I53/H53-1)</f>
        <v>n.a.</v>
      </c>
      <c r="J54" s="6" t="str">
        <f t="shared" ref="J54" si="47">IF(ISERROR(J53/I53-1),"n.a.",J53/I53-1)</f>
        <v>n.a.</v>
      </c>
      <c r="K54" s="6" t="str">
        <f t="shared" ref="K54" si="48">IF(ISERROR(K53/J53-1),"n.a.",K53/J53-1)</f>
        <v>n.a.</v>
      </c>
      <c r="L54" s="6" t="str">
        <f t="shared" ref="L54" si="49">IF(ISERROR(L53/K53-1),"n.a.",L53/K53-1)</f>
        <v>n.a.</v>
      </c>
      <c r="M54" s="6" t="str">
        <f t="shared" ref="M54" si="50">IF(ISERROR(M53/L53-1),"n.a.",M53/L53-1)</f>
        <v>n.a.</v>
      </c>
      <c r="N54" s="6">
        <f t="shared" ref="N54" si="51">IF(ISERROR(N53/M53-1),"n.a.",N53/M53-1)</f>
        <v>-0.62494210916616122</v>
      </c>
      <c r="O54" s="6">
        <f t="shared" ref="O54" si="52">IF(ISERROR(O53/N53-1),"n.a.",O53/N53-1)</f>
        <v>-4.722716373809611</v>
      </c>
      <c r="P54" s="6">
        <f t="shared" ref="P54" si="53">IF(ISERROR(P53/O53-1),"n.a.",P53/O53-1)</f>
        <v>-1.1935298235108578</v>
      </c>
      <c r="Q54" s="6">
        <f t="shared" ref="Q54" si="54">IF(ISERROR(Q53/P53-1),"n.a.",Q53/P53-1)</f>
        <v>-1</v>
      </c>
      <c r="R54" s="6" t="str">
        <f t="shared" ref="R54" si="55">IF(ISERROR(R53/Q53-1),"n.a.",R53/Q53-1)</f>
        <v>n.a.</v>
      </c>
      <c r="S54" s="6" t="str">
        <f t="shared" ref="S54" si="56">IF(ISERROR(S53/R53-1),"n.a.",S53/R53-1)</f>
        <v>n.a.</v>
      </c>
      <c r="T54" s="6" t="str">
        <f t="shared" ref="T54" si="57">IF(ISERROR(T53/S53-1),"n.a.",T53/S53-1)</f>
        <v>n.a.</v>
      </c>
      <c r="U54" s="6" t="str">
        <f t="shared" ref="U54" si="58">IF(ISERROR(U53/T53-1),"n.a.",U53/T53-1)</f>
        <v>n.a.</v>
      </c>
      <c r="V54" s="6" t="str">
        <f t="shared" ref="V54" si="59">IF(ISERROR(V53/U53-1),"n.a.",V53/U53-1)</f>
        <v>n.a.</v>
      </c>
    </row>
    <row r="55" spans="2:31" ht="12.75" customHeight="1">
      <c r="B55" s="14"/>
      <c r="C55" s="14" t="s">
        <v>24</v>
      </c>
      <c r="D55" s="14"/>
      <c r="E55" s="6"/>
      <c r="F55" s="118">
        <f t="shared" ref="F55:V55" si="60">IF(ISERROR(-F53/F$11),"n.a.",-F53/F$11)</f>
        <v>0</v>
      </c>
      <c r="G55" s="118">
        <f t="shared" si="60"/>
        <v>0</v>
      </c>
      <c r="H55" s="118">
        <f t="shared" si="60"/>
        <v>0</v>
      </c>
      <c r="I55" s="118">
        <f t="shared" si="60"/>
        <v>0</v>
      </c>
      <c r="J55" s="118">
        <f t="shared" si="60"/>
        <v>0</v>
      </c>
      <c r="K55" s="118">
        <f t="shared" si="60"/>
        <v>0</v>
      </c>
      <c r="L55" s="118">
        <f t="shared" si="60"/>
        <v>0</v>
      </c>
      <c r="M55" s="118">
        <f t="shared" si="60"/>
        <v>1.433898688297465E-2</v>
      </c>
      <c r="N55" s="118">
        <f t="shared" si="60"/>
        <v>4.9878354033911108E-3</v>
      </c>
      <c r="O55" s="118">
        <f t="shared" si="60"/>
        <v>-1.737310298687373E-2</v>
      </c>
      <c r="P55" s="118">
        <f t="shared" si="60"/>
        <v>3.3723637637475745E-3</v>
      </c>
      <c r="Q55" s="118">
        <f t="shared" si="60"/>
        <v>0</v>
      </c>
      <c r="R55" s="118">
        <f t="shared" ca="1" si="60"/>
        <v>0</v>
      </c>
      <c r="S55" s="118">
        <f t="shared" ca="1" si="60"/>
        <v>0</v>
      </c>
      <c r="T55" s="118">
        <f t="shared" ca="1" si="60"/>
        <v>0</v>
      </c>
      <c r="U55" s="118">
        <f t="shared" ca="1" si="60"/>
        <v>0</v>
      </c>
      <c r="V55" s="118">
        <f t="shared" ca="1" si="60"/>
        <v>0</v>
      </c>
    </row>
    <row r="56" spans="2:31">
      <c r="L56" s="212"/>
      <c r="M56" s="212"/>
    </row>
    <row r="57" spans="2:31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1">
      <c r="C58" s="71" t="s">
        <v>69</v>
      </c>
      <c r="D58" s="71"/>
      <c r="E58" s="99"/>
      <c r="F58" s="205">
        <f t="shared" ref="F58:V58" si="61">F9</f>
        <v>41729</v>
      </c>
      <c r="G58" s="205">
        <f t="shared" si="61"/>
        <v>42094</v>
      </c>
      <c r="H58" s="205">
        <f t="shared" si="61"/>
        <v>42460</v>
      </c>
      <c r="I58" s="205">
        <f t="shared" si="61"/>
        <v>42825</v>
      </c>
      <c r="J58" s="205">
        <f t="shared" si="61"/>
        <v>43190</v>
      </c>
      <c r="K58" s="205">
        <f t="shared" si="61"/>
        <v>43555</v>
      </c>
      <c r="L58" s="206">
        <f t="shared" si="61"/>
        <v>43921</v>
      </c>
      <c r="M58" s="206">
        <f t="shared" si="61"/>
        <v>44286</v>
      </c>
      <c r="N58" s="206">
        <f t="shared" si="61"/>
        <v>44651</v>
      </c>
      <c r="O58" s="206">
        <f t="shared" si="61"/>
        <v>45016</v>
      </c>
      <c r="P58" s="206">
        <f t="shared" si="61"/>
        <v>45382</v>
      </c>
      <c r="Q58" s="206">
        <f t="shared" si="61"/>
        <v>45747</v>
      </c>
      <c r="R58" s="206">
        <f t="shared" si="61"/>
        <v>46112</v>
      </c>
      <c r="S58" s="206">
        <f t="shared" si="61"/>
        <v>46477</v>
      </c>
      <c r="T58" s="206">
        <f t="shared" si="61"/>
        <v>46843</v>
      </c>
      <c r="U58" s="206">
        <f t="shared" si="61"/>
        <v>47208</v>
      </c>
      <c r="V58" s="206">
        <f t="shared" si="61"/>
        <v>47573</v>
      </c>
    </row>
    <row r="59" spans="2:31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1">
      <c r="C60" s="203" t="s">
        <v>2</v>
      </c>
      <c r="D60" s="203"/>
      <c r="E60" s="203"/>
      <c r="F60" s="208">
        <f t="shared" ref="F60:O60" si="62">F11</f>
        <v>939.7</v>
      </c>
      <c r="G60" s="208">
        <f t="shared" si="62"/>
        <v>1004.9</v>
      </c>
      <c r="H60" s="208">
        <f t="shared" si="62"/>
        <v>1021.5</v>
      </c>
      <c r="I60" s="208">
        <f t="shared" si="62"/>
        <v>1095</v>
      </c>
      <c r="J60" s="208">
        <f t="shared" si="62"/>
        <v>1135.0999999999999</v>
      </c>
      <c r="K60" s="208">
        <f t="shared" si="62"/>
        <v>1138.5999999999999</v>
      </c>
      <c r="L60" s="208">
        <f t="shared" si="62"/>
        <v>1149.2312142121568</v>
      </c>
      <c r="M60" s="208">
        <f t="shared" si="62"/>
        <v>1255.6304578332745</v>
      </c>
      <c r="N60" s="208">
        <f t="shared" si="62"/>
        <v>1353.8373857301615</v>
      </c>
      <c r="O60" s="208">
        <f t="shared" si="62"/>
        <v>1446.9754795854415</v>
      </c>
      <c r="P60" s="208">
        <f t="shared" ref="P60:V60" si="63">P11</f>
        <v>1442.6203434361953</v>
      </c>
      <c r="Q60" s="208">
        <f t="shared" si="63"/>
        <v>1471.4727503049191</v>
      </c>
      <c r="R60" s="208">
        <f t="shared" ca="1" si="63"/>
        <v>1497.9592598104077</v>
      </c>
      <c r="S60" s="208">
        <f t="shared" ca="1" si="63"/>
        <v>1521.9266079673744</v>
      </c>
      <c r="T60" s="208">
        <f t="shared" ca="1" si="63"/>
        <v>1543.2335804789177</v>
      </c>
      <c r="U60" s="208">
        <f t="shared" ca="1" si="63"/>
        <v>1561.7523834446647</v>
      </c>
      <c r="V60" s="208">
        <f t="shared" ca="1" si="63"/>
        <v>1577.3699072791114</v>
      </c>
    </row>
    <row r="61" spans="2:31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4">IF(ISERROR(G60/F60-1),"n.a.",G60/F60-1)</f>
        <v>6.9383845908268516E-2</v>
      </c>
      <c r="H61" s="209">
        <f t="shared" si="64"/>
        <v>1.6519056622549488E-2</v>
      </c>
      <c r="I61" s="209">
        <f t="shared" si="64"/>
        <v>7.1953010279001361E-2</v>
      </c>
      <c r="J61" s="209">
        <f t="shared" si="64"/>
        <v>3.6621004566209869E-2</v>
      </c>
      <c r="K61" s="209">
        <f t="shared" si="64"/>
        <v>3.0834287727954379E-3</v>
      </c>
      <c r="L61" s="209">
        <f t="shared" si="64"/>
        <v>9.3370931074625574E-3</v>
      </c>
      <c r="M61" s="209">
        <f t="shared" si="64"/>
        <v>9.2582973996280238E-2</v>
      </c>
      <c r="N61" s="209">
        <f t="shared" si="64"/>
        <v>7.8213241232100827E-2</v>
      </c>
      <c r="O61" s="209">
        <f t="shared" si="64"/>
        <v>6.879562851268739E-2</v>
      </c>
      <c r="P61" s="209">
        <f t="shared" si="64"/>
        <v>-3.0098202842344657E-3</v>
      </c>
      <c r="Q61" s="209">
        <f t="shared" si="64"/>
        <v>2.0000000000000018E-2</v>
      </c>
      <c r="R61" s="209">
        <f t="shared" ca="1" si="64"/>
        <v>1.8000000000000016E-2</v>
      </c>
      <c r="S61" s="209">
        <f t="shared" ca="1" si="64"/>
        <v>1.6000000000000014E-2</v>
      </c>
      <c r="T61" s="209">
        <f t="shared" ca="1" si="64"/>
        <v>1.4000000000000012E-2</v>
      </c>
      <c r="U61" s="209">
        <f t="shared" ca="1" si="64"/>
        <v>1.2000000000000011E-2</v>
      </c>
      <c r="V61" s="209">
        <f t="shared" ca="1" si="64"/>
        <v>1.0000000000000009E-2</v>
      </c>
    </row>
    <row r="62" spans="2:31">
      <c r="C62" s="203" t="s">
        <v>3</v>
      </c>
      <c r="D62" s="203"/>
      <c r="E62" s="203"/>
      <c r="F62" s="208">
        <f t="shared" ref="F62:P62" si="65">F15</f>
        <v>101.1</v>
      </c>
      <c r="G62" s="208">
        <f t="shared" si="65"/>
        <v>109.9</v>
      </c>
      <c r="H62" s="208">
        <f t="shared" si="65"/>
        <v>114.6</v>
      </c>
      <c r="I62" s="208">
        <f t="shared" si="65"/>
        <v>108.7</v>
      </c>
      <c r="J62" s="208">
        <f t="shared" si="65"/>
        <v>109.5</v>
      </c>
      <c r="K62" s="208">
        <f t="shared" si="65"/>
        <v>98.2</v>
      </c>
      <c r="L62" s="208">
        <f t="shared" si="65"/>
        <v>94.147209662938664</v>
      </c>
      <c r="M62" s="208">
        <f t="shared" si="65"/>
        <v>92.625305088518957</v>
      </c>
      <c r="N62" s="208">
        <f t="shared" si="65"/>
        <v>111.79673623719195</v>
      </c>
      <c r="O62" s="208">
        <f t="shared" si="65"/>
        <v>124.39494101920255</v>
      </c>
      <c r="P62" s="208">
        <f t="shared" si="65"/>
        <v>127.56812935492377</v>
      </c>
      <c r="Q62" s="208">
        <f t="shared" ref="Q62:V62" ca="1" si="66">Q15</f>
        <v>130.50500120625895</v>
      </c>
      <c r="R62" s="208">
        <f t="shared" ca="1" si="66"/>
        <v>133.24653965896459</v>
      </c>
      <c r="S62" s="208">
        <f t="shared" ca="1" si="66"/>
        <v>135.77721189939695</v>
      </c>
      <c r="T62" s="208">
        <f t="shared" ca="1" si="66"/>
        <v>138.08240265835985</v>
      </c>
      <c r="U62" s="208">
        <f t="shared" ca="1" si="66"/>
        <v>140.14855300014</v>
      </c>
      <c r="V62" s="208">
        <f t="shared" ca="1" si="66"/>
        <v>141.96329165512003</v>
      </c>
    </row>
    <row r="63" spans="2:31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67">IF(ISERROR(G62/F62-1),"n.a.",G62/F62-1)</f>
        <v>8.7042532146389906E-2</v>
      </c>
      <c r="H63" s="209">
        <f t="shared" si="67"/>
        <v>4.2766151046405687E-2</v>
      </c>
      <c r="I63" s="209">
        <f t="shared" si="67"/>
        <v>-5.148342059336819E-2</v>
      </c>
      <c r="J63" s="209">
        <f t="shared" si="67"/>
        <v>7.3597056117755688E-3</v>
      </c>
      <c r="K63" s="209">
        <f t="shared" si="67"/>
        <v>-0.10319634703196345</v>
      </c>
      <c r="L63" s="209">
        <f t="shared" si="67"/>
        <v>-4.1270777363150102E-2</v>
      </c>
      <c r="M63" s="209">
        <f t="shared" si="67"/>
        <v>-1.6165158583757888E-2</v>
      </c>
      <c r="N63" s="209">
        <f t="shared" si="67"/>
        <v>0.20697833200496873</v>
      </c>
      <c r="O63" s="209">
        <f t="shared" si="67"/>
        <v>0.1126884845303695</v>
      </c>
      <c r="P63" s="209">
        <f t="shared" si="67"/>
        <v>2.5508982195918906E-2</v>
      </c>
      <c r="Q63" s="209">
        <f t="shared" ca="1" si="67"/>
        <v>2.302198727994309E-2</v>
      </c>
      <c r="R63" s="209">
        <f t="shared" ca="1" si="67"/>
        <v>2.1007152426079978E-2</v>
      </c>
      <c r="S63" s="209">
        <f t="shared" ca="1" si="67"/>
        <v>1.8992404957828057E-2</v>
      </c>
      <c r="T63" s="209">
        <f t="shared" ca="1" si="67"/>
        <v>1.6977744105328485E-2</v>
      </c>
      <c r="U63" s="209">
        <f t="shared" ca="1" si="67"/>
        <v>1.4963169107740315E-2</v>
      </c>
      <c r="V63" s="209">
        <f t="shared" ca="1" si="67"/>
        <v>1.2948679213107717E-2</v>
      </c>
    </row>
    <row r="64" spans="2:31">
      <c r="C64" s="200" t="s">
        <v>1</v>
      </c>
      <c r="D64" s="199"/>
      <c r="E64" s="202"/>
      <c r="F64" s="211">
        <f>F62/F$60</f>
        <v>0.10758752793444715</v>
      </c>
      <c r="G64" s="211">
        <f t="shared" ref="G64" si="68">G62/G$60</f>
        <v>0.10936411583242114</v>
      </c>
      <c r="H64" s="211">
        <f>H62/H$60</f>
        <v>0.11218795888399412</v>
      </c>
      <c r="I64" s="211">
        <f t="shared" ref="I64" si="69">I62/I$60</f>
        <v>9.9269406392694062E-2</v>
      </c>
      <c r="J64" s="211">
        <f t="shared" ref="J64:V64" si="70">J62/J$60</f>
        <v>9.6467271606025903E-2</v>
      </c>
      <c r="K64" s="211">
        <f t="shared" si="70"/>
        <v>8.6246267345863353E-2</v>
      </c>
      <c r="L64" s="211">
        <f t="shared" si="70"/>
        <v>8.1921904398916168E-2</v>
      </c>
      <c r="M64" s="211">
        <f t="shared" si="70"/>
        <v>7.3767966132610302E-2</v>
      </c>
      <c r="N64" s="211">
        <f t="shared" si="70"/>
        <v>8.2577669530744205E-2</v>
      </c>
      <c r="O64" s="211">
        <f t="shared" si="70"/>
        <v>8.5968935047082973E-2</v>
      </c>
      <c r="P64" s="211">
        <f t="shared" si="70"/>
        <v>8.8428067672377098E-2</v>
      </c>
      <c r="Q64" s="211">
        <f t="shared" ca="1" si="70"/>
        <v>8.8690056393647562E-2</v>
      </c>
      <c r="R64" s="211">
        <f t="shared" ca="1" si="70"/>
        <v>8.8952045114918027E-2</v>
      </c>
      <c r="S64" s="211">
        <f t="shared" ca="1" si="70"/>
        <v>8.9214033836188505E-2</v>
      </c>
      <c r="T64" s="211">
        <f t="shared" ca="1" si="70"/>
        <v>8.9476022557458998E-2</v>
      </c>
      <c r="U64" s="211">
        <f t="shared" ca="1" si="70"/>
        <v>8.9738011278729504E-2</v>
      </c>
      <c r="V64" s="211">
        <f t="shared" ca="1" si="70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1">+G68-G62</f>
        <v>-25.300000000000011</v>
      </c>
      <c r="H65" s="210">
        <f t="shared" si="71"/>
        <v>-30.099999999999994</v>
      </c>
      <c r="I65" s="210">
        <f t="shared" si="71"/>
        <v>-31.600000000000009</v>
      </c>
      <c r="J65" s="210">
        <f t="shared" si="71"/>
        <v>-34.900000000000006</v>
      </c>
      <c r="K65" s="210">
        <f t="shared" si="71"/>
        <v>-36</v>
      </c>
      <c r="L65" s="210">
        <f t="shared" si="71"/>
        <v>-36.129215400000028</v>
      </c>
      <c r="M65" s="210">
        <f t="shared" si="71"/>
        <v>-40.455293523349013</v>
      </c>
      <c r="N65" s="210">
        <f t="shared" si="71"/>
        <v>-47.195257615808728</v>
      </c>
      <c r="O65" s="210">
        <f t="shared" si="71"/>
        <v>-51.82954358756416</v>
      </c>
      <c r="P65" s="210">
        <f t="shared" si="71"/>
        <v>-54.799912142159201</v>
      </c>
      <c r="Q65" s="210">
        <f t="shared" ca="1" si="71"/>
        <v>-53.583260118466001</v>
      </c>
      <c r="R65" s="210">
        <f t="shared" ca="1" si="71"/>
        <v>-52.366608094772801</v>
      </c>
      <c r="S65" s="210">
        <f t="shared" ca="1" si="71"/>
        <v>-51.1499560710796</v>
      </c>
      <c r="T65" s="210">
        <f t="shared" ca="1" si="71"/>
        <v>-49.9333040473864</v>
      </c>
      <c r="U65" s="210">
        <f t="shared" ca="1" si="71"/>
        <v>-48.7166520236932</v>
      </c>
      <c r="V65" s="210">
        <f t="shared" ca="1" si="71"/>
        <v>-47.5</v>
      </c>
    </row>
    <row r="66" spans="3:22">
      <c r="C66" s="200" t="s">
        <v>84</v>
      </c>
      <c r="D66" s="199"/>
      <c r="E66" s="202"/>
      <c r="F66" s="211">
        <f t="shared" ref="F66:V66" si="72">+F65/F60</f>
        <v>-2.4795147387464082E-2</v>
      </c>
      <c r="G66" s="211">
        <f t="shared" si="72"/>
        <v>-2.5176634490994141E-2</v>
      </c>
      <c r="H66" s="211">
        <f t="shared" si="72"/>
        <v>-2.9466470876162502E-2</v>
      </c>
      <c r="I66" s="211">
        <f t="shared" si="72"/>
        <v>-2.8858447488584484E-2</v>
      </c>
      <c r="J66" s="211">
        <f t="shared" si="72"/>
        <v>-3.0746189763016483E-2</v>
      </c>
      <c r="K66" s="211">
        <f t="shared" si="72"/>
        <v>-3.1617776216406115E-2</v>
      </c>
      <c r="L66" s="211">
        <f t="shared" si="72"/>
        <v>-3.1437725457855774E-2</v>
      </c>
      <c r="M66" s="211">
        <f t="shared" si="72"/>
        <v>-3.2219108154766314E-2</v>
      </c>
      <c r="N66" s="211">
        <f t="shared" si="72"/>
        <v>-3.4860359237571976E-2</v>
      </c>
      <c r="O66" s="211">
        <f t="shared" si="72"/>
        <v>-3.5819227290854523E-2</v>
      </c>
      <c r="P66" s="211">
        <f t="shared" si="72"/>
        <v>-3.7986371391124714E-2</v>
      </c>
      <c r="Q66" s="211">
        <f t="shared" ca="1" si="72"/>
        <v>-3.641471451466733E-2</v>
      </c>
      <c r="R66" s="211">
        <f t="shared" ca="1" si="72"/>
        <v>-3.4958633054813976E-2</v>
      </c>
      <c r="S66" s="211">
        <f t="shared" ca="1" si="72"/>
        <v>-3.360868770104064E-2</v>
      </c>
      <c r="T66" s="211">
        <f t="shared" ca="1" si="72"/>
        <v>-3.2356284025319357E-2</v>
      </c>
      <c r="U66" s="211">
        <f t="shared" ca="1" si="72"/>
        <v>-3.1193582631993021E-2</v>
      </c>
      <c r="V66" s="211">
        <f t="shared" ca="1" si="72"/>
        <v>-3.0113418406678784E-2</v>
      </c>
    </row>
    <row r="67" spans="3:22">
      <c r="C67" s="200" t="s">
        <v>37</v>
      </c>
      <c r="D67" s="199"/>
      <c r="E67" s="202"/>
      <c r="F67" s="211">
        <f t="shared" ref="F67:V67" si="73">+F65/F72</f>
        <v>0.76644736842105254</v>
      </c>
      <c r="G67" s="211">
        <f t="shared" si="73"/>
        <v>0.67466666666666697</v>
      </c>
      <c r="H67" s="211">
        <f t="shared" si="73"/>
        <v>0.74689826302729523</v>
      </c>
      <c r="I67" s="211">
        <f t="shared" si="73"/>
        <v>0.87534626038781183</v>
      </c>
      <c r="J67" s="211">
        <f t="shared" si="73"/>
        <v>0.93565683646112618</v>
      </c>
      <c r="K67" s="211">
        <f t="shared" si="73"/>
        <v>1.1612903225806452</v>
      </c>
      <c r="L67" s="211">
        <f t="shared" si="73"/>
        <v>1.0035893166666674</v>
      </c>
      <c r="M67" s="211">
        <f t="shared" si="73"/>
        <v>0.79324104947743168</v>
      </c>
      <c r="N67" s="211">
        <f t="shared" si="73"/>
        <v>0.94390515231617456</v>
      </c>
      <c r="O67" s="211">
        <f t="shared" si="73"/>
        <v>1.0365908717512833</v>
      </c>
      <c r="P67" s="211">
        <f t="shared" si="73"/>
        <v>1.095998242843184</v>
      </c>
      <c r="Q67" s="211">
        <f t="shared" ca="1" si="73"/>
        <v>1.0716652023693201</v>
      </c>
      <c r="R67" s="211">
        <f t="shared" ca="1" si="73"/>
        <v>1.0473321618954561</v>
      </c>
      <c r="S67" s="211">
        <f t="shared" ca="1" si="73"/>
        <v>1.0229991214215921</v>
      </c>
      <c r="T67" s="211">
        <f t="shared" ca="1" si="73"/>
        <v>0.99866608094772802</v>
      </c>
      <c r="U67" s="211">
        <f t="shared" ca="1" si="73"/>
        <v>0.97433304047386404</v>
      </c>
      <c r="V67" s="211">
        <f t="shared" ca="1" si="73"/>
        <v>0.95</v>
      </c>
    </row>
    <row r="68" spans="3:22">
      <c r="C68" s="203" t="s">
        <v>5</v>
      </c>
      <c r="D68" s="203"/>
      <c r="E68" s="203"/>
      <c r="F68" s="208">
        <f t="shared" ref="F68:V68" si="74">F25</f>
        <v>77.8</v>
      </c>
      <c r="G68" s="208">
        <f t="shared" si="74"/>
        <v>84.6</v>
      </c>
      <c r="H68" s="208">
        <f t="shared" si="74"/>
        <v>84.5</v>
      </c>
      <c r="I68" s="208">
        <f t="shared" si="74"/>
        <v>77.099999999999994</v>
      </c>
      <c r="J68" s="208">
        <f t="shared" si="74"/>
        <v>74.599999999999994</v>
      </c>
      <c r="K68" s="208">
        <f t="shared" si="74"/>
        <v>62.2</v>
      </c>
      <c r="L68" s="208">
        <f t="shared" si="74"/>
        <v>58.017994262938636</v>
      </c>
      <c r="M68" s="208">
        <f t="shared" si="74"/>
        <v>52.170011565169943</v>
      </c>
      <c r="N68" s="208">
        <f t="shared" si="74"/>
        <v>64.601478621383222</v>
      </c>
      <c r="O68" s="208">
        <f t="shared" si="74"/>
        <v>72.565397431638388</v>
      </c>
      <c r="P68" s="208">
        <f t="shared" si="74"/>
        <v>72.768217212764569</v>
      </c>
      <c r="Q68" s="208">
        <f t="shared" ca="1" si="74"/>
        <v>76.921741087792952</v>
      </c>
      <c r="R68" s="208">
        <f t="shared" ca="1" si="74"/>
        <v>80.879931564191793</v>
      </c>
      <c r="S68" s="208">
        <f t="shared" ca="1" si="74"/>
        <v>84.627255828317345</v>
      </c>
      <c r="T68" s="208">
        <f t="shared" ca="1" si="74"/>
        <v>88.149098610973454</v>
      </c>
      <c r="U68" s="208">
        <f t="shared" ca="1" si="74"/>
        <v>91.431900976446798</v>
      </c>
      <c r="V68" s="208">
        <f t="shared" ca="1" si="74"/>
        <v>94.463291655120031</v>
      </c>
    </row>
    <row r="69" spans="3:22">
      <c r="C69" s="200" t="s">
        <v>0</v>
      </c>
      <c r="D69" s="199"/>
      <c r="E69" s="201"/>
      <c r="F69" s="211" t="str">
        <f t="shared" ref="F69" si="75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6">IF(ISERROR(I68/H68-1),"n.a.",I68/H68-1)</f>
        <v>-8.7573964497041468E-2</v>
      </c>
      <c r="J69" s="211">
        <f t="shared" si="76"/>
        <v>-3.2425421530479892E-2</v>
      </c>
      <c r="K69" s="211">
        <f t="shared" si="76"/>
        <v>-0.16621983914209104</v>
      </c>
      <c r="L69" s="211">
        <f t="shared" si="76"/>
        <v>-6.723481892381622E-2</v>
      </c>
      <c r="M69" s="211">
        <f t="shared" si="76"/>
        <v>-0.10079601634047408</v>
      </c>
      <c r="N69" s="211">
        <f t="shared" si="76"/>
        <v>0.23828760399418525</v>
      </c>
      <c r="O69" s="211">
        <f t="shared" si="76"/>
        <v>0.12327765525198209</v>
      </c>
      <c r="P69" s="211">
        <f t="shared" si="76"/>
        <v>2.7949930449600036E-3</v>
      </c>
      <c r="Q69" s="211">
        <f t="shared" ca="1" si="76"/>
        <v>5.7078818667276598E-2</v>
      </c>
      <c r="R69" s="211">
        <f t="shared" ca="1" si="76"/>
        <v>5.1457369794597474E-2</v>
      </c>
      <c r="S69" s="211">
        <f t="shared" ca="1" si="76"/>
        <v>4.6331941578751534E-2</v>
      </c>
      <c r="T69" s="211">
        <f t="shared" ca="1" si="76"/>
        <v>4.1615939784232614E-2</v>
      </c>
      <c r="U69" s="211">
        <f t="shared" ca="1" si="76"/>
        <v>3.7241474016215026E-2</v>
      </c>
      <c r="V69" s="211">
        <f t="shared" ca="1" si="76"/>
        <v>3.3154628158219346E-2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77">G68/G$60</f>
        <v>8.4187481341427006E-2</v>
      </c>
      <c r="H70" s="313">
        <f>H68/H$60</f>
        <v>8.272148800783162E-2</v>
      </c>
      <c r="I70" s="313">
        <f t="shared" ref="I70:V70" si="78">I68/I$60</f>
        <v>7.0410958904109588E-2</v>
      </c>
      <c r="J70" s="313">
        <f t="shared" si="78"/>
        <v>6.5721081843009427E-2</v>
      </c>
      <c r="K70" s="313">
        <f t="shared" si="78"/>
        <v>5.4628491129457238E-2</v>
      </c>
      <c r="L70" s="313">
        <f t="shared" si="78"/>
        <v>5.0484178941060394E-2</v>
      </c>
      <c r="M70" s="313">
        <f t="shared" si="78"/>
        <v>4.1548857977843988E-2</v>
      </c>
      <c r="N70" s="313">
        <f t="shared" si="78"/>
        <v>4.7717310293172235E-2</v>
      </c>
      <c r="O70" s="313">
        <f t="shared" si="78"/>
        <v>5.0149707756228443E-2</v>
      </c>
      <c r="P70" s="313">
        <f t="shared" si="78"/>
        <v>5.0441696281252384E-2</v>
      </c>
      <c r="Q70" s="313">
        <f t="shared" ca="1" si="78"/>
        <v>5.2275341878980225E-2</v>
      </c>
      <c r="R70" s="313">
        <f t="shared" ca="1" si="78"/>
        <v>5.3993412060104044E-2</v>
      </c>
      <c r="S70" s="313">
        <f t="shared" ca="1" si="78"/>
        <v>5.5605346135147865E-2</v>
      </c>
      <c r="T70" s="313">
        <f t="shared" ca="1" si="78"/>
        <v>5.7119738532139641E-2</v>
      </c>
      <c r="U70" s="313">
        <f t="shared" ca="1" si="78"/>
        <v>5.8544428646736479E-2</v>
      </c>
      <c r="V70" s="313">
        <f t="shared" ca="1" si="78"/>
        <v>5.988658159332122E-2</v>
      </c>
    </row>
    <row r="71" spans="3:22">
      <c r="C71" s="199" t="s">
        <v>3</v>
      </c>
      <c r="D71" s="199"/>
      <c r="E71" s="199"/>
      <c r="F71" s="210">
        <f t="shared" ref="F71:V71" si="79">F15</f>
        <v>101.1</v>
      </c>
      <c r="G71" s="210">
        <f t="shared" si="79"/>
        <v>109.9</v>
      </c>
      <c r="H71" s="210">
        <f t="shared" si="79"/>
        <v>114.6</v>
      </c>
      <c r="I71" s="210">
        <f t="shared" si="79"/>
        <v>108.7</v>
      </c>
      <c r="J71" s="210">
        <f t="shared" si="79"/>
        <v>109.5</v>
      </c>
      <c r="K71" s="210">
        <f t="shared" si="79"/>
        <v>98.2</v>
      </c>
      <c r="L71" s="210">
        <f t="shared" si="79"/>
        <v>94.147209662938664</v>
      </c>
      <c r="M71" s="210">
        <f t="shared" si="79"/>
        <v>92.625305088518957</v>
      </c>
      <c r="N71" s="210">
        <f t="shared" si="79"/>
        <v>111.79673623719195</v>
      </c>
      <c r="O71" s="210">
        <f t="shared" si="79"/>
        <v>124.39494101920255</v>
      </c>
      <c r="P71" s="210">
        <f t="shared" si="79"/>
        <v>127.56812935492377</v>
      </c>
      <c r="Q71" s="210">
        <f t="shared" ca="1" si="79"/>
        <v>130.50500120625895</v>
      </c>
      <c r="R71" s="210">
        <f t="shared" ca="1" si="79"/>
        <v>133.24653965896459</v>
      </c>
      <c r="S71" s="210">
        <f t="shared" ca="1" si="79"/>
        <v>135.77721189939695</v>
      </c>
      <c r="T71" s="210">
        <f t="shared" ca="1" si="79"/>
        <v>138.08240265835985</v>
      </c>
      <c r="U71" s="210">
        <f t="shared" ca="1" si="79"/>
        <v>140.14855300014</v>
      </c>
      <c r="V71" s="210">
        <f t="shared" ca="1" si="79"/>
        <v>141.96329165512003</v>
      </c>
    </row>
    <row r="72" spans="3:22">
      <c r="C72" s="203" t="s">
        <v>7</v>
      </c>
      <c r="D72" s="203"/>
      <c r="E72" s="204"/>
      <c r="F72" s="208">
        <f t="shared" ref="F72:V72" si="80">F40</f>
        <v>-30.4</v>
      </c>
      <c r="G72" s="208">
        <f t="shared" si="80"/>
        <v>-37.5</v>
      </c>
      <c r="H72" s="208">
        <f t="shared" si="80"/>
        <v>-40.299999999999997</v>
      </c>
      <c r="I72" s="208">
        <f t="shared" si="80"/>
        <v>-36.1</v>
      </c>
      <c r="J72" s="208">
        <f t="shared" si="80"/>
        <v>-37.299999999999997</v>
      </c>
      <c r="K72" s="208">
        <f t="shared" si="80"/>
        <v>-31</v>
      </c>
      <c r="L72" s="208">
        <f t="shared" si="80"/>
        <v>-36</v>
      </c>
      <c r="M72" s="208">
        <f t="shared" si="80"/>
        <v>-51</v>
      </c>
      <c r="N72" s="208">
        <f t="shared" si="80"/>
        <v>-50</v>
      </c>
      <c r="O72" s="208">
        <f t="shared" si="80"/>
        <v>-50</v>
      </c>
      <c r="P72" s="208">
        <f t="shared" si="80"/>
        <v>-50</v>
      </c>
      <c r="Q72" s="208">
        <f t="shared" si="80"/>
        <v>-50</v>
      </c>
      <c r="R72" s="208">
        <f t="shared" si="80"/>
        <v>-50</v>
      </c>
      <c r="S72" s="208">
        <f t="shared" si="80"/>
        <v>-50</v>
      </c>
      <c r="T72" s="208">
        <f t="shared" si="80"/>
        <v>-50</v>
      </c>
      <c r="U72" s="208">
        <f t="shared" si="80"/>
        <v>-50</v>
      </c>
      <c r="V72" s="208">
        <f t="shared" si="80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1">IF(ISERROR(-G72/G$60),"n.a.",-G72/G$60)</f>
        <v>3.7317145984675094E-2</v>
      </c>
      <c r="H73" s="209">
        <f t="shared" si="81"/>
        <v>3.9451786588350461E-2</v>
      </c>
      <c r="I73" s="209">
        <f t="shared" si="81"/>
        <v>3.2968036529680368E-2</v>
      </c>
      <c r="J73" s="209">
        <f t="shared" si="81"/>
        <v>3.2860540921504713E-2</v>
      </c>
      <c r="K73" s="209">
        <f t="shared" si="81"/>
        <v>2.7226418408571932E-2</v>
      </c>
      <c r="L73" s="209">
        <f t="shared" si="81"/>
        <v>3.1325289075688233E-2</v>
      </c>
      <c r="M73" s="209">
        <f t="shared" si="81"/>
        <v>4.0617045948380379E-2</v>
      </c>
      <c r="N73" s="209">
        <f t="shared" si="81"/>
        <v>3.6932057370415751E-2</v>
      </c>
      <c r="O73" s="209">
        <f t="shared" si="81"/>
        <v>3.4554835728332456E-2</v>
      </c>
      <c r="P73" s="209">
        <f t="shared" si="81"/>
        <v>3.4659153551726836E-2</v>
      </c>
      <c r="Q73" s="209">
        <f t="shared" si="81"/>
        <v>3.3979562305614552E-2</v>
      </c>
      <c r="R73" s="209">
        <f t="shared" ca="1" si="81"/>
        <v>3.3378744897460261E-2</v>
      </c>
      <c r="S73" s="209">
        <f t="shared" ca="1" si="81"/>
        <v>3.2853095371516004E-2</v>
      </c>
      <c r="T73" s="209">
        <f t="shared" ca="1" si="81"/>
        <v>3.239950233877318E-2</v>
      </c>
      <c r="U73" s="209">
        <f t="shared" ca="1" si="81"/>
        <v>3.2015318516574284E-2</v>
      </c>
      <c r="V73" s="209">
        <f t="shared" ca="1" si="81"/>
        <v>3.1698335164925033E-2</v>
      </c>
    </row>
    <row r="74" spans="3:22">
      <c r="C74" s="199" t="s">
        <v>75</v>
      </c>
      <c r="D74" s="199"/>
      <c r="E74" s="201"/>
      <c r="F74" s="210">
        <f t="shared" ref="F74:V74" si="82">F45</f>
        <v>-5.3000000000000007</v>
      </c>
      <c r="G74" s="210">
        <f t="shared" si="82"/>
        <v>25.099999999999998</v>
      </c>
      <c r="H74" s="210">
        <f t="shared" si="82"/>
        <v>-11.2</v>
      </c>
      <c r="I74" s="210">
        <f t="shared" si="82"/>
        <v>-16.300000000000004</v>
      </c>
      <c r="J74" s="210">
        <f t="shared" si="82"/>
        <v>-12.6</v>
      </c>
      <c r="K74" s="210">
        <f t="shared" si="82"/>
        <v>-10.399999999999999</v>
      </c>
      <c r="L74" s="210">
        <f t="shared" si="82"/>
        <v>6</v>
      </c>
      <c r="M74" s="210">
        <f t="shared" si="82"/>
        <v>16.111954440903407</v>
      </c>
      <c r="N74" s="210">
        <f t="shared" si="82"/>
        <v>15.168892666804709</v>
      </c>
      <c r="O74" s="210">
        <f t="shared" si="82"/>
        <v>11.110216900668604</v>
      </c>
      <c r="P74" s="210">
        <f t="shared" si="82"/>
        <v>3.9548595532390358</v>
      </c>
      <c r="Q74" s="210">
        <f t="shared" si="82"/>
        <v>0</v>
      </c>
      <c r="R74" s="210">
        <f t="shared" ca="1" si="82"/>
        <v>0</v>
      </c>
      <c r="S74" s="210">
        <f t="shared" ca="1" si="82"/>
        <v>0</v>
      </c>
      <c r="T74" s="210">
        <f t="shared" ca="1" si="82"/>
        <v>0</v>
      </c>
      <c r="U74" s="210">
        <f t="shared" ca="1" si="82"/>
        <v>0</v>
      </c>
      <c r="V74" s="210">
        <f t="shared" ca="1" si="82"/>
        <v>0</v>
      </c>
    </row>
    <row r="75" spans="3:22">
      <c r="C75" s="200" t="s">
        <v>135</v>
      </c>
      <c r="D75" s="199"/>
      <c r="E75" s="201"/>
      <c r="F75" s="211">
        <f t="shared" ref="F75:V75" si="83">+F74/F60</f>
        <v>-5.6400979035862511E-3</v>
      </c>
      <c r="G75" s="211">
        <f t="shared" si="83"/>
        <v>2.4977609712409192E-2</v>
      </c>
      <c r="H75" s="211">
        <f t="shared" si="83"/>
        <v>-1.0964268232990699E-2</v>
      </c>
      <c r="I75" s="211">
        <f t="shared" si="83"/>
        <v>-1.4885844748858451E-2</v>
      </c>
      <c r="J75" s="211">
        <f t="shared" si="83"/>
        <v>-1.1100343582063256E-2</v>
      </c>
      <c r="K75" s="211">
        <f t="shared" si="83"/>
        <v>-9.1340242402950991E-3</v>
      </c>
      <c r="L75" s="211">
        <f t="shared" si="83"/>
        <v>5.2208815126147052E-3</v>
      </c>
      <c r="M75" s="211">
        <f t="shared" si="83"/>
        <v>1.2831764585184018E-2</v>
      </c>
      <c r="N75" s="211">
        <f t="shared" si="83"/>
        <v>1.1204368284322206E-2</v>
      </c>
      <c r="O75" s="211">
        <f t="shared" si="83"/>
        <v>7.6782343981749305E-3</v>
      </c>
      <c r="P75" s="211">
        <f t="shared" si="83"/>
        <v>2.741441690624511E-3</v>
      </c>
      <c r="Q75" s="211">
        <f t="shared" si="83"/>
        <v>0</v>
      </c>
      <c r="R75" s="211">
        <f t="shared" ca="1" si="83"/>
        <v>0</v>
      </c>
      <c r="S75" s="211">
        <f t="shared" ca="1" si="83"/>
        <v>0</v>
      </c>
      <c r="T75" s="211">
        <f t="shared" ca="1" si="83"/>
        <v>0</v>
      </c>
      <c r="U75" s="211">
        <f t="shared" ca="1" si="83"/>
        <v>0</v>
      </c>
      <c r="V75" s="211">
        <f t="shared" ca="1" si="83"/>
        <v>0</v>
      </c>
    </row>
    <row r="76" spans="3:22">
      <c r="C76" s="308" t="s">
        <v>130</v>
      </c>
      <c r="D76" s="199"/>
      <c r="E76" s="201"/>
      <c r="F76" s="210">
        <f t="shared" ref="F76:V76" si="84">+F49</f>
        <v>0</v>
      </c>
      <c r="G76" s="210">
        <f t="shared" si="84"/>
        <v>0</v>
      </c>
      <c r="H76" s="210">
        <f t="shared" si="84"/>
        <v>0</v>
      </c>
      <c r="I76" s="210">
        <f t="shared" si="84"/>
        <v>0</v>
      </c>
      <c r="J76" s="210">
        <f t="shared" si="84"/>
        <v>-1.5</v>
      </c>
      <c r="K76" s="210">
        <f t="shared" si="84"/>
        <v>0.74</v>
      </c>
      <c r="L76" s="210">
        <f t="shared" si="84"/>
        <v>0</v>
      </c>
      <c r="M76" s="210">
        <f t="shared" si="84"/>
        <v>0</v>
      </c>
      <c r="N76" s="210">
        <f t="shared" si="84"/>
        <v>-5</v>
      </c>
      <c r="O76" s="210">
        <f t="shared" si="84"/>
        <v>-5</v>
      </c>
      <c r="P76" s="210">
        <f t="shared" si="84"/>
        <v>-5</v>
      </c>
      <c r="Q76" s="210">
        <f t="shared" si="84"/>
        <v>-5</v>
      </c>
      <c r="R76" s="210">
        <f t="shared" si="84"/>
        <v>-5</v>
      </c>
      <c r="S76" s="210">
        <f t="shared" si="84"/>
        <v>-5</v>
      </c>
      <c r="T76" s="210">
        <f t="shared" si="84"/>
        <v>-5</v>
      </c>
      <c r="U76" s="210">
        <f t="shared" si="84"/>
        <v>-5</v>
      </c>
      <c r="V76" s="210">
        <f t="shared" si="84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5">IF(ISERROR(-G76/G$60),"n.a.",-G76/G$60)</f>
        <v>0</v>
      </c>
      <c r="H77" s="209">
        <f t="shared" si="85"/>
        <v>0</v>
      </c>
      <c r="I77" s="209">
        <f t="shared" si="85"/>
        <v>0</v>
      </c>
      <c r="J77" s="209">
        <f t="shared" si="85"/>
        <v>1.3214694740551493E-3</v>
      </c>
      <c r="K77" s="209">
        <f t="shared" si="85"/>
        <v>-6.4992095555945904E-4</v>
      </c>
      <c r="L77" s="209">
        <f t="shared" si="85"/>
        <v>0</v>
      </c>
      <c r="M77" s="209">
        <f t="shared" si="85"/>
        <v>0</v>
      </c>
      <c r="N77" s="209">
        <f t="shared" si="85"/>
        <v>3.6932057370415751E-3</v>
      </c>
      <c r="O77" s="209">
        <f t="shared" si="85"/>
        <v>3.4554835728332453E-3</v>
      </c>
      <c r="P77" s="209">
        <f t="shared" si="85"/>
        <v>3.4659153551726838E-3</v>
      </c>
      <c r="Q77" s="209">
        <f t="shared" si="85"/>
        <v>3.3979562305614551E-3</v>
      </c>
      <c r="R77" s="209">
        <f t="shared" ca="1" si="85"/>
        <v>3.3378744897460265E-3</v>
      </c>
      <c r="S77" s="209">
        <f t="shared" ca="1" si="85"/>
        <v>3.2853095371516007E-3</v>
      </c>
      <c r="T77" s="209">
        <f t="shared" ca="1" si="85"/>
        <v>3.2399502338773178E-3</v>
      </c>
      <c r="U77" s="209">
        <f t="shared" ca="1" si="85"/>
        <v>3.2015318516574287E-3</v>
      </c>
      <c r="V77" s="209">
        <f t="shared" ca="1" si="85"/>
        <v>3.1698335164925037E-3</v>
      </c>
    </row>
    <row r="78" spans="3:22">
      <c r="C78" s="308" t="s">
        <v>131</v>
      </c>
      <c r="D78" s="199"/>
      <c r="E78" s="201"/>
      <c r="F78" s="210">
        <f t="shared" ref="F78:V78" si="86">+F53</f>
        <v>0</v>
      </c>
      <c r="G78" s="210">
        <f t="shared" si="86"/>
        <v>0</v>
      </c>
      <c r="H78" s="210">
        <f t="shared" si="86"/>
        <v>0</v>
      </c>
      <c r="I78" s="210">
        <f t="shared" si="86"/>
        <v>0</v>
      </c>
      <c r="J78" s="210">
        <f t="shared" si="86"/>
        <v>0</v>
      </c>
      <c r="K78" s="210">
        <f t="shared" si="86"/>
        <v>0</v>
      </c>
      <c r="L78" s="210">
        <f t="shared" si="86"/>
        <v>0</v>
      </c>
      <c r="M78" s="210">
        <f t="shared" si="86"/>
        <v>-18.004468664734777</v>
      </c>
      <c r="N78" s="210">
        <f t="shared" si="86"/>
        <v>-6.7527180429793674</v>
      </c>
      <c r="O78" s="210">
        <f t="shared" si="86"/>
        <v>25.138454026318882</v>
      </c>
      <c r="P78" s="210">
        <f t="shared" si="86"/>
        <v>-4.8650405710493061</v>
      </c>
      <c r="Q78" s="210">
        <f t="shared" si="86"/>
        <v>0</v>
      </c>
      <c r="R78" s="210">
        <f t="shared" si="86"/>
        <v>0</v>
      </c>
      <c r="S78" s="210">
        <f t="shared" si="86"/>
        <v>0</v>
      </c>
      <c r="T78" s="210">
        <f t="shared" si="86"/>
        <v>0</v>
      </c>
      <c r="U78" s="210">
        <f t="shared" si="86"/>
        <v>0</v>
      </c>
      <c r="V78" s="210">
        <f t="shared" si="86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87">IF(ISERROR(-G78/G$60),"n.a.",-G78/G$60)</f>
        <v>0</v>
      </c>
      <c r="H79" s="318">
        <f t="shared" si="87"/>
        <v>0</v>
      </c>
      <c r="I79" s="318">
        <f t="shared" si="87"/>
        <v>0</v>
      </c>
      <c r="J79" s="318">
        <f t="shared" si="87"/>
        <v>0</v>
      </c>
      <c r="K79" s="318">
        <f t="shared" si="87"/>
        <v>0</v>
      </c>
      <c r="L79" s="318">
        <f t="shared" si="87"/>
        <v>0</v>
      </c>
      <c r="M79" s="318">
        <f t="shared" si="87"/>
        <v>1.433898688297465E-2</v>
      </c>
      <c r="N79" s="318">
        <f t="shared" si="87"/>
        <v>4.9878354033911108E-3</v>
      </c>
      <c r="O79" s="318">
        <f t="shared" si="87"/>
        <v>-1.737310298687373E-2</v>
      </c>
      <c r="P79" s="318">
        <f t="shared" si="87"/>
        <v>3.3723637637475745E-3</v>
      </c>
      <c r="Q79" s="318">
        <f t="shared" si="87"/>
        <v>0</v>
      </c>
      <c r="R79" s="318">
        <f t="shared" ca="1" si="87"/>
        <v>0</v>
      </c>
      <c r="S79" s="318">
        <f t="shared" ca="1" si="87"/>
        <v>0</v>
      </c>
      <c r="T79" s="318">
        <f t="shared" ca="1" si="87"/>
        <v>0</v>
      </c>
      <c r="U79" s="318">
        <f t="shared" ca="1" si="87"/>
        <v>0</v>
      </c>
      <c r="V79" s="318">
        <f t="shared" ca="1" si="87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7" zoomScale="76" zoomScaleNormal="76" zoomScaleSheetLayoutView="100" workbookViewId="0">
      <selection activeCell="F34" sqref="F34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2" customHeight="1">
      <c r="D2" s="34"/>
    </row>
    <row r="3" spans="4:21" ht="21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75" customHeight="1">
      <c r="D7" t="s">
        <v>9</v>
      </c>
      <c r="F7" s="111">
        <f>Assumptions!D12</f>
        <v>43921</v>
      </c>
      <c r="S7" s="304"/>
      <c r="T7" s="304"/>
    </row>
    <row r="8" spans="4:21" ht="12.75" customHeight="1">
      <c r="D8" t="s">
        <v>31</v>
      </c>
      <c r="F8" s="112">
        <f>EDATE(F7,12)</f>
        <v>44286</v>
      </c>
      <c r="S8" s="304"/>
      <c r="T8" s="304"/>
    </row>
    <row r="9" spans="4:21" ht="12.75" customHeight="1">
      <c r="D9" t="s">
        <v>32</v>
      </c>
      <c r="F9" s="330">
        <v>5.0000000000000001E-3</v>
      </c>
      <c r="H9" s="331" t="s">
        <v>160</v>
      </c>
      <c r="I9" s="331"/>
      <c r="J9" s="331"/>
      <c r="K9" s="331"/>
      <c r="S9" s="304"/>
      <c r="T9" s="304"/>
    </row>
    <row r="10" spans="4:21" ht="12.75" customHeight="1">
      <c r="D10" t="s">
        <v>33</v>
      </c>
      <c r="F10" s="335" t="s">
        <v>163</v>
      </c>
      <c r="S10" s="304"/>
      <c r="T10" s="304"/>
    </row>
    <row r="11" spans="4:21" ht="12.75" customHeight="1">
      <c r="D11" t="s">
        <v>34</v>
      </c>
      <c r="F11" s="334">
        <v>8.5000000000000006E-2</v>
      </c>
    </row>
    <row r="12" spans="4:21" ht="12.75" customHeight="1">
      <c r="F12" s="52"/>
    </row>
    <row r="13" spans="4:21" ht="12.75" customHeight="1">
      <c r="H13" s="331" t="s">
        <v>161</v>
      </c>
      <c r="I13" s="331"/>
      <c r="J13" s="331"/>
      <c r="K13" s="331"/>
    </row>
    <row r="14" spans="4:21" ht="12.7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07">
        <v>1095</v>
      </c>
      <c r="G24" s="107">
        <v>1135.0999999999999</v>
      </c>
      <c r="H24" s="107">
        <v>1138.5999999999999</v>
      </c>
      <c r="I24" s="104">
        <f>H24*(1+I26)</f>
        <v>1138.5999999999999</v>
      </c>
      <c r="J24" s="104">
        <f t="shared" ref="J24:S24" si="4">I24*(1+J26)</f>
        <v>1138.5999999999999</v>
      </c>
      <c r="K24" s="104">
        <f t="shared" si="4"/>
        <v>1138.5999999999999</v>
      </c>
      <c r="L24" s="104">
        <f t="shared" si="4"/>
        <v>1138.5999999999999</v>
      </c>
      <c r="M24" s="104">
        <f t="shared" si="4"/>
        <v>1138.5999999999999</v>
      </c>
      <c r="N24" s="104">
        <f t="shared" si="4"/>
        <v>1138.5999999999999</v>
      </c>
      <c r="O24" s="104">
        <f t="shared" si="4"/>
        <v>1138.5999999999999</v>
      </c>
      <c r="P24" s="104">
        <f t="shared" si="4"/>
        <v>1138.5999999999999</v>
      </c>
      <c r="Q24" s="104">
        <f t="shared" si="4"/>
        <v>1138.5999999999999</v>
      </c>
      <c r="R24" s="104">
        <f t="shared" si="4"/>
        <v>1138.5999999999999</v>
      </c>
      <c r="S24" s="104">
        <f t="shared" si="4"/>
        <v>1138.5999999999999</v>
      </c>
      <c r="T24" s="129"/>
    </row>
    <row r="25" spans="3:21">
      <c r="C25" s="53"/>
      <c r="D25" s="53" t="s">
        <v>0</v>
      </c>
      <c r="E25" s="53"/>
      <c r="F25" s="53"/>
      <c r="G25" s="253">
        <f t="shared" ref="G25:H25" si="5">IF(ISERROR(G24/F24-1),"n.a.",(G24/F24-1))</f>
        <v>3.6621004566209869E-2</v>
      </c>
      <c r="H25" s="254">
        <f t="shared" si="5"/>
        <v>3.0834287727954379E-3</v>
      </c>
      <c r="I25" s="54">
        <f>IF(ISERROR(I24/G24-1),"n.a.",(I24/G24-1))</f>
        <v>3.0834287727954379E-3</v>
      </c>
      <c r="J25" s="54">
        <f t="shared" ref="J25:S25" si="6">IF(ISERROR(J24/I24-1),"n.a.",(J24/I24-1))</f>
        <v>0</v>
      </c>
      <c r="K25" s="54">
        <f t="shared" si="6"/>
        <v>0</v>
      </c>
      <c r="L25" s="54">
        <f t="shared" si="6"/>
        <v>0</v>
      </c>
      <c r="M25" s="54">
        <f t="shared" si="6"/>
        <v>0</v>
      </c>
      <c r="N25" s="54">
        <f t="shared" si="6"/>
        <v>0</v>
      </c>
      <c r="O25" s="54">
        <f t="shared" si="6"/>
        <v>0</v>
      </c>
      <c r="P25" s="54">
        <f t="shared" si="6"/>
        <v>0</v>
      </c>
      <c r="Q25" s="54">
        <f t="shared" si="6"/>
        <v>0</v>
      </c>
      <c r="R25" s="54">
        <f t="shared" si="6"/>
        <v>0</v>
      </c>
      <c r="S25" s="54">
        <f t="shared" si="6"/>
        <v>0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107">
        <v>108.7</v>
      </c>
      <c r="G27" s="107">
        <v>109.5</v>
      </c>
      <c r="H27" s="107">
        <v>98.2</v>
      </c>
      <c r="I27" s="336">
        <v>94.147209662938664</v>
      </c>
      <c r="J27" s="336">
        <v>92.625305088518957</v>
      </c>
      <c r="K27" s="336">
        <v>111.79673623719195</v>
      </c>
      <c r="L27" s="336">
        <v>124.39494101920255</v>
      </c>
      <c r="M27" s="336">
        <v>127.56812935492377</v>
      </c>
      <c r="N27" s="336">
        <v>130.50500120625895</v>
      </c>
      <c r="O27" s="336">
        <v>133.24653965896459</v>
      </c>
      <c r="P27" s="336">
        <v>135.77721189939695</v>
      </c>
      <c r="Q27" s="336">
        <v>138.08240265835985</v>
      </c>
      <c r="R27" s="336">
        <v>140.14855300014</v>
      </c>
      <c r="S27" s="336">
        <v>141.96329165512003</v>
      </c>
      <c r="T27" s="129"/>
    </row>
    <row r="28" spans="3:21">
      <c r="C28" s="53"/>
      <c r="D28" s="53" t="s">
        <v>1</v>
      </c>
      <c r="E28" s="53"/>
      <c r="F28" s="54">
        <f t="shared" ref="F28:G28" si="7">IF(ISERROR(F27/F$24),"n.a.",(F27/F$24))</f>
        <v>9.9269406392694062E-2</v>
      </c>
      <c r="G28" s="54">
        <f t="shared" si="7"/>
        <v>9.6467271606025903E-2</v>
      </c>
      <c r="H28" s="73">
        <f t="shared" ref="H28" si="8">IF(ISERROR(H27/H$24),"n.a.",(H27/H$24))</f>
        <v>8.6246267345863353E-2</v>
      </c>
      <c r="I28" s="54">
        <f t="shared" ref="I28:R28" si="9">IF(ISERROR(I27/I$24),"n.a.",(I27/I$24))</f>
        <v>8.2686816847829497E-2</v>
      </c>
      <c r="J28" s="54">
        <f t="shared" si="9"/>
        <v>8.1350171340698191E-2</v>
      </c>
      <c r="K28" s="54">
        <f t="shared" si="9"/>
        <v>9.8187894113114321E-2</v>
      </c>
      <c r="L28" s="54">
        <f t="shared" si="9"/>
        <v>0.10925253909994954</v>
      </c>
      <c r="M28" s="54">
        <f t="shared" si="9"/>
        <v>0.1120394601747091</v>
      </c>
      <c r="N28" s="54">
        <f t="shared" si="9"/>
        <v>0.11461883120170294</v>
      </c>
      <c r="O28" s="54">
        <f t="shared" si="9"/>
        <v>0.11702664645965624</v>
      </c>
      <c r="P28" s="54">
        <f t="shared" si="9"/>
        <v>0.11924926392007462</v>
      </c>
      <c r="Q28" s="54">
        <f t="shared" si="9"/>
        <v>0.12127384740765841</v>
      </c>
      <c r="R28" s="54">
        <f t="shared" si="9"/>
        <v>0.12308848849476552</v>
      </c>
      <c r="S28" s="54">
        <f t="shared" ref="S28" si="10">IF(ISERROR(S27/S$24),"n.a.",(S27/S$24))</f>
        <v>0.12468232184711052</v>
      </c>
      <c r="T28" s="54"/>
    </row>
    <row r="29" spans="3:21">
      <c r="C29" s="53"/>
      <c r="D29" s="53" t="s">
        <v>0</v>
      </c>
      <c r="E29" s="53"/>
      <c r="F29" s="53"/>
      <c r="G29" s="253">
        <f>IF(ISERROR(G27/F27-1),"n.a.",(G27/F27-1))</f>
        <v>7.3597056117755688E-3</v>
      </c>
      <c r="H29" s="254">
        <f>IF(ISERROR(H27/G27-1),"n.a.",(H27/G27-1))</f>
        <v>-0.10319634703196345</v>
      </c>
      <c r="I29" s="54">
        <f t="shared" ref="I29:S29" si="11">IF(ISERROR(I27/H27-1),"n.a.",(I27/H27-1))</f>
        <v>-4.1270777363150102E-2</v>
      </c>
      <c r="J29" s="54">
        <f t="shared" si="11"/>
        <v>-1.6165158583757888E-2</v>
      </c>
      <c r="K29" s="54">
        <f t="shared" si="11"/>
        <v>0.20697833200496873</v>
      </c>
      <c r="L29" s="54">
        <f t="shared" si="11"/>
        <v>0.1126884845303695</v>
      </c>
      <c r="M29" s="54">
        <f t="shared" si="11"/>
        <v>2.5508982195918906E-2</v>
      </c>
      <c r="N29" s="54">
        <f t="shared" si="11"/>
        <v>2.302198727994309E-2</v>
      </c>
      <c r="O29" s="54">
        <f t="shared" si="11"/>
        <v>2.1007152426079978E-2</v>
      </c>
      <c r="P29" s="54">
        <f t="shared" si="11"/>
        <v>1.8992404957828057E-2</v>
      </c>
      <c r="Q29" s="54">
        <f t="shared" si="11"/>
        <v>1.6977744105328485E-2</v>
      </c>
      <c r="R29" s="54">
        <f t="shared" si="11"/>
        <v>1.4963169107740315E-2</v>
      </c>
      <c r="S29" s="54">
        <f t="shared" si="11"/>
        <v>1.2948679213107717E-2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2">
        <v>-31.600000000000009</v>
      </c>
      <c r="G31" s="332">
        <v>-34.900000000000006</v>
      </c>
      <c r="H31" s="333">
        <v>-36</v>
      </c>
      <c r="I31" s="332">
        <v>-36.129215400000028</v>
      </c>
      <c r="J31" s="332">
        <v>-40.455293523349013</v>
      </c>
      <c r="K31" s="332">
        <v>-47.195257615808735</v>
      </c>
      <c r="L31" s="332">
        <v>-51.829543587564167</v>
      </c>
      <c r="M31" s="332">
        <v>-54.799912142159194</v>
      </c>
      <c r="N31" s="332">
        <v>-53.583260118465994</v>
      </c>
      <c r="O31" s="332">
        <v>-52.366608094772801</v>
      </c>
      <c r="P31" s="332">
        <v>-51.149956071079608</v>
      </c>
      <c r="Q31" s="332">
        <v>-49.933304047386407</v>
      </c>
      <c r="R31" s="332">
        <v>-48.7166520236932</v>
      </c>
      <c r="S31" s="332">
        <v>-47.5</v>
      </c>
      <c r="T31" s="129"/>
    </row>
    <row r="32" spans="3:21">
      <c r="C32" s="53"/>
      <c r="D32" s="53" t="s">
        <v>24</v>
      </c>
      <c r="E32" s="53"/>
      <c r="F32" s="54">
        <f t="shared" ref="F32:G32" si="12">IF(ISERROR(-F31/F$24),"n.a.",(-F31/F$24))</f>
        <v>2.8858447488584484E-2</v>
      </c>
      <c r="G32" s="54">
        <f t="shared" si="12"/>
        <v>3.0746189763016483E-2</v>
      </c>
      <c r="H32" s="73">
        <f t="shared" ref="H32" si="13">IF(ISERROR(-H31/H$24),"n.a.",(-H31/H$24))</f>
        <v>3.1617776216406115E-2</v>
      </c>
      <c r="I32" s="54">
        <f t="shared" ref="I32:R32" si="14">IF(ISERROR(-I31/I$24),"n.a.",(-I31/I$24))</f>
        <v>3.1731262427542622E-2</v>
      </c>
      <c r="J32" s="54">
        <f t="shared" si="14"/>
        <v>3.5530733816396466E-2</v>
      </c>
      <c r="K32" s="54">
        <f t="shared" si="14"/>
        <v>4.1450252604785472E-2</v>
      </c>
      <c r="L32" s="54">
        <f t="shared" si="14"/>
        <v>4.5520414181946398E-2</v>
      </c>
      <c r="M32" s="54">
        <f t="shared" si="14"/>
        <v>4.8129204410819602E-2</v>
      </c>
      <c r="N32" s="54">
        <f t="shared" si="14"/>
        <v>4.7060653538087124E-2</v>
      </c>
      <c r="O32" s="54">
        <f t="shared" si="14"/>
        <v>4.5992102665354653E-2</v>
      </c>
      <c r="P32" s="54">
        <f t="shared" si="14"/>
        <v>4.4923551792622175E-2</v>
      </c>
      <c r="Q32" s="54">
        <f t="shared" si="14"/>
        <v>4.3855000919889697E-2</v>
      </c>
      <c r="R32" s="54">
        <f t="shared" si="14"/>
        <v>4.2786450047157212E-2</v>
      </c>
      <c r="S32" s="54">
        <f t="shared" ref="S32" si="15">IF(ISERROR(-S31/S$24),"n.a.",(-S31/S$24))</f>
        <v>4.1717899174424734E-2</v>
      </c>
      <c r="T32" s="54"/>
    </row>
    <row r="33" spans="3:20">
      <c r="C33" s="53"/>
      <c r="D33" s="53" t="s">
        <v>37</v>
      </c>
      <c r="E33" s="53"/>
      <c r="F33" s="54">
        <f t="shared" ref="F33:G33" si="16">F31/F48</f>
        <v>0.87534626038781183</v>
      </c>
      <c r="G33" s="54">
        <f t="shared" si="16"/>
        <v>0.93565683646112618</v>
      </c>
      <c r="H33" s="73">
        <f t="shared" ref="H33" si="17">H31/H48</f>
        <v>1.1612903225806452</v>
      </c>
      <c r="I33" s="54">
        <f t="shared" ref="I33:R33" si="18">I31/I48</f>
        <v>1.0035893166666674</v>
      </c>
      <c r="J33" s="54">
        <f t="shared" si="18"/>
        <v>0.79324104947743168</v>
      </c>
      <c r="K33" s="54">
        <f t="shared" si="18"/>
        <v>0.94390515231617467</v>
      </c>
      <c r="L33" s="54">
        <f t="shared" si="18"/>
        <v>1.0365908717512833</v>
      </c>
      <c r="M33" s="54">
        <f t="shared" si="18"/>
        <v>1.0959982428431838</v>
      </c>
      <c r="N33" s="54">
        <f t="shared" si="18"/>
        <v>1.0716652023693198</v>
      </c>
      <c r="O33" s="54">
        <f t="shared" si="18"/>
        <v>1.0473321618954561</v>
      </c>
      <c r="P33" s="54">
        <f t="shared" si="18"/>
        <v>1.0229991214215921</v>
      </c>
      <c r="Q33" s="54">
        <f t="shared" si="18"/>
        <v>0.99866608094772813</v>
      </c>
      <c r="R33" s="54">
        <f t="shared" si="18"/>
        <v>0.97433304047386404</v>
      </c>
      <c r="S33" s="54">
        <f t="shared" ref="S33" si="19">S31/S48</f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20">G27+G31</f>
        <v>74.599999999999994</v>
      </c>
      <c r="H35" s="245">
        <f t="shared" si="20"/>
        <v>62.2</v>
      </c>
      <c r="I35" s="40">
        <f t="shared" ref="I35:R35" si="21">I27+I31</f>
        <v>58.017994262938636</v>
      </c>
      <c r="J35" s="40">
        <f t="shared" si="21"/>
        <v>52.170011565169943</v>
      </c>
      <c r="K35" s="40">
        <f t="shared" si="21"/>
        <v>64.601478621383222</v>
      </c>
      <c r="L35" s="40">
        <f t="shared" si="21"/>
        <v>72.565397431638388</v>
      </c>
      <c r="M35" s="40">
        <f t="shared" si="21"/>
        <v>72.768217212764569</v>
      </c>
      <c r="N35" s="40">
        <f t="shared" si="21"/>
        <v>76.921741087792952</v>
      </c>
      <c r="O35" s="40">
        <f t="shared" si="21"/>
        <v>80.879931564191793</v>
      </c>
      <c r="P35" s="40">
        <f t="shared" si="21"/>
        <v>84.627255828317345</v>
      </c>
      <c r="Q35" s="40">
        <f t="shared" si="21"/>
        <v>88.149098610973454</v>
      </c>
      <c r="R35" s="40">
        <f t="shared" si="21"/>
        <v>91.431900976446798</v>
      </c>
      <c r="S35" s="40">
        <f t="shared" ref="S35" si="22">S27+S31</f>
        <v>94.463291655120031</v>
      </c>
      <c r="T35" s="40"/>
    </row>
    <row r="36" spans="3:20">
      <c r="C36" s="53"/>
      <c r="D36" s="53" t="s">
        <v>1</v>
      </c>
      <c r="E36" s="53"/>
      <c r="F36" s="54">
        <f t="shared" ref="F36:G36" si="23">IF(ISERROR(F35/F$24),"n.a.",(F35/F$24))</f>
        <v>7.0410958904109588E-2</v>
      </c>
      <c r="G36" s="54">
        <f t="shared" si="23"/>
        <v>6.5721081843009427E-2</v>
      </c>
      <c r="H36" s="73">
        <f t="shared" ref="H36" si="24">IF(ISERROR(H35/H$24),"n.a.",(H35/H$24))</f>
        <v>5.4628491129457238E-2</v>
      </c>
      <c r="I36" s="54">
        <f t="shared" ref="I36:R36" si="25">IF(ISERROR(I35/I$24),"n.a.",(I35/I$24))</f>
        <v>5.0955554420286882E-2</v>
      </c>
      <c r="J36" s="54">
        <f t="shared" si="25"/>
        <v>4.5819437524301725E-2</v>
      </c>
      <c r="K36" s="54">
        <f t="shared" si="25"/>
        <v>5.673764150832885E-2</v>
      </c>
      <c r="L36" s="54">
        <f t="shared" si="25"/>
        <v>6.3732124918003161E-2</v>
      </c>
      <c r="M36" s="54">
        <f t="shared" si="25"/>
        <v>6.3910255763889492E-2</v>
      </c>
      <c r="N36" s="54">
        <f t="shared" si="25"/>
        <v>6.7558177663615812E-2</v>
      </c>
      <c r="O36" s="54">
        <f t="shared" si="25"/>
        <v>7.1034543794301602E-2</v>
      </c>
      <c r="P36" s="54">
        <f t="shared" si="25"/>
        <v>7.432571212745244E-2</v>
      </c>
      <c r="Q36" s="54">
        <f t="shared" si="25"/>
        <v>7.7418846487768714E-2</v>
      </c>
      <c r="R36" s="54">
        <f t="shared" si="25"/>
        <v>8.030203844760829E-2</v>
      </c>
      <c r="S36" s="54">
        <f t="shared" ref="S36" si="26">IF(ISERROR(S35/S$24),"n.a.",(S35/S$24))</f>
        <v>8.2964422672685792E-2</v>
      </c>
      <c r="T36" s="54"/>
    </row>
    <row r="37" spans="3:20">
      <c r="C37" s="53"/>
      <c r="D37" s="53" t="s">
        <v>0</v>
      </c>
      <c r="E37" s="53"/>
      <c r="F37" s="53"/>
      <c r="G37" s="253">
        <f>IF(ISERROR(G35/F35-1),"n.a.",(G35/F35-1))</f>
        <v>-3.2425421530479892E-2</v>
      </c>
      <c r="H37" s="254">
        <f t="shared" ref="H37:S37" si="27">IF(ISERROR(H35/G35-1),"n.a.",(H35/G35-1))</f>
        <v>-0.16621983914209104</v>
      </c>
      <c r="I37" s="54">
        <f t="shared" si="27"/>
        <v>-6.723481892381622E-2</v>
      </c>
      <c r="J37" s="54">
        <f t="shared" si="27"/>
        <v>-0.10079601634047408</v>
      </c>
      <c r="K37" s="54">
        <f t="shared" si="27"/>
        <v>0.23828760399418525</v>
      </c>
      <c r="L37" s="54">
        <f t="shared" si="27"/>
        <v>0.12327765525198209</v>
      </c>
      <c r="M37" s="54">
        <f t="shared" si="27"/>
        <v>2.7949930449600036E-3</v>
      </c>
      <c r="N37" s="54">
        <f t="shared" si="27"/>
        <v>5.7078818667276598E-2</v>
      </c>
      <c r="O37" s="54">
        <f t="shared" si="27"/>
        <v>5.1457369794597474E-2</v>
      </c>
      <c r="P37" s="54">
        <f t="shared" si="27"/>
        <v>4.6331941578751534E-2</v>
      </c>
      <c r="Q37" s="54">
        <f t="shared" si="27"/>
        <v>4.1615939784232614E-2</v>
      </c>
      <c r="R37" s="54">
        <f t="shared" si="27"/>
        <v>3.7241474016215026E-2</v>
      </c>
      <c r="S37" s="54">
        <f t="shared" si="27"/>
        <v>3.3154628158219346E-2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2">
        <f t="shared" ref="I39:R39" si="28">-I35*I40</f>
        <v>-11.023418909958341</v>
      </c>
      <c r="J39" s="2">
        <f t="shared" si="28"/>
        <v>-8.8689019660788908</v>
      </c>
      <c r="K39" s="2">
        <f t="shared" si="28"/>
        <v>-10.982251365635149</v>
      </c>
      <c r="L39" s="2">
        <f t="shared" si="28"/>
        <v>-12.336117563378528</v>
      </c>
      <c r="M39" s="2">
        <f t="shared" si="28"/>
        <v>-12.370596926169977</v>
      </c>
      <c r="N39" s="2">
        <f t="shared" si="28"/>
        <v>-13.076695984924802</v>
      </c>
      <c r="O39" s="2">
        <f t="shared" si="28"/>
        <v>-13.749588365912606</v>
      </c>
      <c r="P39" s="2">
        <f t="shared" si="28"/>
        <v>-14.386633490813949</v>
      </c>
      <c r="Q39" s="2">
        <f t="shared" si="28"/>
        <v>-14.985346763865488</v>
      </c>
      <c r="R39" s="2">
        <f t="shared" si="28"/>
        <v>-15.543423165995957</v>
      </c>
      <c r="S39" s="2">
        <f t="shared" ref="S39" si="29">-S35*S40</f>
        <v>-16.058759581370406</v>
      </c>
      <c r="T39" s="2"/>
    </row>
    <row r="40" spans="3:20">
      <c r="C40" s="53"/>
      <c r="D40" s="53" t="s">
        <v>6</v>
      </c>
      <c r="E40" s="53"/>
      <c r="F40" s="113"/>
      <c r="G40" s="113"/>
      <c r="H40" s="247"/>
      <c r="I40" s="119">
        <v>0.19</v>
      </c>
      <c r="J40" s="119">
        <v>0.17</v>
      </c>
      <c r="K40" s="119">
        <v>0.17</v>
      </c>
      <c r="L40" s="119">
        <v>0.17</v>
      </c>
      <c r="M40" s="119">
        <v>0.17</v>
      </c>
      <c r="N40" s="119">
        <v>0.17</v>
      </c>
      <c r="O40" s="119">
        <v>0.17</v>
      </c>
      <c r="P40" s="119">
        <v>0.17</v>
      </c>
      <c r="Q40" s="119">
        <v>0.17</v>
      </c>
      <c r="R40" s="119">
        <v>0.17</v>
      </c>
      <c r="S40" s="119"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2">
        <f t="shared" ref="I42" si="30">I35+I39</f>
        <v>46.994575352980291</v>
      </c>
      <c r="J42" s="2">
        <f t="shared" ref="J42:R42" si="31">J35+J39</f>
        <v>43.301109599091049</v>
      </c>
      <c r="K42" s="40">
        <f t="shared" si="31"/>
        <v>53.619227255748072</v>
      </c>
      <c r="L42" s="2">
        <f t="shared" si="31"/>
        <v>60.229279868259859</v>
      </c>
      <c r="M42" s="2">
        <f t="shared" si="31"/>
        <v>60.397620286594588</v>
      </c>
      <c r="N42" s="2">
        <f t="shared" si="31"/>
        <v>63.845045102868148</v>
      </c>
      <c r="O42" s="2">
        <f t="shared" si="31"/>
        <v>67.130343198279192</v>
      </c>
      <c r="P42" s="2">
        <f t="shared" si="31"/>
        <v>70.240622337503396</v>
      </c>
      <c r="Q42" s="2">
        <f t="shared" si="31"/>
        <v>73.16375184710796</v>
      </c>
      <c r="R42" s="2">
        <f t="shared" si="31"/>
        <v>75.888477810450837</v>
      </c>
      <c r="S42" s="2">
        <f t="shared" ref="S42" si="32">S35+S39</f>
        <v>78.404532073749621</v>
      </c>
      <c r="T42" s="2"/>
    </row>
    <row r="43" spans="3:20">
      <c r="C43" s="53"/>
      <c r="D43" s="53" t="s">
        <v>1</v>
      </c>
      <c r="E43" s="53"/>
      <c r="F43" s="54"/>
      <c r="G43" s="54"/>
      <c r="H43" s="73"/>
      <c r="I43" s="54">
        <f t="shared" ref="I43" si="33">IF(ISERROR(I42/I$24),"n.a.",(I42/I$24))</f>
        <v>4.1273999080432368E-2</v>
      </c>
      <c r="J43" s="54">
        <f t="shared" ref="J43:R43" si="34">IF(ISERROR(J42/J$24),"n.a.",(J42/J$24))</f>
        <v>3.8030133145170432E-2</v>
      </c>
      <c r="K43" s="54">
        <f t="shared" si="34"/>
        <v>4.7092242451912944E-2</v>
      </c>
      <c r="L43" s="54">
        <f t="shared" si="34"/>
        <v>5.2897663681942618E-2</v>
      </c>
      <c r="M43" s="54">
        <f t="shared" si="34"/>
        <v>5.3045512284028276E-2</v>
      </c>
      <c r="N43" s="54">
        <f t="shared" si="34"/>
        <v>5.6073287460801119E-2</v>
      </c>
      <c r="O43" s="54">
        <f t="shared" si="34"/>
        <v>5.8958671349270332E-2</v>
      </c>
      <c r="P43" s="54">
        <f t="shared" si="34"/>
        <v>6.1690341065785526E-2</v>
      </c>
      <c r="Q43" s="54">
        <f t="shared" si="34"/>
        <v>6.4257642584848035E-2</v>
      </c>
      <c r="R43" s="54">
        <f t="shared" si="34"/>
        <v>6.6650691911514875E-2</v>
      </c>
      <c r="S43" s="54">
        <f t="shared" ref="S43" si="35">IF(ISERROR(S42/S$24),"n.a.",(S42/S$24))</f>
        <v>6.8860470818329203E-2</v>
      </c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19" t="str">
        <f t="shared" ref="I44:S44" si="36">IF(ISERROR(I42/H42-1),"n.a.",(I42/H42-1))</f>
        <v>n.a.</v>
      </c>
      <c r="J44" s="54">
        <f t="shared" si="36"/>
        <v>-7.8593448842708025E-2</v>
      </c>
      <c r="K44" s="54">
        <f t="shared" si="36"/>
        <v>0.23828760399418525</v>
      </c>
      <c r="L44" s="54">
        <f t="shared" si="36"/>
        <v>0.12327765525198209</v>
      </c>
      <c r="M44" s="54">
        <f t="shared" si="36"/>
        <v>2.7949930449600036E-3</v>
      </c>
      <c r="N44" s="54">
        <f t="shared" si="36"/>
        <v>5.7078818667276598E-2</v>
      </c>
      <c r="O44" s="54">
        <f t="shared" si="36"/>
        <v>5.1457369794597474E-2</v>
      </c>
      <c r="P44" s="54">
        <f t="shared" si="36"/>
        <v>4.6331941578751312E-2</v>
      </c>
      <c r="Q44" s="54">
        <f t="shared" si="36"/>
        <v>4.1615939784232614E-2</v>
      </c>
      <c r="R44" s="54">
        <f t="shared" si="36"/>
        <v>3.7241474016215026E-2</v>
      </c>
      <c r="S44" s="54">
        <f t="shared" si="36"/>
        <v>3.3154628158219346E-2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37">-I31</f>
        <v>36.129215400000028</v>
      </c>
      <c r="J46" s="2">
        <f t="shared" ref="J46:R46" si="38">-J31</f>
        <v>40.455293523349013</v>
      </c>
      <c r="K46" s="2">
        <f t="shared" si="38"/>
        <v>47.195257615808735</v>
      </c>
      <c r="L46" s="2">
        <f t="shared" si="38"/>
        <v>51.829543587564167</v>
      </c>
      <c r="M46" s="2">
        <f t="shared" si="38"/>
        <v>54.799912142159194</v>
      </c>
      <c r="N46" s="2">
        <f t="shared" si="38"/>
        <v>53.583260118465994</v>
      </c>
      <c r="O46" s="2">
        <f t="shared" si="38"/>
        <v>52.366608094772801</v>
      </c>
      <c r="P46" s="2">
        <f t="shared" si="38"/>
        <v>51.149956071079608</v>
      </c>
      <c r="Q46" s="2">
        <f t="shared" si="38"/>
        <v>49.933304047386407</v>
      </c>
      <c r="R46" s="2">
        <f t="shared" si="38"/>
        <v>48.7166520236932</v>
      </c>
      <c r="S46" s="2">
        <f t="shared" ref="S46" si="39">-S31</f>
        <v>47.5</v>
      </c>
      <c r="T46" s="2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141"/>
    </row>
    <row r="48" spans="3:20" s="53" customFormat="1">
      <c r="C48"/>
      <c r="D48" t="s">
        <v>7</v>
      </c>
      <c r="E48"/>
      <c r="F48" s="332">
        <v>-36.1</v>
      </c>
      <c r="G48" s="332">
        <v>-37.299999999999997</v>
      </c>
      <c r="H48" s="333">
        <v>-31</v>
      </c>
      <c r="I48" s="332">
        <v>-36</v>
      </c>
      <c r="J48" s="332">
        <v>-51</v>
      </c>
      <c r="K48" s="332">
        <v>-50</v>
      </c>
      <c r="L48" s="332">
        <v>-50</v>
      </c>
      <c r="M48" s="332">
        <v>-50</v>
      </c>
      <c r="N48" s="332">
        <v>-50</v>
      </c>
      <c r="O48" s="332">
        <v>-50</v>
      </c>
      <c r="P48" s="332">
        <v>-50</v>
      </c>
      <c r="Q48" s="332">
        <v>-50</v>
      </c>
      <c r="R48" s="332">
        <v>-50</v>
      </c>
      <c r="S48" s="332">
        <v>-50</v>
      </c>
      <c r="T48" s="129"/>
    </row>
    <row r="49" spans="3:20">
      <c r="C49" s="53"/>
      <c r="D49" s="53" t="s">
        <v>24</v>
      </c>
      <c r="E49" s="53"/>
      <c r="F49" s="54">
        <f t="shared" ref="F49:G49" si="40">IF(ISERROR(-F48/F$24),"n.a.",(-F48/F$24))</f>
        <v>3.2968036529680368E-2</v>
      </c>
      <c r="G49" s="54">
        <f t="shared" si="40"/>
        <v>3.2860540921504713E-2</v>
      </c>
      <c r="H49" s="73">
        <f t="shared" ref="H49" si="41">IF(ISERROR(-H48/H$24),"n.a.",(-H48/H$24))</f>
        <v>2.7226418408571932E-2</v>
      </c>
      <c r="I49" s="54">
        <f t="shared" ref="I49:R49" si="42">IF(ISERROR(-I48/I$24),"n.a.",(-I48/I$24))</f>
        <v>3.1617776216406115E-2</v>
      </c>
      <c r="J49" s="54">
        <f t="shared" si="42"/>
        <v>4.4791849639908662E-2</v>
      </c>
      <c r="K49" s="54">
        <f t="shared" si="42"/>
        <v>4.3913578078341828E-2</v>
      </c>
      <c r="L49" s="54">
        <f t="shared" si="42"/>
        <v>4.3913578078341828E-2</v>
      </c>
      <c r="M49" s="54">
        <f t="shared" si="42"/>
        <v>4.3913578078341828E-2</v>
      </c>
      <c r="N49" s="54">
        <f t="shared" si="42"/>
        <v>4.3913578078341828E-2</v>
      </c>
      <c r="O49" s="54">
        <f t="shared" si="42"/>
        <v>4.3913578078341828E-2</v>
      </c>
      <c r="P49" s="54">
        <f t="shared" si="42"/>
        <v>4.3913578078341828E-2</v>
      </c>
      <c r="Q49" s="54">
        <f t="shared" si="42"/>
        <v>4.3913578078341828E-2</v>
      </c>
      <c r="R49" s="54">
        <f t="shared" si="42"/>
        <v>4.3913578078341828E-2</v>
      </c>
      <c r="S49" s="54">
        <f t="shared" ref="S49" si="43">IF(ISERROR(-S48/S$24),"n.a.",(-S48/S$24))</f>
        <v>4.3913578078341828E-2</v>
      </c>
      <c r="T49" s="54"/>
    </row>
    <row r="50" spans="3:20">
      <c r="C50" s="53"/>
      <c r="D50" s="53" t="s">
        <v>27</v>
      </c>
      <c r="E50" s="53"/>
      <c r="F50" s="54">
        <f t="shared" ref="F50:G50" si="44">F48/F31</f>
        <v>1.1424050632911389</v>
      </c>
      <c r="G50" s="54">
        <f t="shared" si="44"/>
        <v>1.0687679083094552</v>
      </c>
      <c r="H50" s="73">
        <f t="shared" ref="H50" si="45">H48/H31</f>
        <v>0.86111111111111116</v>
      </c>
      <c r="I50" s="54">
        <f t="shared" ref="I50:R50" si="46">I48/I31</f>
        <v>0.99642352045098581</v>
      </c>
      <c r="J50" s="54">
        <f t="shared" si="46"/>
        <v>1.2606508458668098</v>
      </c>
      <c r="K50" s="54">
        <f t="shared" si="46"/>
        <v>1.0594284791710042</v>
      </c>
      <c r="L50" s="54">
        <f t="shared" si="46"/>
        <v>0.96470075827557278</v>
      </c>
      <c r="M50" s="54">
        <f t="shared" si="46"/>
        <v>0.91241022194146038</v>
      </c>
      <c r="N50" s="54">
        <f t="shared" si="46"/>
        <v>0.93312724700692251</v>
      </c>
      <c r="O50" s="54">
        <f t="shared" si="46"/>
        <v>0.95480692409006662</v>
      </c>
      <c r="P50" s="54">
        <f t="shared" si="46"/>
        <v>0.97751794606662823</v>
      </c>
      <c r="Q50" s="54">
        <f t="shared" si="46"/>
        <v>1.0013357007689758</v>
      </c>
      <c r="R50" s="54">
        <f t="shared" si="46"/>
        <v>1.0263431069869631</v>
      </c>
      <c r="S50" s="54">
        <f t="shared" ref="S50" si="47">S48/S31</f>
        <v>1.0526315789473684</v>
      </c>
      <c r="T50" s="54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3:20">
      <c r="D52" t="s">
        <v>39</v>
      </c>
      <c r="F52" s="332">
        <v>-16.300000000000004</v>
      </c>
      <c r="G52" s="332">
        <v>-12.6</v>
      </c>
      <c r="H52" s="333">
        <v>-10.399999999999999</v>
      </c>
      <c r="I52" s="332">
        <v>6</v>
      </c>
      <c r="J52" s="332">
        <v>16.111954440903407</v>
      </c>
      <c r="K52" s="332">
        <v>15.168892666804709</v>
      </c>
      <c r="L52" s="332">
        <v>11.110216900668604</v>
      </c>
      <c r="M52" s="332">
        <v>3.9548595532390358</v>
      </c>
      <c r="N52" s="332">
        <v>0</v>
      </c>
      <c r="O52" s="332">
        <v>0</v>
      </c>
      <c r="P52" s="332">
        <v>0</v>
      </c>
      <c r="Q52" s="332">
        <v>0</v>
      </c>
      <c r="R52" s="332">
        <v>0</v>
      </c>
      <c r="S52" s="332">
        <v>0</v>
      </c>
      <c r="T52" s="129"/>
    </row>
    <row r="53" spans="3:20">
      <c r="C53" s="53"/>
      <c r="D53" s="53" t="s">
        <v>24</v>
      </c>
      <c r="E53" s="53"/>
      <c r="F53" s="54">
        <f>IF(ISERROR(F52/F$24),"n.a.",(F52/F$24))</f>
        <v>-1.4885844748858451E-2</v>
      </c>
      <c r="G53" s="54">
        <f t="shared" ref="G53:S53" si="48">IF(ISERROR(G52/G$24),"n.a.",(G52/G$24))</f>
        <v>-1.1100343582063256E-2</v>
      </c>
      <c r="H53" s="73">
        <f t="shared" si="48"/>
        <v>-9.1340242402950991E-3</v>
      </c>
      <c r="I53" s="54">
        <f t="shared" si="48"/>
        <v>5.269629369401019E-3</v>
      </c>
      <c r="J53" s="54">
        <f t="shared" si="48"/>
        <v>1.4150671386705962E-2</v>
      </c>
      <c r="K53" s="54">
        <f t="shared" si="48"/>
        <v>1.3322407049714307E-2</v>
      </c>
      <c r="L53" s="54">
        <f t="shared" si="48"/>
        <v>9.7577875466964732E-3</v>
      </c>
      <c r="M53" s="54">
        <f t="shared" si="48"/>
        <v>3.4734406756007693E-3</v>
      </c>
      <c r="N53" s="54">
        <f t="shared" si="48"/>
        <v>0</v>
      </c>
      <c r="O53" s="54">
        <f t="shared" si="48"/>
        <v>0</v>
      </c>
      <c r="P53" s="54">
        <f t="shared" si="48"/>
        <v>0</v>
      </c>
      <c r="Q53" s="54">
        <f t="shared" si="48"/>
        <v>0</v>
      </c>
      <c r="R53" s="54">
        <f t="shared" si="48"/>
        <v>0</v>
      </c>
      <c r="S53" s="54">
        <f t="shared" si="48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2"/>
      <c r="G55" s="332">
        <v>-1.5</v>
      </c>
      <c r="H55" s="333">
        <v>0.74</v>
      </c>
      <c r="I55" s="332">
        <v>0</v>
      </c>
      <c r="J55" s="332">
        <v>0</v>
      </c>
      <c r="K55" s="332">
        <v>-5</v>
      </c>
      <c r="L55" s="332">
        <v>-5</v>
      </c>
      <c r="M55" s="332">
        <v>-5</v>
      </c>
      <c r="N55" s="332">
        <v>-5</v>
      </c>
      <c r="O55" s="332">
        <v>-5</v>
      </c>
      <c r="P55" s="332">
        <v>-5</v>
      </c>
      <c r="Q55" s="332">
        <v>-5</v>
      </c>
      <c r="R55" s="332">
        <v>-5</v>
      </c>
      <c r="S55" s="332">
        <v>-5</v>
      </c>
      <c r="T55" s="54"/>
    </row>
    <row r="56" spans="3:20">
      <c r="C56" s="53"/>
      <c r="D56" s="53" t="s">
        <v>24</v>
      </c>
      <c r="E56" s="53"/>
      <c r="F56" s="54">
        <f>IF(ISERROR(F55/F$24),"n.a.",(F55/F$24))</f>
        <v>0</v>
      </c>
      <c r="G56" s="54">
        <f t="shared" ref="G56:S56" si="49">IF(ISERROR(G55/G$24),"n.a.",(G55/G$24))</f>
        <v>-1.3214694740551493E-3</v>
      </c>
      <c r="H56" s="73">
        <f t="shared" si="49"/>
        <v>6.4992095555945904E-4</v>
      </c>
      <c r="I56" s="54">
        <f t="shared" si="49"/>
        <v>0</v>
      </c>
      <c r="J56" s="54">
        <f t="shared" si="49"/>
        <v>0</v>
      </c>
      <c r="K56" s="54">
        <f t="shared" si="49"/>
        <v>-4.3913578078341826E-3</v>
      </c>
      <c r="L56" s="54">
        <f t="shared" si="49"/>
        <v>-4.3913578078341826E-3</v>
      </c>
      <c r="M56" s="54">
        <f t="shared" si="49"/>
        <v>-4.3913578078341826E-3</v>
      </c>
      <c r="N56" s="54">
        <f t="shared" si="49"/>
        <v>-4.3913578078341826E-3</v>
      </c>
      <c r="O56" s="54">
        <f t="shared" si="49"/>
        <v>-4.3913578078341826E-3</v>
      </c>
      <c r="P56" s="54">
        <f t="shared" si="49"/>
        <v>-4.3913578078341826E-3</v>
      </c>
      <c r="Q56" s="54">
        <f t="shared" si="49"/>
        <v>-4.3913578078341826E-3</v>
      </c>
      <c r="R56" s="54">
        <f t="shared" si="49"/>
        <v>-4.3913578078341826E-3</v>
      </c>
      <c r="S56" s="54">
        <f t="shared" si="49"/>
        <v>-4.3913578078341826E-3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2"/>
      <c r="G58" s="332">
        <v>0</v>
      </c>
      <c r="H58" s="333">
        <v>0</v>
      </c>
      <c r="I58" s="332">
        <v>0</v>
      </c>
      <c r="J58" s="332">
        <v>-18.004468664734777</v>
      </c>
      <c r="K58" s="332">
        <v>-6.7527180429793674</v>
      </c>
      <c r="L58" s="332">
        <v>25.138454026318882</v>
      </c>
      <c r="M58" s="332">
        <v>-4.8650405710493061</v>
      </c>
      <c r="N58" s="332">
        <v>0</v>
      </c>
      <c r="O58" s="332">
        <v>0</v>
      </c>
      <c r="P58" s="332">
        <v>0</v>
      </c>
      <c r="Q58" s="332">
        <v>0</v>
      </c>
      <c r="R58" s="332">
        <v>0</v>
      </c>
      <c r="S58" s="332">
        <v>0</v>
      </c>
      <c r="T58" s="54"/>
    </row>
    <row r="59" spans="3:20">
      <c r="C59" s="53"/>
      <c r="D59" s="53" t="s">
        <v>24</v>
      </c>
      <c r="E59" s="53"/>
      <c r="F59" s="54">
        <f>IF(ISERROR(F58/F$24),"n.a.",(F58/F$24))</f>
        <v>0</v>
      </c>
      <c r="G59" s="54">
        <f t="shared" ref="G59:S59" si="50">IF(ISERROR(G58/G$24),"n.a.",(G58/G$24))</f>
        <v>0</v>
      </c>
      <c r="H59" s="73">
        <f t="shared" si="50"/>
        <v>0</v>
      </c>
      <c r="I59" s="54">
        <f t="shared" si="50"/>
        <v>0</v>
      </c>
      <c r="J59" s="54">
        <f t="shared" si="50"/>
        <v>-1.5812812809357788E-2</v>
      </c>
      <c r="K59" s="54">
        <f t="shared" si="50"/>
        <v>-5.9307202204280417E-3</v>
      </c>
      <c r="L59" s="54">
        <f t="shared" si="50"/>
        <v>2.2078389273071215E-2</v>
      </c>
      <c r="M59" s="54">
        <f t="shared" si="50"/>
        <v>-4.2728267794214878E-3</v>
      </c>
      <c r="N59" s="54">
        <f t="shared" si="50"/>
        <v>0</v>
      </c>
      <c r="O59" s="54">
        <f t="shared" si="50"/>
        <v>0</v>
      </c>
      <c r="P59" s="54">
        <f t="shared" si="50"/>
        <v>0</v>
      </c>
      <c r="Q59" s="54">
        <f t="shared" si="50"/>
        <v>0</v>
      </c>
      <c r="R59" s="54">
        <f t="shared" si="50"/>
        <v>0</v>
      </c>
      <c r="S59" s="54">
        <f t="shared" si="50"/>
        <v>0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130">
        <f>I42+I46+I48+I52+I55+I58</f>
        <v>53.123790752980312</v>
      </c>
      <c r="J61" s="130">
        <f t="shared" ref="J61:S61" si="51">J42+J46+J48+J52+J55+J58</f>
        <v>30.863888898608689</v>
      </c>
      <c r="K61" s="130">
        <f t="shared" si="51"/>
        <v>54.230659495382142</v>
      </c>
      <c r="L61" s="130">
        <f t="shared" si="51"/>
        <v>93.307494382811512</v>
      </c>
      <c r="M61" s="130">
        <f t="shared" si="51"/>
        <v>59.287351410943515</v>
      </c>
      <c r="N61" s="130">
        <f t="shared" si="51"/>
        <v>62.428305221334142</v>
      </c>
      <c r="O61" s="130">
        <f t="shared" si="51"/>
        <v>64.496951293051993</v>
      </c>
      <c r="P61" s="130">
        <f t="shared" si="51"/>
        <v>66.390578408582996</v>
      </c>
      <c r="Q61" s="130">
        <f t="shared" si="51"/>
        <v>68.09705589449436</v>
      </c>
      <c r="R61" s="130">
        <f t="shared" si="51"/>
        <v>69.605129834144037</v>
      </c>
      <c r="S61" s="130">
        <f t="shared" si="51"/>
        <v>70.904532073749621</v>
      </c>
      <c r="T61" s="130"/>
    </row>
    <row r="62" spans="3:20">
      <c r="H62" s="72"/>
    </row>
    <row r="63" spans="3:20" ht="12.75" customHeight="1">
      <c r="D63" s="38" t="s">
        <v>63</v>
      </c>
      <c r="H63" s="72"/>
      <c r="I63" s="248">
        <f t="shared" ref="I63:S63" si="52">-I18*I61</f>
        <v>-53.123790752980312</v>
      </c>
      <c r="J63" s="2">
        <f t="shared" si="52"/>
        <v>-2.1125180628753123E-2</v>
      </c>
      <c r="K63" s="2">
        <f t="shared" si="52"/>
        <v>0</v>
      </c>
      <c r="L63" s="2">
        <f t="shared" si="52"/>
        <v>0</v>
      </c>
      <c r="M63" s="2">
        <f t="shared" si="52"/>
        <v>0</v>
      </c>
      <c r="N63" s="2">
        <f t="shared" si="52"/>
        <v>0</v>
      </c>
      <c r="O63" s="2">
        <f t="shared" si="52"/>
        <v>0</v>
      </c>
      <c r="P63" s="2">
        <f t="shared" si="52"/>
        <v>0</v>
      </c>
      <c r="Q63" s="2">
        <f t="shared" si="52"/>
        <v>0</v>
      </c>
      <c r="R63" s="2">
        <f t="shared" si="52"/>
        <v>0</v>
      </c>
      <c r="S63" s="2">
        <f t="shared" si="52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53">J63+J61</f>
        <v>30.842763717979935</v>
      </c>
      <c r="K64" s="130">
        <f t="shared" si="53"/>
        <v>54.230659495382142</v>
      </c>
      <c r="L64" s="130">
        <f t="shared" si="53"/>
        <v>93.307494382811512</v>
      </c>
      <c r="M64" s="130">
        <f>M63+M61</f>
        <v>59.287351410943515</v>
      </c>
      <c r="N64" s="130">
        <f t="shared" si="53"/>
        <v>62.428305221334142</v>
      </c>
      <c r="O64" s="130">
        <f t="shared" si="53"/>
        <v>64.496951293051993</v>
      </c>
      <c r="P64" s="130">
        <f>P63+P61</f>
        <v>66.390578408582996</v>
      </c>
      <c r="Q64" s="130">
        <f>Q63+Q61</f>
        <v>68.09705589449436</v>
      </c>
      <c r="R64" s="130">
        <f>R63+R61</f>
        <v>69.605129834144037</v>
      </c>
      <c r="S64" s="130">
        <f>S63+S61</f>
        <v>70.904532073749621</v>
      </c>
      <c r="T64" s="130"/>
    </row>
    <row r="65" spans="4:20">
      <c r="H65" s="72"/>
    </row>
    <row r="66" spans="4:20" ht="12.7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54">I66+365.25</f>
        <v>365.25</v>
      </c>
      <c r="K66" s="133">
        <f t="shared" si="54"/>
        <v>730.5</v>
      </c>
      <c r="L66" s="133">
        <f t="shared" si="54"/>
        <v>1095.75</v>
      </c>
      <c r="M66" s="133">
        <f t="shared" si="54"/>
        <v>1461</v>
      </c>
      <c r="N66" s="133">
        <f t="shared" si="54"/>
        <v>1826.25</v>
      </c>
      <c r="O66" s="133">
        <f t="shared" si="54"/>
        <v>2191.5</v>
      </c>
      <c r="P66" s="133">
        <f t="shared" si="54"/>
        <v>2556.75</v>
      </c>
      <c r="Q66" s="133">
        <f t="shared" si="54"/>
        <v>2922</v>
      </c>
      <c r="R66" s="133">
        <f t="shared" si="54"/>
        <v>3287.25</v>
      </c>
      <c r="S66" s="133">
        <f t="shared" si="54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55">1/((1+$F$11)^(J66/365.25))</f>
        <v>0.92165898617511521</v>
      </c>
      <c r="K67" s="134">
        <f t="shared" si="55"/>
        <v>0.84945528679734128</v>
      </c>
      <c r="L67" s="134">
        <f t="shared" si="55"/>
        <v>0.78290809843072917</v>
      </c>
      <c r="M67" s="134">
        <f t="shared" si="55"/>
        <v>0.72157428426795334</v>
      </c>
      <c r="N67" s="134">
        <f t="shared" si="55"/>
        <v>0.66504542328843619</v>
      </c>
      <c r="O67" s="134">
        <f t="shared" si="55"/>
        <v>0.6129450905884205</v>
      </c>
      <c r="P67" s="134">
        <f t="shared" si="55"/>
        <v>0.56492635077273778</v>
      </c>
      <c r="Q67" s="134">
        <f t="shared" si="55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 t="e">
        <f>S27*F10</f>
        <v>#VALUE!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>SUMPRODUCT($I$64:$T$64,$I$67:$T$67)</f>
        <v>409.0991714062705</v>
      </c>
      <c r="I75" s="52">
        <f>H75/$H$77</f>
        <v>0.50942561575847278</v>
      </c>
      <c r="L75" t="s">
        <v>50</v>
      </c>
      <c r="N75" s="40">
        <f>SUMPRODUCT($G$64:$T$64,$G$67:$T$67)</f>
        <v>409.0991714062705</v>
      </c>
      <c r="O75" s="52" t="e">
        <f>N75/$N$77</f>
        <v>#VALUE!</v>
      </c>
    </row>
    <row r="76" spans="4:20">
      <c r="F76" t="s">
        <v>51</v>
      </c>
      <c r="H76" s="310">
        <f>T69*S67</f>
        <v>393.96050747770471</v>
      </c>
      <c r="I76" s="52">
        <f>H76/$H$77</f>
        <v>0.49057438424152716</v>
      </c>
      <c r="L76" t="s">
        <v>51</v>
      </c>
      <c r="N76" s="40" t="e">
        <f>T70*R67</f>
        <v>#VALUE!</v>
      </c>
      <c r="O76" s="52" t="e">
        <f>N76/$N$77</f>
        <v>#VALUE!</v>
      </c>
    </row>
    <row r="77" spans="4:20">
      <c r="F77" s="24" t="s">
        <v>52</v>
      </c>
      <c r="G77" s="55"/>
      <c r="H77" s="311">
        <f>SUM(H75:H76)</f>
        <v>803.05967888397527</v>
      </c>
      <c r="I77" s="57">
        <f>SUM(I75:I76)</f>
        <v>1</v>
      </c>
      <c r="L77" s="24" t="s">
        <v>52</v>
      </c>
      <c r="M77" s="55"/>
      <c r="N77" s="48" t="e">
        <f>SUM(N75:N76)</f>
        <v>#VALUE!</v>
      </c>
      <c r="O77" s="57" t="e">
        <f>SUM(O75:O76)</f>
        <v>#VALUE!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>
        <f>H77+H78</f>
        <v>718.44286534439027</v>
      </c>
      <c r="I79" s="57"/>
      <c r="L79" s="24" t="s">
        <v>68</v>
      </c>
      <c r="M79" s="55"/>
      <c r="N79" s="48" t="e">
        <f>N77+N78</f>
        <v>#VALUE!</v>
      </c>
      <c r="O79" s="57"/>
    </row>
    <row r="80" spans="4:20">
      <c r="F80" s="56" t="s">
        <v>64</v>
      </c>
      <c r="G80" s="56"/>
      <c r="H80" s="62">
        <f>H79/Assumptions!$D$17*100</f>
        <v>361.02656549969356</v>
      </c>
      <c r="I80" s="83"/>
      <c r="L80" s="56" t="s">
        <v>64</v>
      </c>
      <c r="M80" s="56"/>
      <c r="N80" s="82" t="e">
        <f>N79/Assumptions!$D$17*100</f>
        <v>#VALUE!</v>
      </c>
      <c r="O80" s="83"/>
    </row>
    <row r="81" spans="4:20">
      <c r="F81" s="84" t="s">
        <v>28</v>
      </c>
      <c r="G81" s="41"/>
      <c r="H81" s="312">
        <f>H80/Assumptions!$D$16-1</f>
        <v>1.1880397909072338</v>
      </c>
      <c r="I81" s="86"/>
      <c r="L81" s="84" t="s">
        <v>28</v>
      </c>
      <c r="M81" s="41"/>
      <c r="N81" s="85" t="e">
        <f>N80/Assumptions!$D$16-1</f>
        <v>#VALUE!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75" customHeight="1">
      <c r="E87" s="26" t="s">
        <v>32</v>
      </c>
      <c r="F87" s="334">
        <v>5.0000000000000001E-3</v>
      </c>
      <c r="G87" s="26" t="s">
        <v>54</v>
      </c>
      <c r="I87" s="334">
        <v>2.5000000000000001E-3</v>
      </c>
      <c r="L87" s="26" t="s">
        <v>55</v>
      </c>
      <c r="M87" s="335">
        <v>8.5</v>
      </c>
      <c r="N87" s="26" t="s">
        <v>56</v>
      </c>
      <c r="P87" s="335">
        <v>0.5</v>
      </c>
    </row>
    <row r="88" spans="4:20" ht="15">
      <c r="E88" s="26" t="s">
        <v>35</v>
      </c>
      <c r="F88" s="334">
        <v>8.5000000000000006E-2</v>
      </c>
      <c r="G88" s="26" t="s">
        <v>57</v>
      </c>
      <c r="I88" s="334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75" customHeight="1">
      <c r="E94" s="58">
        <f>H77</f>
        <v>803.05967888397527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 t="e">
        <f>N77</f>
        <v>#VALUE!</v>
      </c>
      <c r="M94" s="278">
        <f>N94-$P$87</f>
        <v>7.5</v>
      </c>
      <c r="N94" s="278">
        <f>O94-$P$87</f>
        <v>8</v>
      </c>
      <c r="O94" s="279">
        <f>$M$87</f>
        <v>8.5</v>
      </c>
      <c r="P94" s="278">
        <f>O94+$P$87</f>
        <v>9</v>
      </c>
      <c r="Q94" s="280">
        <f>P94+$P$87</f>
        <v>9.5</v>
      </c>
    </row>
    <row r="95" spans="4:20" ht="12.75" customHeight="1">
      <c r="E95" s="27">
        <f>E96-$I$88</f>
        <v>7.4999999999999997E-2</v>
      </c>
      <c r="F95" s="255">
        <f t="dataTable" ref="F95:J99" dt2D="1" dtr="1" r1="F9" r2="F11"/>
        <v>888.00433692519732</v>
      </c>
      <c r="G95" s="256">
        <v>905.00784592983314</v>
      </c>
      <c r="H95" s="257">
        <v>923.22589129194284</v>
      </c>
      <c r="I95" s="256">
        <v>942.79342149569027</v>
      </c>
      <c r="J95" s="258">
        <v>963.86614633049533</v>
      </c>
      <c r="L95" s="27">
        <f>L96-$I$88</f>
        <v>7.4999999999999997E-2</v>
      </c>
      <c r="M95" s="281">
        <f t="dataTable" ref="M95:Q99" dt2D="1" dtr="1" r1="F10" r2="F11" ca="1"/>
        <v>984.64782441108116</v>
      </c>
      <c r="N95" s="282">
        <v>1021.6706777556866</v>
      </c>
      <c r="O95" s="282">
        <v>1058.6935311002919</v>
      </c>
      <c r="P95" s="282">
        <v>1095.7163844448974</v>
      </c>
      <c r="Q95" s="283">
        <v>1132.7392377895026</v>
      </c>
    </row>
    <row r="96" spans="4:20" ht="12.75" customHeight="1">
      <c r="E96" s="27">
        <f>E97-$I$88</f>
        <v>0.08</v>
      </c>
      <c r="F96" s="259">
        <v>829.55517627946301</v>
      </c>
      <c r="G96" s="260">
        <v>843.85756294673411</v>
      </c>
      <c r="H96" s="257">
        <v>859.11344205849014</v>
      </c>
      <c r="I96" s="260">
        <v>875.42145076416034</v>
      </c>
      <c r="J96" s="261">
        <v>892.89431723452128</v>
      </c>
      <c r="L96" s="27">
        <f>L97-$I$88</f>
        <v>0.08</v>
      </c>
      <c r="M96" s="284">
        <v>951.65113228422638</v>
      </c>
      <c r="N96" s="285">
        <v>987.15962729475427</v>
      </c>
      <c r="O96" s="286">
        <v>1022.6681223052822</v>
      </c>
      <c r="P96" s="285">
        <v>1058.1766173158103</v>
      </c>
      <c r="Q96" s="287">
        <v>1093.6851123263382</v>
      </c>
      <c r="R96" s="66"/>
      <c r="S96" s="66"/>
      <c r="T96" s="66"/>
    </row>
    <row r="97" spans="4:20" ht="12.75" customHeight="1">
      <c r="E97" s="150">
        <f>$F$88</f>
        <v>8.5000000000000006E-2</v>
      </c>
      <c r="F97" s="259">
        <v>778.0408231266847</v>
      </c>
      <c r="G97" s="257">
        <v>790.1711774332498</v>
      </c>
      <c r="H97" s="260">
        <v>803.05967888397527</v>
      </c>
      <c r="I97" s="257">
        <v>816.77969655732818</v>
      </c>
      <c r="J97" s="261">
        <v>831.41438207557121</v>
      </c>
      <c r="L97" s="150">
        <f>$M$88</f>
        <v>8.5000000000000006E-2</v>
      </c>
      <c r="M97" s="284">
        <v>920.03890870211126</v>
      </c>
      <c r="N97" s="286">
        <v>954.10155785516736</v>
      </c>
      <c r="O97" s="285">
        <v>988.16420700822346</v>
      </c>
      <c r="P97" s="286">
        <v>1022.2268561612793</v>
      </c>
      <c r="Q97" s="287">
        <v>1056.2895053143354</v>
      </c>
      <c r="R97" s="66"/>
      <c r="S97" s="66"/>
      <c r="T97" s="66"/>
    </row>
    <row r="98" spans="4:20" ht="12.75" customHeight="1">
      <c r="E98" s="127">
        <f>E97+$I$88</f>
        <v>9.0000000000000011E-2</v>
      </c>
      <c r="F98" s="259">
        <v>732.30330432666437</v>
      </c>
      <c r="G98" s="260">
        <v>742.6672459966195</v>
      </c>
      <c r="H98" s="257">
        <v>753.6408312942192</v>
      </c>
      <c r="I98" s="260">
        <v>765.27948236743077</v>
      </c>
      <c r="J98" s="261">
        <v>777.64554913271832</v>
      </c>
      <c r="L98" s="127">
        <f>L97+$I$88</f>
        <v>9.0000000000000011E-2</v>
      </c>
      <c r="M98" s="284">
        <v>889.74501010600579</v>
      </c>
      <c r="N98" s="285">
        <v>922.42693168080177</v>
      </c>
      <c r="O98" s="286">
        <v>955.10885325559764</v>
      </c>
      <c r="P98" s="285">
        <v>987.79077483039362</v>
      </c>
      <c r="Q98" s="287">
        <v>1020.4726964051896</v>
      </c>
      <c r="R98" s="66"/>
      <c r="S98" s="66"/>
      <c r="T98" s="66"/>
    </row>
    <row r="99" spans="4:20" ht="12.75" customHeight="1">
      <c r="E99" s="128">
        <f>E98+$I$88</f>
        <v>9.5000000000000015E-2</v>
      </c>
      <c r="F99" s="262">
        <v>691.42853088726383</v>
      </c>
      <c r="G99" s="263">
        <v>700.3414834142875</v>
      </c>
      <c r="H99" s="263">
        <v>709.74959997059045</v>
      </c>
      <c r="I99" s="263">
        <v>719.69532318725339</v>
      </c>
      <c r="J99" s="264">
        <v>730.22608894607311</v>
      </c>
      <c r="L99" s="128">
        <f>L98+$I$88</f>
        <v>9.5000000000000015E-2</v>
      </c>
      <c r="M99" s="288">
        <v>860.70678237887955</v>
      </c>
      <c r="N99" s="289">
        <v>892.06988307192069</v>
      </c>
      <c r="O99" s="289">
        <v>923.43298376496159</v>
      </c>
      <c r="P99" s="289">
        <v>954.7960844580025</v>
      </c>
      <c r="Q99" s="290">
        <v>986.15918515104363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>H80</f>
        <v>361.02656549969356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 t="e">
        <f>N80</f>
        <v>#VALUE!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5">
        <f>(F95-SUM(Assumptions!$D$19:$D$22))/Assumptions!$D$17*100</f>
        <v>403.71232330935294</v>
      </c>
      <c r="G104" s="266">
        <f>(G95-SUM(Assumptions!$D$19:$D$22))/Assumptions!$D$17*100</f>
        <v>412.25680019610456</v>
      </c>
      <c r="H104" s="267">
        <f>(H95-SUM(Assumptions!$D$19:$D$22))/Assumptions!$D$17*100</f>
        <v>421.41159686048138</v>
      </c>
      <c r="I104" s="266">
        <f>(I95-SUM(Assumptions!$D$19:$D$22))/Assumptions!$D$17*100</f>
        <v>431.2445266111082</v>
      </c>
      <c r="J104" s="268">
        <f>(J95-SUM(Assumptions!$D$19:$D$22))/Assumptions!$D$17*100</f>
        <v>441.83383557332172</v>
      </c>
      <c r="L104" s="27">
        <f>L105-$I$88</f>
        <v>7.4999999999999997E-2</v>
      </c>
      <c r="M104" s="61">
        <f>(M95-SUM(Assumptions!$D$19:$D$22))/Assumptions!$D$17*100</f>
        <v>452.276889885174</v>
      </c>
      <c r="N104" s="62">
        <f>(N95-SUM(Assumptions!$D$19:$D$22))/Assumptions!$D$17*100</f>
        <v>470.88133880206112</v>
      </c>
      <c r="O104" s="66">
        <f>(O95-SUM(Assumptions!$D$19:$D$22))/Assumptions!$D$17*100</f>
        <v>489.48578771894819</v>
      </c>
      <c r="P104" s="62">
        <f>(P95-SUM(Assumptions!$D$19:$D$22))/Assumptions!$D$17*100</f>
        <v>508.09023663583537</v>
      </c>
      <c r="Q104" s="63">
        <f>(Q95-SUM(Assumptions!$D$19:$D$22))/Assumptions!$D$17*100</f>
        <v>526.69468555272249</v>
      </c>
    </row>
    <row r="105" spans="4:20">
      <c r="E105" s="27">
        <f>E106-$I$88</f>
        <v>0.08</v>
      </c>
      <c r="F105" s="269">
        <f>(F96-SUM(Assumptions!$D$19:$D$22))/Assumptions!$D$17*100</f>
        <v>374.3408857989337</v>
      </c>
      <c r="G105" s="270">
        <f>(G96-SUM(Assumptions!$D$19:$D$22))/Assumptions!$D$17*100</f>
        <v>381.52801477746186</v>
      </c>
      <c r="H105" s="267">
        <f>(H96-SUM(Assumptions!$D$19:$D$22))/Assumptions!$D$17*100</f>
        <v>389.19428568789203</v>
      </c>
      <c r="I105" s="270">
        <f>(I96-SUM(Assumptions!$D$19:$D$22))/Assumptions!$D$17*100</f>
        <v>397.38926493697255</v>
      </c>
      <c r="J105" s="271">
        <f>(J96-SUM(Assumptions!$D$19:$D$22))/Assumptions!$D$17*100</f>
        <v>406.16959984670171</v>
      </c>
      <c r="L105" s="27">
        <f>L106-$I$88</f>
        <v>0.08</v>
      </c>
      <c r="M105" s="64">
        <f>(M96-SUM(Assumptions!$D$19:$D$22))/Assumptions!$D$17*100</f>
        <v>435.69563756012127</v>
      </c>
      <c r="N105" s="65">
        <f>(N96-SUM(Assumptions!$D$19:$D$22))/Assumptions!$D$17*100</f>
        <v>453.53910238953227</v>
      </c>
      <c r="O105" s="66">
        <f>(O96-SUM(Assumptions!$D$19:$D$22))/Assumptions!$D$17*100</f>
        <v>471.38256721894328</v>
      </c>
      <c r="P105" s="65">
        <f>(P96-SUM(Assumptions!$D$19:$D$22))/Assumptions!$D$17*100</f>
        <v>489.2260320483544</v>
      </c>
      <c r="Q105" s="67">
        <f>(Q96-SUM(Assumptions!$D$19:$D$22))/Assumptions!$D$17*100</f>
        <v>507.0694968777654</v>
      </c>
    </row>
    <row r="106" spans="4:20">
      <c r="E106" s="150">
        <f>$F$88</f>
        <v>8.5000000000000006E-2</v>
      </c>
      <c r="F106" s="269">
        <f>(F97-SUM(Assumptions!$D$19:$D$22))/Assumptions!$D$17*100</f>
        <v>348.45427617442198</v>
      </c>
      <c r="G106" s="267">
        <f>(G97-SUM(Assumptions!$D$19:$D$22))/Assumptions!$D$17*100</f>
        <v>354.54993160485668</v>
      </c>
      <c r="H106" s="270">
        <f>(H97-SUM(Assumptions!$D$19:$D$22))/Assumptions!$D$17*100</f>
        <v>361.02656549969356</v>
      </c>
      <c r="I106" s="267">
        <f>(I97-SUM(Assumptions!$D$19:$D$22))/Assumptions!$D$17*100</f>
        <v>367.92104674258451</v>
      </c>
      <c r="J106" s="271">
        <f>(J97-SUM(Assumptions!$D$19:$D$22))/Assumptions!$D$17*100</f>
        <v>375.2751600683348</v>
      </c>
      <c r="L106" s="150">
        <f>$M$88</f>
        <v>8.5000000000000006E-2</v>
      </c>
      <c r="M106" s="64">
        <f>(M97-SUM(Assumptions!$D$19:$D$22))/Assumptions!$D$17*100</f>
        <v>419.81009807162127</v>
      </c>
      <c r="N106" s="66">
        <f>(N97-SUM(Assumptions!$D$19:$D$22))/Assumptions!$D$17*100</f>
        <v>436.92700719376001</v>
      </c>
      <c r="O106" s="65">
        <f>(O97-SUM(Assumptions!$D$19:$D$22))/Assumptions!$D$17*100</f>
        <v>454.04391631589868</v>
      </c>
      <c r="P106" s="66">
        <f>(P97-SUM(Assumptions!$D$19:$D$22))/Assumptions!$D$17*100</f>
        <v>471.16082543803736</v>
      </c>
      <c r="Q106" s="67">
        <f>(Q97-SUM(Assumptions!$D$19:$D$22))/Assumptions!$D$17*100</f>
        <v>488.27773456017616</v>
      </c>
    </row>
    <row r="107" spans="4:20">
      <c r="E107" s="127">
        <f>E106+$I$88</f>
        <v>9.0000000000000011E-2</v>
      </c>
      <c r="F107" s="269">
        <f>(F98-SUM(Assumptions!$D$19:$D$22))/Assumptions!$D$17*100</f>
        <v>325.47059838546704</v>
      </c>
      <c r="G107" s="270">
        <f>(G98-SUM(Assumptions!$D$19:$D$22))/Assumptions!$D$17*100</f>
        <v>330.6786092748917</v>
      </c>
      <c r="H107" s="267">
        <f>(H98-SUM(Assumptions!$D$19:$D$22))/Assumptions!$D$17*100</f>
        <v>336.19297374604736</v>
      </c>
      <c r="I107" s="270">
        <f>(I98-SUM(Assumptions!$D$19:$D$22))/Assumptions!$D$17*100</f>
        <v>342.04154212454563</v>
      </c>
      <c r="J107" s="271">
        <f>(J98-SUM(Assumptions!$D$19:$D$22))/Assumptions!$D$17*100</f>
        <v>348.25564602670016</v>
      </c>
      <c r="L107" s="127">
        <f>L106+$I$88</f>
        <v>9.0000000000000011E-2</v>
      </c>
      <c r="M107" s="64">
        <f>(M98-SUM(Assumptions!$D$19:$D$22))/Assumptions!$D$17*100</f>
        <v>404.58703345046274</v>
      </c>
      <c r="N107" s="65">
        <f>(N98-SUM(Assumptions!$D$19:$D$22))/Assumptions!$D$17*100</f>
        <v>421.0101096187019</v>
      </c>
      <c r="O107" s="66">
        <f>(O98-SUM(Assumptions!$D$19:$D$22))/Assumptions!$D$17*100</f>
        <v>437.43318578694101</v>
      </c>
      <c r="P107" s="65">
        <f>(P98-SUM(Assumptions!$D$19:$D$22))/Assumptions!$D$17*100</f>
        <v>453.85626195518023</v>
      </c>
      <c r="Q107" s="67">
        <f>(Q98-SUM(Assumptions!$D$19:$D$22))/Assumptions!$D$17*100</f>
        <v>470.27933812341939</v>
      </c>
    </row>
    <row r="108" spans="4:20">
      <c r="E108" s="128">
        <f>E107+$I$88</f>
        <v>9.5000000000000015E-2</v>
      </c>
      <c r="F108" s="272">
        <f>(F99-SUM(Assumptions!$D$19:$D$22))/Assumptions!$D$17*100</f>
        <v>304.93051122998935</v>
      </c>
      <c r="G108" s="273">
        <f>(G99-SUM(Assumptions!$D$19:$D$22))/Assumptions!$D$17*100</f>
        <v>309.40938184658415</v>
      </c>
      <c r="H108" s="273">
        <f>(H99-SUM(Assumptions!$D$19:$D$22))/Assumptions!$D$17*100</f>
        <v>314.13707860854549</v>
      </c>
      <c r="I108" s="273">
        <f>(I99-SUM(Assumptions!$D$19:$D$22))/Assumptions!$D$17*100</f>
        <v>319.13492947119011</v>
      </c>
      <c r="J108" s="274">
        <f>(J99-SUM(Assumptions!$D$19:$D$22))/Assumptions!$D$17*100</f>
        <v>324.42677156104929</v>
      </c>
      <c r="L108" s="128">
        <f>L107+$I$88</f>
        <v>9.5000000000000015E-2</v>
      </c>
      <c r="M108" s="68">
        <f>(M99-SUM(Assumptions!$D$19:$D$22))/Assumptions!$D$17*100</f>
        <v>389.99495921572588</v>
      </c>
      <c r="N108" s="69">
        <f>(N99-SUM(Assumptions!$D$19:$D$22))/Assumptions!$D$17*100</f>
        <v>405.75531132278178</v>
      </c>
      <c r="O108" s="69">
        <f>(O99-SUM(Assumptions!$D$19:$D$22))/Assumptions!$D$17*100</f>
        <v>421.5156634298375</v>
      </c>
      <c r="P108" s="69">
        <f>(P99-SUM(Assumptions!$D$19:$D$22))/Assumptions!$D$17*100</f>
        <v>437.27601553689323</v>
      </c>
      <c r="Q108" s="70">
        <f>(Q99-SUM(Assumptions!$D$19:$D$22))/Assumptions!$D$17*100</f>
        <v>453.03636764394906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56">F22</f>
        <v>42825</v>
      </c>
      <c r="G111" s="100">
        <f t="shared" si="56"/>
        <v>43190</v>
      </c>
      <c r="H111" s="139">
        <f t="shared" si="56"/>
        <v>43555</v>
      </c>
      <c r="I111" s="139">
        <f t="shared" si="56"/>
        <v>43921</v>
      </c>
      <c r="J111" s="139">
        <f t="shared" si="56"/>
        <v>44286</v>
      </c>
      <c r="K111" s="139">
        <f t="shared" si="56"/>
        <v>44651</v>
      </c>
      <c r="L111" s="139">
        <f t="shared" si="56"/>
        <v>45016</v>
      </c>
      <c r="M111" s="139">
        <f t="shared" si="56"/>
        <v>45382</v>
      </c>
      <c r="N111" s="139">
        <f t="shared" si="56"/>
        <v>45747</v>
      </c>
      <c r="O111" s="139">
        <f t="shared" si="56"/>
        <v>46112</v>
      </c>
      <c r="P111" s="139">
        <f t="shared" si="56"/>
        <v>46477</v>
      </c>
      <c r="Q111" s="139">
        <f t="shared" si="56"/>
        <v>46843</v>
      </c>
      <c r="R111" s="139">
        <f t="shared" si="56"/>
        <v>47208</v>
      </c>
      <c r="S111" s="139">
        <f t="shared" si="56"/>
        <v>47573</v>
      </c>
      <c r="T111" s="139"/>
    </row>
    <row r="112" spans="4:20">
      <c r="D112" s="38" t="s">
        <v>3</v>
      </c>
      <c r="E112" s="93"/>
      <c r="F112" s="115">
        <f t="shared" ref="F112:S112" si="57">F27</f>
        <v>108.7</v>
      </c>
      <c r="G112" s="115">
        <f t="shared" si="57"/>
        <v>109.5</v>
      </c>
      <c r="H112" s="115">
        <f t="shared" si="57"/>
        <v>98.2</v>
      </c>
      <c r="I112" s="115">
        <f t="shared" si="57"/>
        <v>94.147209662938664</v>
      </c>
      <c r="J112" s="115">
        <f t="shared" si="57"/>
        <v>92.625305088518957</v>
      </c>
      <c r="K112" s="115">
        <f t="shared" si="57"/>
        <v>111.79673623719195</v>
      </c>
      <c r="L112" s="115">
        <f t="shared" si="57"/>
        <v>124.39494101920255</v>
      </c>
      <c r="M112" s="115">
        <f t="shared" si="57"/>
        <v>127.56812935492377</v>
      </c>
      <c r="N112" s="115">
        <f t="shared" si="57"/>
        <v>130.50500120625895</v>
      </c>
      <c r="O112" s="115">
        <f t="shared" si="57"/>
        <v>133.24653965896459</v>
      </c>
      <c r="P112" s="115">
        <f t="shared" si="57"/>
        <v>135.77721189939695</v>
      </c>
      <c r="Q112" s="115">
        <f t="shared" si="57"/>
        <v>138.08240265835985</v>
      </c>
      <c r="R112" s="115">
        <f t="shared" si="57"/>
        <v>140.14855300014</v>
      </c>
      <c r="S112" s="115">
        <f t="shared" si="57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58">G112/G$24</f>
        <v>9.6467271606025903E-2</v>
      </c>
      <c r="H113" s="117">
        <f t="shared" si="58"/>
        <v>8.6246267345863353E-2</v>
      </c>
      <c r="I113" s="117">
        <f t="shared" si="58"/>
        <v>8.2686816847829497E-2</v>
      </c>
      <c r="J113" s="117">
        <f t="shared" si="58"/>
        <v>8.1350171340698191E-2</v>
      </c>
      <c r="K113" s="117">
        <f t="shared" si="58"/>
        <v>9.8187894113114321E-2</v>
      </c>
      <c r="L113" s="117">
        <f t="shared" si="58"/>
        <v>0.10925253909994954</v>
      </c>
      <c r="M113" s="117">
        <f t="shared" si="58"/>
        <v>0.1120394601747091</v>
      </c>
      <c r="N113" s="117">
        <f t="shared" si="58"/>
        <v>0.11461883120170294</v>
      </c>
      <c r="O113" s="117">
        <f t="shared" si="58"/>
        <v>0.11702664645965624</v>
      </c>
      <c r="P113" s="117">
        <f t="shared" si="58"/>
        <v>0.11924926392007462</v>
      </c>
      <c r="Q113" s="117">
        <f t="shared" si="58"/>
        <v>0.12127384740765841</v>
      </c>
      <c r="R113" s="117">
        <f t="shared" si="58"/>
        <v>0.12308848849476552</v>
      </c>
      <c r="S113" s="117">
        <f t="shared" ref="S113" si="59">S112/S$24</f>
        <v>0.12468232184711052</v>
      </c>
      <c r="T113" s="117"/>
    </row>
    <row r="114" spans="4:20">
      <c r="D114" s="38" t="s">
        <v>4</v>
      </c>
      <c r="E114" s="94"/>
      <c r="F114" s="116">
        <f t="shared" ref="F114:S114" si="60">F46</f>
        <v>0</v>
      </c>
      <c r="G114" s="116">
        <f t="shared" si="60"/>
        <v>0</v>
      </c>
      <c r="H114" s="116">
        <f t="shared" si="60"/>
        <v>0</v>
      </c>
      <c r="I114" s="116">
        <f t="shared" si="60"/>
        <v>36.129215400000028</v>
      </c>
      <c r="J114" s="116">
        <f t="shared" si="60"/>
        <v>40.455293523349013</v>
      </c>
      <c r="K114" s="116">
        <f t="shared" si="60"/>
        <v>47.195257615808735</v>
      </c>
      <c r="L114" s="116">
        <f t="shared" si="60"/>
        <v>51.829543587564167</v>
      </c>
      <c r="M114" s="116">
        <f t="shared" si="60"/>
        <v>54.799912142159194</v>
      </c>
      <c r="N114" s="116">
        <f t="shared" si="60"/>
        <v>53.583260118465994</v>
      </c>
      <c r="O114" s="116">
        <f t="shared" si="60"/>
        <v>52.366608094772801</v>
      </c>
      <c r="P114" s="116">
        <f t="shared" si="60"/>
        <v>51.149956071079608</v>
      </c>
      <c r="Q114" s="116">
        <f t="shared" si="60"/>
        <v>49.933304047386407</v>
      </c>
      <c r="R114" s="116">
        <f t="shared" si="60"/>
        <v>48.7166520236932</v>
      </c>
      <c r="S114" s="116">
        <f t="shared" si="60"/>
        <v>47.5</v>
      </c>
      <c r="T114" s="116"/>
    </row>
    <row r="115" spans="4:20">
      <c r="D115" s="39" t="s">
        <v>37</v>
      </c>
      <c r="E115" s="94"/>
      <c r="F115" s="117">
        <f t="shared" ref="F115:S115" si="61">-F114/F48</f>
        <v>0</v>
      </c>
      <c r="G115" s="117">
        <f t="shared" si="61"/>
        <v>0</v>
      </c>
      <c r="H115" s="117">
        <f t="shared" si="61"/>
        <v>0</v>
      </c>
      <c r="I115" s="117">
        <f t="shared" si="61"/>
        <v>1.0035893166666674</v>
      </c>
      <c r="J115" s="117">
        <f t="shared" si="61"/>
        <v>0.79324104947743168</v>
      </c>
      <c r="K115" s="117">
        <f t="shared" si="61"/>
        <v>0.94390515231617467</v>
      </c>
      <c r="L115" s="117">
        <f t="shared" si="61"/>
        <v>1.0365908717512833</v>
      </c>
      <c r="M115" s="117">
        <f t="shared" si="61"/>
        <v>1.0959982428431838</v>
      </c>
      <c r="N115" s="117">
        <f t="shared" si="61"/>
        <v>1.0716652023693198</v>
      </c>
      <c r="O115" s="117">
        <f t="shared" si="61"/>
        <v>1.0473321618954561</v>
      </c>
      <c r="P115" s="117">
        <f t="shared" si="61"/>
        <v>1.0229991214215921</v>
      </c>
      <c r="Q115" s="117">
        <f t="shared" si="61"/>
        <v>0.99866608094772813</v>
      </c>
      <c r="R115" s="117">
        <f t="shared" si="61"/>
        <v>0.97433304047386404</v>
      </c>
      <c r="S115" s="117">
        <f t="shared" si="61"/>
        <v>0.95</v>
      </c>
      <c r="T115" s="117"/>
    </row>
    <row r="116" spans="4:20" ht="12.75" customHeight="1">
      <c r="D116" s="38" t="s">
        <v>5</v>
      </c>
      <c r="E116" s="92"/>
      <c r="F116" s="115">
        <f t="shared" ref="F116:S116" si="62">F35</f>
        <v>77.099999999999994</v>
      </c>
      <c r="G116" s="115">
        <f t="shared" si="62"/>
        <v>74.599999999999994</v>
      </c>
      <c r="H116" s="115">
        <f t="shared" si="62"/>
        <v>62.2</v>
      </c>
      <c r="I116" s="115">
        <f t="shared" si="62"/>
        <v>58.017994262938636</v>
      </c>
      <c r="J116" s="115">
        <f t="shared" si="62"/>
        <v>52.170011565169943</v>
      </c>
      <c r="K116" s="115">
        <f t="shared" si="62"/>
        <v>64.601478621383222</v>
      </c>
      <c r="L116" s="115">
        <f t="shared" si="62"/>
        <v>72.565397431638388</v>
      </c>
      <c r="M116" s="115">
        <f t="shared" si="62"/>
        <v>72.768217212764569</v>
      </c>
      <c r="N116" s="115">
        <f t="shared" si="62"/>
        <v>76.921741087792952</v>
      </c>
      <c r="O116" s="115">
        <f t="shared" si="62"/>
        <v>80.879931564191793</v>
      </c>
      <c r="P116" s="115">
        <f t="shared" si="62"/>
        <v>84.627255828317345</v>
      </c>
      <c r="Q116" s="115">
        <f t="shared" si="62"/>
        <v>88.149098610973454</v>
      </c>
      <c r="R116" s="115">
        <f t="shared" si="62"/>
        <v>91.431900976446798</v>
      </c>
      <c r="S116" s="115">
        <f t="shared" si="62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63">G116/G$24</f>
        <v>6.5721081843009427E-2</v>
      </c>
      <c r="H117" s="117">
        <f t="shared" si="63"/>
        <v>5.4628491129457238E-2</v>
      </c>
      <c r="I117" s="117">
        <f t="shared" si="63"/>
        <v>5.0955554420286882E-2</v>
      </c>
      <c r="J117" s="117">
        <f t="shared" si="63"/>
        <v>4.5819437524301725E-2</v>
      </c>
      <c r="K117" s="117">
        <f t="shared" si="63"/>
        <v>5.673764150832885E-2</v>
      </c>
      <c r="L117" s="117">
        <f t="shared" si="63"/>
        <v>6.3732124918003161E-2</v>
      </c>
      <c r="M117" s="117">
        <f t="shared" si="63"/>
        <v>6.3910255763889492E-2</v>
      </c>
      <c r="N117" s="117">
        <f t="shared" si="63"/>
        <v>6.7558177663615812E-2</v>
      </c>
      <c r="O117" s="117">
        <f t="shared" si="63"/>
        <v>7.1034543794301602E-2</v>
      </c>
      <c r="P117" s="117">
        <f t="shared" si="63"/>
        <v>7.432571212745244E-2</v>
      </c>
      <c r="Q117" s="117">
        <f t="shared" si="63"/>
        <v>7.7418846487768714E-2</v>
      </c>
      <c r="R117" s="117">
        <f t="shared" si="63"/>
        <v>8.030203844760829E-2</v>
      </c>
      <c r="S117" s="117">
        <f t="shared" ref="S117" si="64">S116/S$24</f>
        <v>8.2964422672685792E-2</v>
      </c>
      <c r="T117" s="117"/>
    </row>
    <row r="118" spans="4:20">
      <c r="D118" s="38" t="s">
        <v>10</v>
      </c>
      <c r="E118" s="95"/>
      <c r="F118" s="116">
        <f t="shared" ref="F118:S118" si="65">F39</f>
        <v>0</v>
      </c>
      <c r="G118" s="116">
        <f t="shared" si="65"/>
        <v>0</v>
      </c>
      <c r="H118" s="116">
        <f t="shared" si="65"/>
        <v>0</v>
      </c>
      <c r="I118" s="116">
        <f t="shared" si="65"/>
        <v>-11.023418909958341</v>
      </c>
      <c r="J118" s="116">
        <f t="shared" si="65"/>
        <v>-8.8689019660788908</v>
      </c>
      <c r="K118" s="116">
        <f t="shared" si="65"/>
        <v>-10.982251365635149</v>
      </c>
      <c r="L118" s="116">
        <f t="shared" si="65"/>
        <v>-12.336117563378528</v>
      </c>
      <c r="M118" s="116">
        <f t="shared" si="65"/>
        <v>-12.370596926169977</v>
      </c>
      <c r="N118" s="116">
        <f t="shared" si="65"/>
        <v>-13.076695984924802</v>
      </c>
      <c r="O118" s="116">
        <f t="shared" si="65"/>
        <v>-13.749588365912606</v>
      </c>
      <c r="P118" s="116">
        <f t="shared" si="65"/>
        <v>-14.386633490813949</v>
      </c>
      <c r="Q118" s="116">
        <f t="shared" si="65"/>
        <v>-14.985346763865488</v>
      </c>
      <c r="R118" s="116">
        <f t="shared" si="65"/>
        <v>-15.543423165995957</v>
      </c>
      <c r="S118" s="116">
        <f t="shared" si="65"/>
        <v>-16.058759581370406</v>
      </c>
      <c r="T118" s="116"/>
    </row>
    <row r="119" spans="4:20">
      <c r="D119" s="39" t="s">
        <v>65</v>
      </c>
      <c r="E119" s="95"/>
      <c r="F119" s="117">
        <f t="shared" ref="F119:S119" si="66">F40</f>
        <v>0</v>
      </c>
      <c r="G119" s="117">
        <f t="shared" si="66"/>
        <v>0</v>
      </c>
      <c r="H119" s="117">
        <f t="shared" si="66"/>
        <v>0</v>
      </c>
      <c r="I119" s="117">
        <f t="shared" si="66"/>
        <v>0.19</v>
      </c>
      <c r="J119" s="117">
        <f t="shared" si="66"/>
        <v>0.17</v>
      </c>
      <c r="K119" s="117">
        <f t="shared" si="66"/>
        <v>0.17</v>
      </c>
      <c r="L119" s="117">
        <f t="shared" si="66"/>
        <v>0.17</v>
      </c>
      <c r="M119" s="117">
        <f t="shared" si="66"/>
        <v>0.17</v>
      </c>
      <c r="N119" s="117">
        <f t="shared" si="66"/>
        <v>0.17</v>
      </c>
      <c r="O119" s="117">
        <f t="shared" si="66"/>
        <v>0.17</v>
      </c>
      <c r="P119" s="117">
        <f t="shared" si="66"/>
        <v>0.17</v>
      </c>
      <c r="Q119" s="117">
        <f t="shared" si="66"/>
        <v>0.17</v>
      </c>
      <c r="R119" s="117">
        <f t="shared" si="66"/>
        <v>0.17</v>
      </c>
      <c r="S119" s="117">
        <f t="shared" si="66"/>
        <v>0.17</v>
      </c>
      <c r="T119" s="117"/>
    </row>
    <row r="120" spans="4:20">
      <c r="D120" s="38" t="s">
        <v>38</v>
      </c>
      <c r="E120" s="95"/>
      <c r="F120" s="116">
        <f t="shared" ref="F120:S120" si="67">F42</f>
        <v>0</v>
      </c>
      <c r="G120" s="116">
        <f t="shared" si="67"/>
        <v>0</v>
      </c>
      <c r="H120" s="116">
        <f t="shared" si="67"/>
        <v>0</v>
      </c>
      <c r="I120" s="116">
        <f t="shared" si="67"/>
        <v>46.994575352980291</v>
      </c>
      <c r="J120" s="116">
        <f t="shared" si="67"/>
        <v>43.301109599091049</v>
      </c>
      <c r="K120" s="116">
        <f t="shared" si="67"/>
        <v>53.619227255748072</v>
      </c>
      <c r="L120" s="116">
        <f t="shared" si="67"/>
        <v>60.229279868259859</v>
      </c>
      <c r="M120" s="116">
        <f t="shared" si="67"/>
        <v>60.397620286594588</v>
      </c>
      <c r="N120" s="116">
        <f t="shared" si="67"/>
        <v>63.845045102868148</v>
      </c>
      <c r="O120" s="116">
        <f t="shared" si="67"/>
        <v>67.130343198279192</v>
      </c>
      <c r="P120" s="116">
        <f t="shared" si="67"/>
        <v>70.240622337503396</v>
      </c>
      <c r="Q120" s="116">
        <f t="shared" si="67"/>
        <v>73.16375184710796</v>
      </c>
      <c r="R120" s="116">
        <f t="shared" si="67"/>
        <v>75.888477810450837</v>
      </c>
      <c r="S120" s="116">
        <f t="shared" si="67"/>
        <v>78.404532073749621</v>
      </c>
      <c r="T120" s="116"/>
    </row>
    <row r="121" spans="4:20">
      <c r="D121" s="106" t="s">
        <v>71</v>
      </c>
      <c r="E121" s="95"/>
      <c r="F121" s="116">
        <f t="shared" ref="F121:S121" si="68">-F31</f>
        <v>31.600000000000009</v>
      </c>
      <c r="G121" s="116">
        <f t="shared" si="68"/>
        <v>34.900000000000006</v>
      </c>
      <c r="H121" s="116">
        <f t="shared" si="68"/>
        <v>36</v>
      </c>
      <c r="I121" s="116">
        <f t="shared" si="68"/>
        <v>36.129215400000028</v>
      </c>
      <c r="J121" s="116">
        <f t="shared" si="68"/>
        <v>40.455293523349013</v>
      </c>
      <c r="K121" s="116">
        <f t="shared" si="68"/>
        <v>47.195257615808735</v>
      </c>
      <c r="L121" s="116">
        <f t="shared" si="68"/>
        <v>51.829543587564167</v>
      </c>
      <c r="M121" s="116">
        <f t="shared" si="68"/>
        <v>54.799912142159194</v>
      </c>
      <c r="N121" s="116">
        <f t="shared" si="68"/>
        <v>53.583260118465994</v>
      </c>
      <c r="O121" s="116">
        <f t="shared" si="68"/>
        <v>52.366608094772801</v>
      </c>
      <c r="P121" s="116">
        <f t="shared" si="68"/>
        <v>51.149956071079608</v>
      </c>
      <c r="Q121" s="116">
        <f t="shared" si="68"/>
        <v>49.933304047386407</v>
      </c>
      <c r="R121" s="116">
        <f t="shared" si="68"/>
        <v>48.7166520236932</v>
      </c>
      <c r="S121" s="116">
        <f t="shared" si="68"/>
        <v>47.5</v>
      </c>
      <c r="T121" s="116"/>
    </row>
    <row r="122" spans="4:20">
      <c r="D122" s="106" t="s">
        <v>132</v>
      </c>
      <c r="E122" s="95"/>
      <c r="F122" s="116">
        <f t="shared" ref="F122:S122" si="69">F48</f>
        <v>-36.1</v>
      </c>
      <c r="G122" s="116">
        <f t="shared" si="69"/>
        <v>-37.299999999999997</v>
      </c>
      <c r="H122" s="116">
        <f t="shared" si="69"/>
        <v>-31</v>
      </c>
      <c r="I122" s="116">
        <f t="shared" si="69"/>
        <v>-36</v>
      </c>
      <c r="J122" s="116">
        <f t="shared" si="69"/>
        <v>-51</v>
      </c>
      <c r="K122" s="116">
        <f t="shared" si="69"/>
        <v>-50</v>
      </c>
      <c r="L122" s="116">
        <f t="shared" si="69"/>
        <v>-50</v>
      </c>
      <c r="M122" s="116">
        <f t="shared" si="69"/>
        <v>-50</v>
      </c>
      <c r="N122" s="116">
        <f t="shared" si="69"/>
        <v>-50</v>
      </c>
      <c r="O122" s="116">
        <f t="shared" si="69"/>
        <v>-50</v>
      </c>
      <c r="P122" s="116">
        <f t="shared" si="69"/>
        <v>-50</v>
      </c>
      <c r="Q122" s="116">
        <f t="shared" si="69"/>
        <v>-50</v>
      </c>
      <c r="R122" s="116">
        <f t="shared" si="69"/>
        <v>-50</v>
      </c>
      <c r="S122" s="116">
        <f t="shared" si="69"/>
        <v>-50</v>
      </c>
      <c r="T122" s="116"/>
    </row>
    <row r="123" spans="4:20">
      <c r="D123" s="106" t="s">
        <v>72</v>
      </c>
      <c r="E123" s="95"/>
      <c r="F123" s="116">
        <f t="shared" ref="F123:S123" si="70">F52</f>
        <v>-16.300000000000004</v>
      </c>
      <c r="G123" s="116">
        <f t="shared" si="70"/>
        <v>-12.6</v>
      </c>
      <c r="H123" s="115">
        <f t="shared" si="70"/>
        <v>-10.399999999999999</v>
      </c>
      <c r="I123" s="115">
        <f t="shared" si="70"/>
        <v>6</v>
      </c>
      <c r="J123" s="115">
        <f t="shared" si="70"/>
        <v>16.111954440903407</v>
      </c>
      <c r="K123" s="115">
        <f t="shared" si="70"/>
        <v>15.168892666804709</v>
      </c>
      <c r="L123" s="115">
        <f t="shared" si="70"/>
        <v>11.110216900668604</v>
      </c>
      <c r="M123" s="115">
        <f t="shared" si="70"/>
        <v>3.9548595532390358</v>
      </c>
      <c r="N123" s="115">
        <f t="shared" si="70"/>
        <v>0</v>
      </c>
      <c r="O123" s="115">
        <f t="shared" si="70"/>
        <v>0</v>
      </c>
      <c r="P123" s="115">
        <f t="shared" si="70"/>
        <v>0</v>
      </c>
      <c r="Q123" s="115">
        <f t="shared" si="70"/>
        <v>0</v>
      </c>
      <c r="R123" s="115">
        <f t="shared" si="70"/>
        <v>0</v>
      </c>
      <c r="S123" s="115">
        <f t="shared" si="70"/>
        <v>0</v>
      </c>
      <c r="T123" s="115"/>
    </row>
    <row r="124" spans="4:20">
      <c r="D124" s="106" t="s">
        <v>133</v>
      </c>
      <c r="E124" s="95"/>
      <c r="F124" s="116">
        <f t="shared" ref="F124:S124" si="71">+F58</f>
        <v>0</v>
      </c>
      <c r="G124" s="116">
        <f t="shared" si="71"/>
        <v>0</v>
      </c>
      <c r="H124" s="116">
        <f t="shared" si="71"/>
        <v>0</v>
      </c>
      <c r="I124" s="116">
        <f t="shared" si="71"/>
        <v>0</v>
      </c>
      <c r="J124" s="116">
        <f t="shared" si="71"/>
        <v>-18.004468664734777</v>
      </c>
      <c r="K124" s="116">
        <f t="shared" si="71"/>
        <v>-6.7527180429793674</v>
      </c>
      <c r="L124" s="116">
        <f t="shared" si="71"/>
        <v>25.138454026318882</v>
      </c>
      <c r="M124" s="116">
        <f t="shared" si="71"/>
        <v>-4.8650405710493061</v>
      </c>
      <c r="N124" s="116">
        <f t="shared" si="71"/>
        <v>0</v>
      </c>
      <c r="O124" s="116">
        <f t="shared" si="71"/>
        <v>0</v>
      </c>
      <c r="P124" s="116">
        <f t="shared" si="71"/>
        <v>0</v>
      </c>
      <c r="Q124" s="116">
        <f t="shared" si="71"/>
        <v>0</v>
      </c>
      <c r="R124" s="116">
        <f t="shared" si="71"/>
        <v>0</v>
      </c>
      <c r="S124" s="116">
        <f t="shared" si="71"/>
        <v>0</v>
      </c>
      <c r="T124" s="115"/>
    </row>
    <row r="125" spans="4:20">
      <c r="D125" s="106" t="s">
        <v>134</v>
      </c>
      <c r="E125" s="95"/>
      <c r="F125" s="116">
        <f t="shared" ref="F125:S125" si="72">+F55</f>
        <v>0</v>
      </c>
      <c r="G125" s="116">
        <f t="shared" si="72"/>
        <v>-1.5</v>
      </c>
      <c r="H125" s="116">
        <f t="shared" si="72"/>
        <v>0.74</v>
      </c>
      <c r="I125" s="116">
        <f t="shared" si="72"/>
        <v>0</v>
      </c>
      <c r="J125" s="116">
        <f t="shared" si="72"/>
        <v>0</v>
      </c>
      <c r="K125" s="116">
        <f t="shared" si="72"/>
        <v>-5</v>
      </c>
      <c r="L125" s="116">
        <f t="shared" si="72"/>
        <v>-5</v>
      </c>
      <c r="M125" s="116">
        <f t="shared" si="72"/>
        <v>-5</v>
      </c>
      <c r="N125" s="116">
        <f t="shared" si="72"/>
        <v>-5</v>
      </c>
      <c r="O125" s="116">
        <f t="shared" si="72"/>
        <v>-5</v>
      </c>
      <c r="P125" s="116">
        <f t="shared" si="72"/>
        <v>-5</v>
      </c>
      <c r="Q125" s="116">
        <f t="shared" si="72"/>
        <v>-5</v>
      </c>
      <c r="R125" s="116">
        <f t="shared" si="72"/>
        <v>-5</v>
      </c>
      <c r="S125" s="116">
        <f t="shared" si="72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73">SUM(G120:G125)</f>
        <v>-16.499999999999993</v>
      </c>
      <c r="H127" s="124">
        <f t="shared" si="73"/>
        <v>-4.6599999999999984</v>
      </c>
      <c r="I127" s="124">
        <f t="shared" si="73"/>
        <v>53.123790752980312</v>
      </c>
      <c r="J127" s="124">
        <f>SUM(J120:J125)</f>
        <v>30.863888898608689</v>
      </c>
      <c r="K127" s="124">
        <f t="shared" si="73"/>
        <v>54.230659495382142</v>
      </c>
      <c r="L127" s="124">
        <f t="shared" si="73"/>
        <v>93.307494382811512</v>
      </c>
      <c r="M127" s="124">
        <f t="shared" si="73"/>
        <v>59.287351410943515</v>
      </c>
      <c r="N127" s="124">
        <f t="shared" si="73"/>
        <v>62.428305221334142</v>
      </c>
      <c r="O127" s="124">
        <f t="shared" si="73"/>
        <v>64.496951293051993</v>
      </c>
      <c r="P127" s="124">
        <f t="shared" si="73"/>
        <v>66.390578408582996</v>
      </c>
      <c r="Q127" s="124">
        <f t="shared" si="73"/>
        <v>68.09705589449436</v>
      </c>
      <c r="R127" s="124">
        <f t="shared" si="73"/>
        <v>69.605129834144037</v>
      </c>
      <c r="S127" s="124">
        <f t="shared" si="73"/>
        <v>70.904532073749621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6" zoomScale="81" zoomScaleNormal="81" workbookViewId="0">
      <selection activeCell="D1" sqref="D1"/>
    </sheetView>
  </sheetViews>
  <sheetFormatPr defaultColWidth="8.77734375" defaultRowHeight="13.2"/>
  <cols>
    <col min="1" max="2" width="2.6640625" style="162" customWidth="1"/>
    <col min="3" max="5" width="12" style="162" customWidth="1"/>
    <col min="6" max="7" width="9.109375" style="162"/>
    <col min="8" max="8" width="0.77734375" style="162" customWidth="1"/>
    <col min="9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8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8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.05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.05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2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25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25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25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1138.5999999999999</v>
      </c>
      <c r="J9" s="213">
        <f>'DCF input'!J24</f>
        <v>1138.5999999999999</v>
      </c>
      <c r="K9" s="213">
        <f>'DCF input'!K24</f>
        <v>1138.5999999999999</v>
      </c>
      <c r="L9" s="213">
        <f>'DCF input'!L24</f>
        <v>1138.5999999999999</v>
      </c>
      <c r="M9" s="213">
        <f>'DCF input'!M24</f>
        <v>1138.5999999999999</v>
      </c>
      <c r="N9" s="213">
        <f>'DCF input'!N24</f>
        <v>1138.5999999999999</v>
      </c>
      <c r="O9" s="213">
        <f>'DCF input'!O24</f>
        <v>1138.5999999999999</v>
      </c>
      <c r="P9" s="213">
        <f>'DCF input'!P24</f>
        <v>1138.5999999999999</v>
      </c>
      <c r="Q9" s="213">
        <f>'DCF input'!Q24</f>
        <v>1138.5999999999999</v>
      </c>
      <c r="R9" s="213">
        <f>'DCF input'!R24</f>
        <v>1138.5999999999999</v>
      </c>
      <c r="S9" s="213">
        <f>'DCF input'!S24</f>
        <v>1138.5999999999999</v>
      </c>
      <c r="T9" s="214"/>
      <c r="U9" s="38"/>
    </row>
    <row r="10" spans="1:21" ht="20.25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0</v>
      </c>
      <c r="K10" s="215">
        <f t="shared" si="10"/>
        <v>0</v>
      </c>
      <c r="L10" s="215">
        <f t="shared" si="10"/>
        <v>0</v>
      </c>
      <c r="M10" s="215">
        <f t="shared" si="10"/>
        <v>0</v>
      </c>
      <c r="N10" s="215">
        <f t="shared" si="10"/>
        <v>0</v>
      </c>
      <c r="O10" s="215">
        <f t="shared" si="10"/>
        <v>0</v>
      </c>
      <c r="P10" s="215">
        <f t="shared" si="10"/>
        <v>0</v>
      </c>
      <c r="Q10" s="215">
        <f t="shared" si="10"/>
        <v>0</v>
      </c>
      <c r="R10" s="215">
        <f t="shared" si="10"/>
        <v>0</v>
      </c>
      <c r="S10" s="215">
        <f t="shared" si="10"/>
        <v>0</v>
      </c>
      <c r="T10" s="216"/>
      <c r="U10" s="38"/>
    </row>
    <row r="11" spans="1:21" ht="20.25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>'DCF input'!N27</f>
        <v>130.50500120625895</v>
      </c>
      <c r="O11" s="213">
        <f>'DCF input'!O27</f>
        <v>133.24653965896459</v>
      </c>
      <c r="P11" s="213">
        <f>'DCF input'!P27</f>
        <v>135.77721189939695</v>
      </c>
      <c r="Q11" s="213">
        <f>'DCF input'!Q27</f>
        <v>138.08240265835985</v>
      </c>
      <c r="R11" s="213">
        <f>'DCF input'!R27</f>
        <v>140.14855300014</v>
      </c>
      <c r="S11" s="213">
        <f>'DCF input'!S27</f>
        <v>141.96329165512003</v>
      </c>
      <c r="T11" s="214"/>
      <c r="U11" s="38"/>
    </row>
    <row r="12" spans="1:21" ht="20.25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8.2686816847829497E-2</v>
      </c>
      <c r="J12" s="215">
        <f t="shared" si="11"/>
        <v>8.1350171340698191E-2</v>
      </c>
      <c r="K12" s="215">
        <f t="shared" si="11"/>
        <v>9.8187894113114321E-2</v>
      </c>
      <c r="L12" s="215">
        <f t="shared" si="11"/>
        <v>0.10925253909994954</v>
      </c>
      <c r="M12" s="215">
        <f t="shared" si="11"/>
        <v>0.1120394601747091</v>
      </c>
      <c r="N12" s="215">
        <f t="shared" si="11"/>
        <v>0.11461883120170294</v>
      </c>
      <c r="O12" s="215">
        <f t="shared" si="11"/>
        <v>0.11702664645965624</v>
      </c>
      <c r="P12" s="215">
        <f t="shared" si="11"/>
        <v>0.11924926392007462</v>
      </c>
      <c r="Q12" s="215">
        <f t="shared" si="11"/>
        <v>0.12127384740765841</v>
      </c>
      <c r="R12" s="215">
        <f t="shared" si="11"/>
        <v>0.12308848849476552</v>
      </c>
      <c r="S12" s="215">
        <f t="shared" si="11"/>
        <v>0.12468232184711052</v>
      </c>
      <c r="T12" s="216"/>
      <c r="U12" s="38"/>
    </row>
    <row r="13" spans="1:21" ht="20.25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si="12"/>
        <v>2.302198727994309E-2</v>
      </c>
      <c r="O13" s="215">
        <f t="shared" si="12"/>
        <v>2.1007152426079978E-2</v>
      </c>
      <c r="P13" s="215">
        <f t="shared" si="12"/>
        <v>1.8992404957828057E-2</v>
      </c>
      <c r="Q13" s="215">
        <f t="shared" si="12"/>
        <v>1.6977744105328485E-2</v>
      </c>
      <c r="R13" s="215">
        <f t="shared" si="12"/>
        <v>1.4963169107740315E-2</v>
      </c>
      <c r="S13" s="215">
        <f t="shared" si="12"/>
        <v>1.2948679213107717E-2</v>
      </c>
      <c r="T13" s="216"/>
      <c r="U13" s="38"/>
    </row>
    <row r="14" spans="1:21" ht="20.25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-47.195257615808735</v>
      </c>
      <c r="L14" s="217">
        <f>'DCF input'!L31</f>
        <v>-51.829543587564167</v>
      </c>
      <c r="M14" s="217">
        <f>'DCF input'!M31</f>
        <v>-54.799912142159194</v>
      </c>
      <c r="N14" s="217">
        <f>'DCF input'!N31</f>
        <v>-53.583260118465994</v>
      </c>
      <c r="O14" s="217">
        <f>'DCF input'!O31</f>
        <v>-52.366608094772801</v>
      </c>
      <c r="P14" s="217">
        <f>'DCF input'!P31</f>
        <v>-51.149956071079608</v>
      </c>
      <c r="Q14" s="217">
        <f>'DCF input'!Q31</f>
        <v>-49.933304047386407</v>
      </c>
      <c r="R14" s="217">
        <f>'DCF input'!R31</f>
        <v>-48.7166520236932</v>
      </c>
      <c r="S14" s="217">
        <f>'DCF input'!S31</f>
        <v>-47.5</v>
      </c>
      <c r="T14" s="218"/>
      <c r="U14" s="38"/>
    </row>
    <row r="15" spans="1:21" ht="20.25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3.1731262427542622E-2</v>
      </c>
      <c r="J15" s="215">
        <f t="shared" si="13"/>
        <v>3.5530733816396466E-2</v>
      </c>
      <c r="K15" s="215">
        <f t="shared" si="13"/>
        <v>4.1450252604785472E-2</v>
      </c>
      <c r="L15" s="215">
        <f t="shared" si="13"/>
        <v>4.5520414181946398E-2</v>
      </c>
      <c r="M15" s="215">
        <f t="shared" si="13"/>
        <v>4.8129204410819602E-2</v>
      </c>
      <c r="N15" s="215">
        <f t="shared" si="13"/>
        <v>4.7060653538087124E-2</v>
      </c>
      <c r="O15" s="215">
        <f t="shared" si="13"/>
        <v>4.5992102665354653E-2</v>
      </c>
      <c r="P15" s="215">
        <f t="shared" si="13"/>
        <v>4.4923551792622175E-2</v>
      </c>
      <c r="Q15" s="215">
        <f t="shared" si="13"/>
        <v>4.3855000919889697E-2</v>
      </c>
      <c r="R15" s="215">
        <f t="shared" si="13"/>
        <v>4.2786450047157212E-2</v>
      </c>
      <c r="S15" s="215">
        <f t="shared" si="13"/>
        <v>4.1717899174424734E-2</v>
      </c>
      <c r="T15" s="216"/>
      <c r="U15" s="38"/>
    </row>
    <row r="16" spans="1:21" ht="20.25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0.94390515231617467</v>
      </c>
      <c r="L16" s="215">
        <f t="shared" ref="L16:S16" si="14">+L14/L21</f>
        <v>1.0365908717512833</v>
      </c>
      <c r="M16" s="215">
        <f t="shared" si="14"/>
        <v>1.0959982428431838</v>
      </c>
      <c r="N16" s="215">
        <f t="shared" si="14"/>
        <v>1.0716652023693198</v>
      </c>
      <c r="O16" s="215">
        <f t="shared" si="14"/>
        <v>1.0473321618954561</v>
      </c>
      <c r="P16" s="215">
        <f t="shared" si="14"/>
        <v>1.0229991214215921</v>
      </c>
      <c r="Q16" s="215">
        <f t="shared" si="14"/>
        <v>0.99866608094772813</v>
      </c>
      <c r="R16" s="215">
        <f t="shared" si="14"/>
        <v>0.97433304047386404</v>
      </c>
      <c r="S16" s="215">
        <f t="shared" si="14"/>
        <v>0.95</v>
      </c>
      <c r="T16" s="216"/>
      <c r="U16" s="38"/>
    </row>
    <row r="17" spans="1:21" ht="20.25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si="15"/>
        <v>76.921741087792952</v>
      </c>
      <c r="O17" s="217">
        <f t="shared" si="15"/>
        <v>80.879931564191793</v>
      </c>
      <c r="P17" s="217">
        <f t="shared" si="15"/>
        <v>84.627255828317345</v>
      </c>
      <c r="Q17" s="217">
        <f t="shared" si="15"/>
        <v>88.149098610973454</v>
      </c>
      <c r="R17" s="217">
        <f t="shared" si="15"/>
        <v>91.431900976446798</v>
      </c>
      <c r="S17" s="217">
        <f t="shared" si="15"/>
        <v>94.463291655120031</v>
      </c>
      <c r="T17" s="218"/>
      <c r="U17" s="38"/>
    </row>
    <row r="18" spans="1:21" ht="20.25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5.0955554420286882E-2</v>
      </c>
      <c r="J18" s="215">
        <f t="shared" si="16"/>
        <v>4.5819437524301725E-2</v>
      </c>
      <c r="K18" s="215">
        <f t="shared" si="16"/>
        <v>5.673764150832885E-2</v>
      </c>
      <c r="L18" s="215">
        <f t="shared" si="16"/>
        <v>6.3732124918003161E-2</v>
      </c>
      <c r="M18" s="215">
        <f t="shared" si="16"/>
        <v>6.3910255763889492E-2</v>
      </c>
      <c r="N18" s="215">
        <f t="shared" si="16"/>
        <v>6.7558177663615812E-2</v>
      </c>
      <c r="O18" s="215">
        <f t="shared" si="16"/>
        <v>7.1034543794301602E-2</v>
      </c>
      <c r="P18" s="215">
        <f t="shared" si="16"/>
        <v>7.432571212745244E-2</v>
      </c>
      <c r="Q18" s="215">
        <f t="shared" si="16"/>
        <v>7.7418846487768714E-2</v>
      </c>
      <c r="R18" s="215">
        <f t="shared" si="16"/>
        <v>8.030203844760829E-2</v>
      </c>
      <c r="S18" s="215">
        <f t="shared" si="16"/>
        <v>8.2964422672685792E-2</v>
      </c>
      <c r="T18" s="216"/>
      <c r="U18" s="38"/>
    </row>
    <row r="19" spans="1:21" ht="20.25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si="17"/>
        <v>-13.076695984924802</v>
      </c>
      <c r="O19" s="217">
        <f t="shared" si="17"/>
        <v>-13.749588365912606</v>
      </c>
      <c r="P19" s="217">
        <f t="shared" si="17"/>
        <v>-14.386633490813949</v>
      </c>
      <c r="Q19" s="217">
        <f t="shared" si="17"/>
        <v>-14.985346763865488</v>
      </c>
      <c r="R19" s="217">
        <f t="shared" si="17"/>
        <v>-15.543423165995957</v>
      </c>
      <c r="S19" s="217">
        <f t="shared" si="17"/>
        <v>-16.058759581370406</v>
      </c>
      <c r="T19" s="218"/>
      <c r="U19" s="38"/>
    </row>
    <row r="20" spans="1:21" ht="20.25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25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25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4.4791849639908662E-2</v>
      </c>
      <c r="K22" s="215">
        <f t="shared" ref="K22:S22" si="19">-K21/K$9</f>
        <v>4.3913578078341828E-2</v>
      </c>
      <c r="L22" s="215">
        <f t="shared" si="19"/>
        <v>4.3913578078341828E-2</v>
      </c>
      <c r="M22" s="215">
        <f t="shared" si="19"/>
        <v>4.3913578078341828E-2</v>
      </c>
      <c r="N22" s="215">
        <f t="shared" si="19"/>
        <v>4.3913578078341828E-2</v>
      </c>
      <c r="O22" s="215">
        <f t="shared" si="19"/>
        <v>4.3913578078341828E-2</v>
      </c>
      <c r="P22" s="215">
        <f t="shared" si="19"/>
        <v>4.3913578078341828E-2</v>
      </c>
      <c r="Q22" s="215">
        <f t="shared" si="19"/>
        <v>4.3913578078341828E-2</v>
      </c>
      <c r="R22" s="215">
        <f t="shared" si="19"/>
        <v>4.3913578078341828E-2</v>
      </c>
      <c r="S22" s="215">
        <f t="shared" si="19"/>
        <v>4.3913578078341828E-2</v>
      </c>
      <c r="T22" s="216"/>
      <c r="U22" s="38"/>
    </row>
    <row r="23" spans="1:21" ht="20.25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>'DCF input'!O52</f>
        <v>0</v>
      </c>
      <c r="P23" s="217">
        <f>'DCF input'!P52</f>
        <v>0</v>
      </c>
      <c r="Q23" s="217">
        <f>'DCF input'!Q52</f>
        <v>0</v>
      </c>
      <c r="R23" s="217">
        <f>'DCF input'!R52</f>
        <v>0</v>
      </c>
      <c r="S23" s="217">
        <f>'DCF input'!S52</f>
        <v>0</v>
      </c>
      <c r="T23" s="218"/>
      <c r="U23" s="38"/>
    </row>
    <row r="24" spans="1:21" ht="20.25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25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4.3913578078341826E-3</v>
      </c>
      <c r="L25" s="215">
        <f t="shared" si="20"/>
        <v>4.3913578078341826E-3</v>
      </c>
      <c r="M25" s="215">
        <f t="shared" si="20"/>
        <v>4.3913578078341826E-3</v>
      </c>
      <c r="N25" s="215">
        <f t="shared" si="20"/>
        <v>4.3913578078341826E-3</v>
      </c>
      <c r="O25" s="215">
        <f t="shared" si="20"/>
        <v>4.3913578078341826E-3</v>
      </c>
      <c r="P25" s="215">
        <f t="shared" si="20"/>
        <v>4.3913578078341826E-3</v>
      </c>
      <c r="Q25" s="215">
        <f t="shared" si="20"/>
        <v>4.3913578078341826E-3</v>
      </c>
      <c r="R25" s="215">
        <f t="shared" si="20"/>
        <v>4.3913578078341826E-3</v>
      </c>
      <c r="S25" s="215">
        <f t="shared" si="20"/>
        <v>4.3913578078341826E-3</v>
      </c>
      <c r="T25" s="218"/>
      <c r="U25" s="38"/>
    </row>
    <row r="26" spans="1:21" ht="20.25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-18.004468664734777</v>
      </c>
      <c r="K26" s="217">
        <f>'DCF input'!K58</f>
        <v>-6.7527180429793674</v>
      </c>
      <c r="L26" s="217">
        <f>'DCF input'!L58</f>
        <v>25.138454026318882</v>
      </c>
      <c r="M26" s="217">
        <f>'DCF input'!M58</f>
        <v>-4.8650405710493061</v>
      </c>
      <c r="N26" s="217">
        <f>'DCF input'!N58</f>
        <v>0</v>
      </c>
      <c r="O26" s="217">
        <f>'DCF input'!O58</f>
        <v>0</v>
      </c>
      <c r="P26" s="217">
        <f>'DCF input'!P58</f>
        <v>0</v>
      </c>
      <c r="Q26" s="217">
        <f>'DCF input'!Q58</f>
        <v>0</v>
      </c>
      <c r="R26" s="217">
        <f>'DCF input'!R58</f>
        <v>0</v>
      </c>
      <c r="S26" s="217">
        <f>'DCF input'!S58</f>
        <v>0</v>
      </c>
      <c r="T26" s="218"/>
      <c r="U26" s="38"/>
    </row>
    <row r="27" spans="1:21" ht="20.25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1.5812812809357788E-2</v>
      </c>
      <c r="K27" s="215">
        <f t="shared" si="21"/>
        <v>5.9307202204280417E-3</v>
      </c>
      <c r="L27" s="215">
        <f t="shared" si="21"/>
        <v>-2.2078389273071215E-2</v>
      </c>
      <c r="M27" s="215">
        <f t="shared" si="21"/>
        <v>4.2728267794214878E-3</v>
      </c>
      <c r="N27" s="215">
        <f t="shared" si="21"/>
        <v>0</v>
      </c>
      <c r="O27" s="215">
        <f t="shared" si="21"/>
        <v>0</v>
      </c>
      <c r="P27" s="215">
        <f t="shared" si="21"/>
        <v>0</v>
      </c>
      <c r="Q27" s="215">
        <f t="shared" si="21"/>
        <v>0</v>
      </c>
      <c r="R27" s="215">
        <f t="shared" si="21"/>
        <v>0</v>
      </c>
      <c r="S27" s="215">
        <f t="shared" si="21"/>
        <v>0</v>
      </c>
      <c r="T27" s="218"/>
      <c r="U27" s="38"/>
    </row>
    <row r="28" spans="1:21" ht="20.25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30.863888898608689</v>
      </c>
      <c r="K28" s="213">
        <f t="shared" ref="K28:S28" si="22">K17+K19-K14+K21+K23+K24+K26</f>
        <v>54.230659495382142</v>
      </c>
      <c r="L28" s="213">
        <f t="shared" si="22"/>
        <v>93.307494382811512</v>
      </c>
      <c r="M28" s="213">
        <f t="shared" si="22"/>
        <v>59.287351410943515</v>
      </c>
      <c r="N28" s="213">
        <f t="shared" si="22"/>
        <v>62.428305221334142</v>
      </c>
      <c r="O28" s="213">
        <f t="shared" si="22"/>
        <v>64.496951293051993</v>
      </c>
      <c r="P28" s="213">
        <f t="shared" si="22"/>
        <v>66.390578408582996</v>
      </c>
      <c r="Q28" s="213">
        <f t="shared" si="22"/>
        <v>68.09705589449436</v>
      </c>
      <c r="R28" s="213">
        <f t="shared" si="22"/>
        <v>69.605129834144037</v>
      </c>
      <c r="S28" s="213">
        <f t="shared" si="22"/>
        <v>70.904532073749621</v>
      </c>
      <c r="T28" s="213">
        <f>S28*(1+'DCF input'!F9)/('DCF input'!F11-'DCF input'!F9)</f>
        <v>890.73818417647954</v>
      </c>
      <c r="U28" s="38"/>
    </row>
    <row r="29" spans="1:21" ht="20.25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25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25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28.445980551713077</v>
      </c>
      <c r="K31" s="222">
        <f t="shared" ref="K31:S31" si="25">K30*K28</f>
        <v>46.066520414858793</v>
      </c>
      <c r="L31" s="222">
        <f t="shared" si="25"/>
        <v>73.051192996582898</v>
      </c>
      <c r="M31" s="222">
        <f t="shared" si="25"/>
        <v>42.780228160494197</v>
      </c>
      <c r="N31" s="222">
        <f t="shared" si="25"/>
        <v>41.517658671101856</v>
      </c>
      <c r="O31" s="222">
        <f t="shared" si="25"/>
        <v>39.533089652996701</v>
      </c>
      <c r="P31" s="222">
        <f t="shared" si="25"/>
        <v>37.50578718605211</v>
      </c>
      <c r="Q31" s="222">
        <f t="shared" si="25"/>
        <v>35.456056483727053</v>
      </c>
      <c r="R31" s="222">
        <f t="shared" si="25"/>
        <v>33.402087105069647</v>
      </c>
      <c r="S31" s="222">
        <f t="shared" si="25"/>
        <v>31.360040396235206</v>
      </c>
      <c r="T31" s="222">
        <f>T28*S30</f>
        <v>393.96050747770471</v>
      </c>
      <c r="U31" s="38"/>
    </row>
    <row r="32" spans="1:21" ht="20.25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25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25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25" customHeight="1">
      <c r="A35" s="164"/>
      <c r="B35" s="159"/>
      <c r="C35" s="342" t="str">
        <f>"Value Based on "&amp;TEXT(K40,"#0.0%")&amp;" WACC &amp; "&amp;TEXT(N37,"#0.0%")&amp;" TGR"</f>
        <v>Value Based on 8.5% WACC &amp; 0.5% TGR</v>
      </c>
      <c r="D35" s="342"/>
      <c r="E35" s="342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25" customHeight="1">
      <c r="A36" s="164"/>
      <c r="B36" s="159"/>
      <c r="C36" s="343"/>
      <c r="D36" s="343"/>
      <c r="E36" s="343"/>
      <c r="F36" s="291" t="s">
        <v>143</v>
      </c>
      <c r="G36" s="171" t="s">
        <v>93</v>
      </c>
      <c r="H36" s="159"/>
      <c r="I36" s="38"/>
      <c r="J36" s="167"/>
      <c r="K36" s="182"/>
      <c r="L36" s="346" t="s">
        <v>94</v>
      </c>
      <c r="M36" s="346"/>
      <c r="N36" s="346"/>
      <c r="O36" s="346"/>
      <c r="P36" s="346"/>
      <c r="Q36" s="184"/>
      <c r="R36" s="184"/>
      <c r="S36" s="184"/>
      <c r="T36" s="38"/>
      <c r="U36" s="38"/>
    </row>
    <row r="37" spans="1:22" ht="20.25" customHeight="1">
      <c r="A37" s="164"/>
      <c r="B37" s="159"/>
      <c r="C37" s="231" t="s">
        <v>95</v>
      </c>
      <c r="D37" s="185"/>
      <c r="E37" s="185"/>
      <c r="F37" s="223">
        <f>SUM(J31:S31)</f>
        <v>409.11864161883153</v>
      </c>
      <c r="G37" s="224">
        <f>F37/F$39</f>
        <v>0.50943750946477673</v>
      </c>
      <c r="H37" s="159"/>
      <c r="I37" s="38"/>
      <c r="J37" s="344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25" customHeight="1">
      <c r="A38" s="164"/>
      <c r="B38" s="159"/>
      <c r="C38" s="231" t="s">
        <v>51</v>
      </c>
      <c r="D38" s="185"/>
      <c r="E38" s="185"/>
      <c r="F38" s="223">
        <f>T31</f>
        <v>393.96050747770471</v>
      </c>
      <c r="G38" s="224">
        <f>F38/F$39</f>
        <v>0.49056249053522327</v>
      </c>
      <c r="H38" s="159"/>
      <c r="I38" s="38"/>
      <c r="J38" s="344"/>
      <c r="K38" s="236">
        <f>'DCF input'!E95</f>
        <v>7.4999999999999997E-2</v>
      </c>
      <c r="L38" s="237" t="str">
        <f>CONCATENATE(ROUND('DCF input'!F95,)," / ",ROUND('DCF input'!F104,0),"c")</f>
        <v>888 / 404c</v>
      </c>
      <c r="M38" s="238" t="str">
        <f>CONCATENATE(ROUND('DCF input'!G95,)," / ",ROUND('DCF input'!G104,0),"c")</f>
        <v>905 / 412c</v>
      </c>
      <c r="N38" s="238" t="str">
        <f>CONCATENATE(ROUND('DCF input'!H95,)," / ",ROUND('DCF input'!H104,0),"c")</f>
        <v>923 / 421c</v>
      </c>
      <c r="O38" s="238" t="str">
        <f>CONCATENATE(ROUND('DCF input'!I95,)," / ",ROUND('DCF input'!I104,0),"c")</f>
        <v>943 / 431c</v>
      </c>
      <c r="P38" s="238" t="str">
        <f>CONCATENATE(ROUND('DCF input'!J95,)," / ",ROUND('DCF input'!J104,0),"c")</f>
        <v>964 / 442c</v>
      </c>
      <c r="Q38" s="187"/>
      <c r="R38" s="187"/>
      <c r="S38" s="187"/>
      <c r="T38" s="38"/>
      <c r="U38" s="38"/>
    </row>
    <row r="39" spans="1:22" ht="20.25" customHeight="1">
      <c r="A39" s="164"/>
      <c r="B39" s="159"/>
      <c r="C39" s="232" t="s">
        <v>96</v>
      </c>
      <c r="D39" s="188"/>
      <c r="E39" s="188"/>
      <c r="F39" s="225">
        <f>(F38+F37)</f>
        <v>803.07914909653618</v>
      </c>
      <c r="G39" s="226">
        <f>F39/F$39</f>
        <v>1</v>
      </c>
      <c r="H39" s="159"/>
      <c r="I39" s="38"/>
      <c r="J39" s="344"/>
      <c r="K39" s="236">
        <f>'DCF input'!E96</f>
        <v>0.08</v>
      </c>
      <c r="L39" s="238" t="str">
        <f>CONCATENATE(ROUND('DCF input'!F96,)," / ",ROUND('DCF input'!F105,0),"c")</f>
        <v>830 / 374c</v>
      </c>
      <c r="M39" s="239" t="str">
        <f>CONCATENATE(ROUND('DCF input'!G96,)," / ",ROUND('DCF input'!G105,0),"c")</f>
        <v>844 / 382c</v>
      </c>
      <c r="N39" s="239" t="str">
        <f>CONCATENATE(ROUND('DCF input'!H96,)," / ",ROUND('DCF input'!H105,0),"c")</f>
        <v>859 / 389c</v>
      </c>
      <c r="O39" s="239" t="str">
        <f>CONCATENATE(ROUND('DCF input'!I96,)," / ",ROUND('DCF input'!I105,0),"c")</f>
        <v>875 / 397c</v>
      </c>
      <c r="P39" s="238" t="str">
        <f>CONCATENATE(ROUND('DCF input'!J96,)," / ",ROUND('DCF input'!J105,0),"c")</f>
        <v>893 / 406c</v>
      </c>
      <c r="Q39" s="187"/>
      <c r="R39" s="187"/>
      <c r="S39" s="187"/>
      <c r="T39" s="38"/>
      <c r="U39" s="38"/>
    </row>
    <row r="40" spans="1:22" ht="20.25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44"/>
      <c r="K40" s="236">
        <f>'DCF input'!E97</f>
        <v>8.5000000000000006E-2</v>
      </c>
      <c r="L40" s="238" t="str">
        <f>CONCATENATE(ROUND('DCF input'!F97,)," / ",ROUND('DCF input'!F106,0),"c")</f>
        <v>778 / 348c</v>
      </c>
      <c r="M40" s="239" t="str">
        <f>CONCATENATE(ROUND('DCF input'!G97,)," / ",ROUND('DCF input'!G106,0),"c")</f>
        <v>790 / 355c</v>
      </c>
      <c r="N40" s="240" t="str">
        <f>CONCATENATE(ROUND('DCF input'!H97,)," / ",ROUND('DCF input'!H106,0),"c")</f>
        <v>803 / 361c</v>
      </c>
      <c r="O40" s="239" t="str">
        <f>CONCATENATE(ROUND('DCF input'!I97,)," / ",ROUND('DCF input'!I106,0),"c")</f>
        <v>817 / 368c</v>
      </c>
      <c r="P40" s="238" t="str">
        <f>CONCATENATE(ROUND('DCF input'!J97,)," / ",ROUND('DCF input'!J106,0),"c")</f>
        <v>831 / 375c</v>
      </c>
      <c r="Q40" s="187"/>
      <c r="R40" s="189"/>
      <c r="S40" s="187"/>
      <c r="T40" s="38"/>
      <c r="U40" s="38"/>
    </row>
    <row r="41" spans="1:22" ht="20.25" customHeight="1">
      <c r="A41" s="164"/>
      <c r="B41" s="159"/>
      <c r="C41" s="232" t="s">
        <v>97</v>
      </c>
      <c r="D41" s="188"/>
      <c r="E41" s="188"/>
      <c r="F41" s="225">
        <f>+F39+F40</f>
        <v>718.46233555695119</v>
      </c>
      <c r="G41" s="226"/>
      <c r="H41" s="159"/>
      <c r="I41" s="38"/>
      <c r="J41" s="344"/>
      <c r="K41" s="236">
        <f>'DCF input'!E98</f>
        <v>9.0000000000000011E-2</v>
      </c>
      <c r="L41" s="238" t="str">
        <f>CONCATENATE(ROUND('DCF input'!F98,)," / ",ROUND('DCF input'!F107,0),"c")</f>
        <v>732 / 325c</v>
      </c>
      <c r="M41" s="239" t="str">
        <f>CONCATENATE(ROUND('DCF input'!G98,)," / ",ROUND('DCF input'!G107,0),"c")</f>
        <v>743 / 331c</v>
      </c>
      <c r="N41" s="239" t="str">
        <f>CONCATENATE(ROUND('DCF input'!H98,)," / ",ROUND('DCF input'!H107,0),"c")</f>
        <v>754 / 336c</v>
      </c>
      <c r="O41" s="239" t="str">
        <f>CONCATENATE(ROUND('DCF input'!I98,)," / ",ROUND('DCF input'!I107,0),"c")</f>
        <v>765 / 342c</v>
      </c>
      <c r="P41" s="238" t="str">
        <f>CONCATENATE(ROUND('DCF input'!J98,)," / ",ROUND('DCF input'!J107,0),"c")</f>
        <v>778 / 348c</v>
      </c>
      <c r="Q41" s="187"/>
      <c r="R41" s="187"/>
      <c r="S41" s="187"/>
      <c r="T41" s="38"/>
      <c r="U41" s="38"/>
    </row>
    <row r="42" spans="1:22" ht="20.25" customHeight="1">
      <c r="A42" s="164"/>
      <c r="B42" s="159"/>
      <c r="C42" s="231" t="s">
        <v>151</v>
      </c>
      <c r="D42" s="185"/>
      <c r="E42" s="185"/>
      <c r="F42" s="227">
        <f>+F41/Assumptions!D17*100</f>
        <v>361.03634952610611</v>
      </c>
      <c r="G42" s="229"/>
      <c r="H42" s="159"/>
      <c r="I42" s="38"/>
      <c r="J42" s="345"/>
      <c r="K42" s="241">
        <f>'DCF input'!E99</f>
        <v>9.5000000000000015E-2</v>
      </c>
      <c r="L42" s="242" t="str">
        <f>CONCATENATE(ROUND('DCF input'!F99,)," / ",ROUND('DCF input'!F108,0),"c")</f>
        <v>691 / 305c</v>
      </c>
      <c r="M42" s="242" t="str">
        <f>CONCATENATE(ROUND('DCF input'!G99,)," / ",ROUND('DCF input'!G108,0),"c")</f>
        <v>700 / 309c</v>
      </c>
      <c r="N42" s="242" t="str">
        <f>CONCATENATE(ROUND('DCF input'!H99,)," / ",ROUND('DCF input'!H108,0),"c")</f>
        <v>710 / 314c</v>
      </c>
      <c r="O42" s="242" t="str">
        <f>CONCATENATE(ROUND('DCF input'!I99,)," / ",ROUND('DCF input'!I108,0),"c")</f>
        <v>720 / 319c</v>
      </c>
      <c r="P42" s="242" t="str">
        <f>CONCATENATE(ROUND('DCF input'!J99,)," / ",ROUND('DCF input'!J108,0),"c")</f>
        <v>730 / 324c</v>
      </c>
      <c r="Q42" s="187"/>
      <c r="R42" s="187"/>
      <c r="S42" s="187"/>
      <c r="T42" s="38"/>
      <c r="U42" s="38"/>
    </row>
    <row r="43" spans="1:22" ht="20.25" customHeight="1">
      <c r="B43" s="38"/>
      <c r="C43" s="233" t="s">
        <v>28</v>
      </c>
      <c r="D43" s="185"/>
      <c r="E43" s="185"/>
      <c r="F43" s="230">
        <f>+F42/Assumptions!D16-1</f>
        <v>1.1880990880370068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.05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Rythem Chauhan</cp:lastModifiedBy>
  <cp:lastPrinted>2019-02-04T16:32:05Z</cp:lastPrinted>
  <dcterms:created xsi:type="dcterms:W3CDTF">2010-12-03T17:25:22Z</dcterms:created>
  <dcterms:modified xsi:type="dcterms:W3CDTF">2025-06-19T10:54:20Z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